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LeMay\General Rate Filing\Pacific Filed 6-15-2024\Non Confidential\"/>
    </mc:Choice>
  </mc:AlternateContent>
  <xr:revisionPtr revIDLastSave="0" documentId="13_ncr:1_{B432900C-CB57-416C-AC52-DE9F802330A3}" xr6:coauthVersionLast="47" xr6:coauthVersionMax="47" xr10:uidLastSave="{00000000-0000-0000-0000-000000000000}"/>
  <bookViews>
    <workbookView xWindow="-120" yWindow="-120" windowWidth="29040" windowHeight="15840" firstSheet="1" xr2:uid="{D9DF0AAE-9441-4634-B7E9-423B23B5D146}"/>
  </bookViews>
  <sheets>
    <sheet name="Summary 2183" sheetId="26" r:id="rId1"/>
    <sheet name="Depreciation Pivot" sheetId="46" r:id="rId2"/>
    <sheet name="FAR 04.2024" sheetId="54" r:id="rId3"/>
    <sheet name="Trucks 2183" sheetId="17" r:id="rId4"/>
    <sheet name="Containers 2183" sheetId="39" r:id="rId5"/>
    <sheet name="OTHER EQUIP 2183" sheetId="42" r:id="rId6"/>
    <sheet name="Orig Trucks 2183" sheetId="43" r:id="rId7"/>
    <sheet name="Orig OTHER EQUIP 2183" sheetId="4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D">#REF!</definedName>
    <definedName name="\S">#REF!</definedName>
    <definedName name="\Y">#REF!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2">[1]Hidden!$O$11</definedName>
    <definedName name="_123Graph_g" hidden="1">'[2]#REF'!$F$9:$F$83</definedName>
    <definedName name="_132" hidden="1">[3]XXXXXX!$B$10:$B$10</definedName>
    <definedName name="_132Graph_h" hidden="1">#REF!</definedName>
    <definedName name="_ACT1">[4]Hidden!#REF!</definedName>
    <definedName name="_ACT2">[4]Hidden!#REF!</definedName>
    <definedName name="_ACT3">[4]Hidden!#REF!</definedName>
    <definedName name="_COS1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Fill" hidden="1">#REF!</definedName>
    <definedName name="_xlnm._FilterDatabase" localSheetId="4" hidden="1">'Containers 2183'!$A$11:$R$11</definedName>
    <definedName name="_xlnm._FilterDatabase" localSheetId="2" hidden="1">'FAR 04.2024'!$B$16:$AX$925</definedName>
    <definedName name="_xlnm._FilterDatabase" localSheetId="7" hidden="1">'Orig OTHER EQUIP 2183'!$A$11:$AH$20</definedName>
    <definedName name="_xlnm._FilterDatabase" localSheetId="6" hidden="1">'Orig Trucks 2183'!$B$1:$B$5553</definedName>
    <definedName name="_xlnm._FilterDatabase" localSheetId="5" hidden="1">'OTHER EQUIP 2183'!$A$11:$T$23</definedName>
    <definedName name="_xlnm._FilterDatabase" localSheetId="3" hidden="1">'Trucks 2183'!$B$1:$B$5497</definedName>
    <definedName name="_Key1" hidden="1">#REF!</definedName>
    <definedName name="_Key2" hidden="1">'[2]#REF'!$D$12</definedName>
    <definedName name="_key5" hidden="1">[3]XXXXXX!$H$10</definedName>
    <definedName name="_LYA12">[1]Hidden!$O$11</definedName>
    <definedName name="_max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Sort" hidden="1">#REF!</definedName>
    <definedName name="_Sort1" hidden="1">'[2]#REF'!$A$10:$Z$281</definedName>
    <definedName name="_sort3" hidden="1">[3]XXXXXX!$G$10:$J$11</definedName>
    <definedName name="a">#REF!</definedName>
    <definedName name="Accounts">#REF!</definedName>
    <definedName name="ACCT">[4]Hidden!#REF!</definedName>
    <definedName name="ACCT.ConsolSum">[1]Hidden!$Q$11</definedName>
    <definedName name="ACT_CUR">[4]Hidden!#REF!</definedName>
    <definedName name="ACT_YTD">[4]Hidden!#REF!</definedName>
    <definedName name="afsdfsdfsd">#REF!</definedName>
    <definedName name="AmountCount">#REF!</definedName>
    <definedName name="AmountCount1">#REF!</definedName>
    <definedName name="AmountFrom">#REF!</definedName>
    <definedName name="AmountTo">#REF!</definedName>
    <definedName name="AmountTotal">#REF!</definedName>
    <definedName name="AmountTotal1">#REF!</definedName>
    <definedName name="BookRev">'[5]Pacific Regulated - Price Out'!$F$50</definedName>
    <definedName name="BookRev_com">'[5]Pacific Regulated - Price Out'!$F$214</definedName>
    <definedName name="BookRev_mfr">'[5]Pacific Regulated - Price Out'!$F$222</definedName>
    <definedName name="BookRev_ro">'[5]Pacific Regulated - Price Out'!$F$282</definedName>
    <definedName name="BookRev_rr">'[5]Pacific Regulated - Price Out'!$F$59</definedName>
    <definedName name="BookRev_yw">'[5]Pacific Regulated - Price Out'!$F$70</definedName>
    <definedName name="BREMAIR_COST_of_SERVICE_STUDY">#REF!</definedName>
    <definedName name="BUD_CUR">[4]Hidden!#REF!</definedName>
    <definedName name="BUD_YTD">[4]Hidden!#REF!</definedName>
    <definedName name="CalRecyTons">'[6]Recycl Tons, Commodity Value'!$L$23</definedName>
    <definedName name="CheckTotals">#REF!</definedName>
    <definedName name="colgroup">[1]Orientation!$G$6</definedName>
    <definedName name="colsegment">[1]Orientation!$F$6</definedName>
    <definedName name="CommlStaffPriceOut">'[7]Price Out-Reg EASTSIDE-Resi'!#REF!</definedName>
    <definedName name="CRCTable">#REF!</definedName>
    <definedName name="CRCTableOLD">#REF!</definedName>
    <definedName name="CriteriaType">[8]ControlPanel!$Z$2:$Z$5</definedName>
    <definedName name="CurrentMonth">#REF!</definedName>
    <definedName name="Cutomers">#REF!</definedName>
    <definedName name="_xlnm.Database" localSheetId="7">#REF!</definedName>
    <definedName name="_xlnm.Database" localSheetId="6">#REF!</definedName>
    <definedName name="_xlnm.Database">#REF!</definedName>
    <definedName name="Database1" localSheetId="7">#REF!</definedName>
    <definedName name="Database1" localSheetId="6">#REF!</definedName>
    <definedName name="Database1">#REF!</definedName>
    <definedName name="DateFrom">#REF!</definedName>
    <definedName name="DateTo">#REF!</definedName>
    <definedName name="DBxStaffPriceOut">'[7]Price Out-Reg EASTSIDE-Resi'!#REF!</definedName>
    <definedName name="DEPT">[4]Hidden!#REF!</definedName>
    <definedName name="DetailBudYear" localSheetId="2">#REF!</definedName>
    <definedName name="DetailBudYear">#REF!</definedName>
    <definedName name="DetailDistrict" localSheetId="2">#REF!</definedName>
    <definedName name="DetailDistrict">#REF!</definedName>
    <definedName name="Dist">[9]Data!$E$3</definedName>
    <definedName name="District">'[10]Yakima BS'!#REF!</definedName>
    <definedName name="DistrictNum">#REF!</definedName>
    <definedName name="Districts">#REF!</definedName>
    <definedName name="dOG">#REF!</definedName>
    <definedName name="drlFilter">[1]Settings!$D$27</definedName>
    <definedName name="End">#REF!</definedName>
    <definedName name="EntrieShownLimit">#REF!</definedName>
    <definedName name="ExcludeIC">'[10]Yakima BS'!#REF!</definedName>
    <definedName name="ExpensesPF1">#REF!</definedName>
    <definedName name="EXT">#REF!</definedName>
    <definedName name="FBTable">#REF!</definedName>
    <definedName name="FBTableOld">#REF!</definedName>
    <definedName name="filter">[1]Settings!$B$14:$H$25</definedName>
    <definedName name="FromMonth">#REF!</definedName>
    <definedName name="FundsApprPend">[9]Data!#REF!</definedName>
    <definedName name="FundsBudUnbud">[9]Data!#REF!</definedName>
    <definedName name="GLMappingStart">#REF!</definedName>
    <definedName name="GLMappingStart1">#REF!</definedName>
    <definedName name="Import_Range">[9]Data!#REF!</definedName>
    <definedName name="IncomeStmnt">#REF!</definedName>
    <definedName name="INPUT">#REF!</definedName>
    <definedName name="INPUTc">#REF!</definedName>
    <definedName name="Insurance">#REF!</definedName>
    <definedName name="Interject_LastPulledValues_BalanceRange">#REF!</definedName>
    <definedName name="Interject_LastPulledValues_DescriptionRange">#REF!</definedName>
    <definedName name="Interject_LastPulledValues_LastChangeGUID">#REF!</definedName>
    <definedName name="Interject_LastPulledValues_PreviousLastChangeGUID">#REF!</definedName>
    <definedName name="Invoice_Start">[9]Invoice_Drill!#REF!</definedName>
    <definedName name="JEDetail">#REF!</definedName>
    <definedName name="JEDetail1">#REF!</definedName>
    <definedName name="JEType">#REF!</definedName>
    <definedName name="JEType1">#REF!</definedName>
    <definedName name="lblBillAreaStatus">#REF!</definedName>
    <definedName name="lblBillCycleStatus">#REF!</definedName>
    <definedName name="lblCategoryStatus">#REF!</definedName>
    <definedName name="lblCompanyStatus">#REF!</definedName>
    <definedName name="lblDatabaseStatus">#REF!</definedName>
    <definedName name="lblPullStatus">#REF!</definedName>
    <definedName name="lllllllllllllllllllll">#REF!</definedName>
    <definedName name="LOB">[11]DropDownRanges!$B$4:$B$37</definedName>
    <definedName name="MainDataEnd">#REF!</definedName>
    <definedName name="MainDataStart">#REF!</definedName>
    <definedName name="MapKeyStart">#REF!</definedName>
    <definedName name="master_def">#REF!</definedName>
    <definedName name="MATRIX">#REF!</definedName>
    <definedName name="MemoAttachment">#REF!</definedName>
    <definedName name="MetaSet">[1]Orientation!$C$22</definedName>
    <definedName name="MFStaffPriceOut">'[7]Price Out-Reg EASTSIDE-Resi'!#REF!</definedName>
    <definedName name="MILTON">#REF!</definedName>
    <definedName name="MonthList">'[9]Lookup Tables'!$A$1:$A$13</definedName>
    <definedName name="NewLob">[11]DropDownRanges!$B$4:$B$37</definedName>
    <definedName name="NewOnlyOrg">#N/A</definedName>
    <definedName name="NewSource">[11]DropDownRanges!$D$4:$D$7</definedName>
    <definedName name="nn">#REF!</definedName>
    <definedName name="NOTES" localSheetId="6">#REF!</definedName>
    <definedName name="NOTES" localSheetId="3">#REF!</definedName>
    <definedName name="NOTES">#REF!</definedName>
    <definedName name="NR">#REF!</definedName>
    <definedName name="OfficerSalary">#N/A</definedName>
    <definedName name="OffsetAcctBil">[12]JEexport!$L$10</definedName>
    <definedName name="OffsetAcctPmt">[12]JEexport!$L$9</definedName>
    <definedName name="Org11_13">#N/A</definedName>
    <definedName name="Org7_10">#N/A</definedName>
    <definedName name="p">#REF!</definedName>
    <definedName name="PAGE_1" localSheetId="6">#REF!</definedName>
    <definedName name="PAGE_1" localSheetId="3">#REF!</definedName>
    <definedName name="PAGE_1">#REF!</definedName>
    <definedName name="Page16">#REF!</definedName>
    <definedName name="Page17">#REF!</definedName>
    <definedName name="Page18">#REF!</definedName>
    <definedName name="Page7a">#REF!</definedName>
    <definedName name="pBatchID">#REF!</definedName>
    <definedName name="pBillArea">#REF!</definedName>
    <definedName name="pBillCycle">#REF!</definedName>
    <definedName name="pCategory">#REF!</definedName>
    <definedName name="pCompany">#REF!</definedName>
    <definedName name="pCustomerNumber">#REF!</definedName>
    <definedName name="pDatabase">#REF!</definedName>
    <definedName name="pEndPostDate">#REF!</definedName>
    <definedName name="Period">#REF!</definedName>
    <definedName name="pMonth">#REF!</definedName>
    <definedName name="pOnlyShowLastTranx">#REF!</definedName>
    <definedName name="Posting">#REF!</definedName>
    <definedName name="primtbl">[1]Orientation!$C$23</definedName>
    <definedName name="_xlnm.Print_Area" localSheetId="4">'Containers 2183'!$A$1:$R$513</definedName>
    <definedName name="_xlnm.Print_Area" localSheetId="7">'Orig OTHER EQUIP 2183'!$B$1:$AC$158</definedName>
    <definedName name="_xlnm.Print_Area" localSheetId="6">'Orig Trucks 2183'!$A$1:$AC$192</definedName>
    <definedName name="_xlnm.Print_Area" localSheetId="5">'OTHER EQUIP 2183'!$A$1:$T$161</definedName>
    <definedName name="_xlnm.Print_Area" localSheetId="0">'Summary 2183'!$A$1:$AI$57</definedName>
    <definedName name="_xlnm.Print_Area" localSheetId="3">'Trucks 2183'!$A$1:$S$199</definedName>
    <definedName name="_xlnm.Print_Area">#REF!</definedName>
    <definedName name="Print_Area_MI" localSheetId="6">'Orig Trucks 2183'!$C$1:$AC$193</definedName>
    <definedName name="Print_Area_MI" localSheetId="3">'Trucks 2183'!$C$1:$S$200</definedName>
    <definedName name="Print_Area_MI">#REF!</definedName>
    <definedName name="Print_Area_MIc">#REF!</definedName>
    <definedName name="Print_Area1" localSheetId="7">#REF!</definedName>
    <definedName name="Print_Area1" localSheetId="6">#REF!</definedName>
    <definedName name="Print_Area1">#REF!</definedName>
    <definedName name="Print_Area2" localSheetId="7">#REF!</definedName>
    <definedName name="Print_Area2" localSheetId="6">#REF!</definedName>
    <definedName name="Print_Area2">#REF!</definedName>
    <definedName name="Print_Area3" localSheetId="7">#REF!</definedName>
    <definedName name="Print_Area3" localSheetId="6">#REF!</definedName>
    <definedName name="Print_Area3">#REF!</definedName>
    <definedName name="Print_Area5" localSheetId="7">#REF!</definedName>
    <definedName name="Print_Area5" localSheetId="6">#REF!</definedName>
    <definedName name="Print_Area5">#REF!</definedName>
    <definedName name="_xlnm.Print_Titles" localSheetId="4">'Containers 2183'!$9:$11</definedName>
    <definedName name="_xlnm.Print_Titles" localSheetId="7">'Orig OTHER EQUIP 2183'!$1:$11</definedName>
    <definedName name="_xlnm.Print_Titles" localSheetId="6">'Orig Trucks 2183'!$8:$11</definedName>
    <definedName name="_xlnm.Print_Titles" localSheetId="5">'OTHER EQUIP 2183'!$1:$11</definedName>
    <definedName name="_xlnm.Print_Titles" localSheetId="3">'Trucks 2183'!$8:$11</definedName>
    <definedName name="Print1">#REF!</definedName>
    <definedName name="Print2">#REF!</definedName>
    <definedName name="Print5">#REF!</definedName>
    <definedName name="ProRev">'[5]Pacific Regulated - Price Out'!$M$49</definedName>
    <definedName name="ProRev_com">'[5]Pacific Regulated - Price Out'!$M$213</definedName>
    <definedName name="ProRev_mfr">'[5]Pacific Regulated - Price Out'!$M$221</definedName>
    <definedName name="ProRev_ro">'[5]Pacific Regulated - Price Out'!$M$281</definedName>
    <definedName name="ProRev_rr">'[5]Pacific Regulated - Price Out'!$M$58</definedName>
    <definedName name="ProRev_yw">'[5]Pacific Regulated - Price Out'!$M$69</definedName>
    <definedName name="pServer">#REF!</definedName>
    <definedName name="pServiceCode">#REF!</definedName>
    <definedName name="pShowAllUnposted">#REF!</definedName>
    <definedName name="pShowCustomerDetail">#REF!</definedName>
    <definedName name="pSortOption">#REF!</definedName>
    <definedName name="pStartPostDate">#REF!</definedName>
    <definedName name="pTransType">#REF!</definedName>
    <definedName name="RCW_81.04.080">#N/A</definedName>
    <definedName name="RecyDisposal">#N/A</definedName>
    <definedName name="Reg_Cust_Billed_Percent">'[13]Consolidated IS 2009 2010'!$AK$20</definedName>
    <definedName name="Reg_Cust_Percent">'[13]Consolidated IS 2009 2010'!$AC$20</definedName>
    <definedName name="Reg_Drive_Percent">'[13]Consolidated IS 2009 2010'!$AC$40</definedName>
    <definedName name="Reg_Haul_Rev_Percent">'[13]Consolidated IS 2009 2010'!$Z$18</definedName>
    <definedName name="Reg_Lab_Percent">'[13]Consolidated IS 2009 2010'!$AC$39</definedName>
    <definedName name="Reg_Steel_Cont_Percent">'[13]Consolidated IS 2009 2010'!$AE$120</definedName>
    <definedName name="RegulatedIS">'[13]2009 IS'!$A$12:$Q$655</definedName>
    <definedName name="RelatedSalary">#N/A</definedName>
    <definedName name="report_type">[1]Orientation!$C$24</definedName>
    <definedName name="ReportNames">[14]ControlPanel!$S$2:$S$16</definedName>
    <definedName name="ReportVersion">[1]Settings!$D$5</definedName>
    <definedName name="ReslStaffPriceOut">'[7]Price Out-Reg EASTSIDE-Resi'!#REF!</definedName>
    <definedName name="RetainedEarnings">#REF!</definedName>
    <definedName name="RevCust">'[15]RevenuesCust, pg 8'!#REF!</definedName>
    <definedName name="RevCustomer">#REF!</definedName>
    <definedName name="RevenuePF1">#REF!</definedName>
    <definedName name="rngCreateLog">[1]Delivery!$B$12</definedName>
    <definedName name="rngFilePassword">[1]Delivery!$B$6</definedName>
    <definedName name="rngSourceTab">[1]Delivery!$E$8</definedName>
    <definedName name="rowgroup">[1]Orientation!$C$17</definedName>
    <definedName name="rowsegment">[1]Orientation!$B$17</definedName>
    <definedName name="seffasfasdfsd">[16]Hidden!#REF!</definedName>
    <definedName name="Sequential_Group">[1]Settings!$J$6</definedName>
    <definedName name="Sequential_Segment">[1]Settings!$I$6</definedName>
    <definedName name="Sequential_sort">[1]Settings!$I$10:$J$11</definedName>
    <definedName name="slope" localSheetId="2">[17]Lurito!$Y$58</definedName>
    <definedName name="slope">'[18]LG Nonpublic 2018 V5.0'!$X$58</definedName>
    <definedName name="sortcol">#REF!</definedName>
    <definedName name="Source">[11]DropDownRanges!$D$4:$D$7</definedName>
    <definedName name="sSRCDate" localSheetId="7">#REF!</definedName>
    <definedName name="sSRCDate" localSheetId="6">#REF!</definedName>
    <definedName name="sSRCDate">#REF!</definedName>
    <definedName name="SubSystems">#REF!</definedName>
    <definedName name="SubtypeToTruckType" localSheetId="2">[19]TruckCenterReference!$C$31:$D$81</definedName>
    <definedName name="SubtypeToTruckType">[20]TruckCenterReference!$C$37:$D$87</definedName>
    <definedName name="Supplemental_filter">[1]Settings!$C$31</definedName>
    <definedName name="SWDisposal">#N/A</definedName>
    <definedName name="System">[21]BS_Close!$V$8</definedName>
    <definedName name="Systems">#REF!</definedName>
    <definedName name="TemplateEnd">#REF!</definedName>
    <definedName name="TemplateStart">#REF!</definedName>
    <definedName name="TheTable">#REF!</definedName>
    <definedName name="TheTableOLD">#REF!</definedName>
    <definedName name="timeseries">[1]Orientation!$B$6:$C$13</definedName>
    <definedName name="ToMonth">#REF!</definedName>
    <definedName name="Tons">#REF!</definedName>
    <definedName name="Total_Comm">'[6]Tariff Rate Sheet'!$L$214</definedName>
    <definedName name="Total_DB">'[6]Tariff Rate Sheet'!$L$278</definedName>
    <definedName name="Total_Resi">'[6]Tariff Rate Sheet'!$L$107</definedName>
    <definedName name="Transactions">#REF!</definedName>
    <definedName name="UnregulatedIS">'[13]2010 IS'!$A$12:$Q$654</definedName>
    <definedName name="VendorCode">#REF!</definedName>
    <definedName name="Version">[9]Data!#REF!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hidden="1">{"Page1",#N/A,TRUE,"SUMM";"Page2",#N/A,TRUE,"Rev";"Page3",#N/A,TRUE,"Dir_Costs"}</definedName>
    <definedName name="WTable">#REF!</definedName>
    <definedName name="WTableOld">#REF!</definedName>
    <definedName name="ww">#REF!</definedName>
    <definedName name="xperiod">[1]Orientation!$G$15</definedName>
    <definedName name="xtabin">[4]Hidden!#REF!</definedName>
    <definedName name="xx">#REF!</definedName>
    <definedName name="xxx">#REF!</definedName>
    <definedName name="xxxx">#REF!</definedName>
    <definedName name="y_inter1" localSheetId="2">[17]Lurito!$X$55</definedName>
    <definedName name="y_inter1">'[18]LG Nonpublic 2018 V5.0'!$W$55</definedName>
    <definedName name="y_inter2" localSheetId="2">[17]Lurito!$X$56</definedName>
    <definedName name="y_inter2">'[18]LG Nonpublic 2018 V5.0'!$W$56</definedName>
    <definedName name="y_inter3" localSheetId="2">[17]Lurito!$Z$55</definedName>
    <definedName name="y_inter3">'[18]LG Nonpublic 2018 V5.0'!$Y$55</definedName>
    <definedName name="y_inter4" localSheetId="2">[17]Lurito!$Z$56</definedName>
    <definedName name="y_inter4">'[18]LG Nonpublic 2018 V5.0'!$Y$56</definedName>
    <definedName name="YearMonth">'[10]Yakima BS'!#REF!</definedName>
    <definedName name="YWMedWasteDisp">#N/A</definedName>
    <definedName name="yy">#REF!</definedName>
  </definedNames>
  <calcPr calcId="191029" iterate="1"/>
  <pivotCaches>
    <pivotCache cacheId="44" r:id="rId3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44" i="39" l="1"/>
  <c r="Q243" i="39"/>
  <c r="AN304" i="54"/>
  <c r="AO304" i="54"/>
  <c r="AP304" i="54" s="1"/>
  <c r="AQ304" i="54" s="1"/>
  <c r="AR304" i="54"/>
  <c r="AS304" i="54" s="1"/>
  <c r="AN305" i="54"/>
  <c r="AO305" i="54"/>
  <c r="AP305" i="54" s="1"/>
  <c r="AQ305" i="54" s="1"/>
  <c r="AU305" i="54" s="1"/>
  <c r="AR305" i="54"/>
  <c r="AS305" i="54" s="1"/>
  <c r="AN306" i="54"/>
  <c r="AO306" i="54"/>
  <c r="AP306" i="54"/>
  <c r="AQ306" i="54" s="1"/>
  <c r="AR306" i="54"/>
  <c r="AS306" i="54" s="1"/>
  <c r="AN307" i="54"/>
  <c r="AO307" i="54"/>
  <c r="AP307" i="54"/>
  <c r="AR307" i="54"/>
  <c r="AS307" i="54" s="1"/>
  <c r="AN308" i="54"/>
  <c r="AO308" i="54"/>
  <c r="AP308" i="54" s="1"/>
  <c r="AQ308" i="54" s="1"/>
  <c r="AR308" i="54"/>
  <c r="AS308" i="54" s="1"/>
  <c r="AN309" i="54"/>
  <c r="AO309" i="54"/>
  <c r="AP309" i="54"/>
  <c r="AQ309" i="54" s="1"/>
  <c r="AU309" i="54" s="1"/>
  <c r="AR309" i="54"/>
  <c r="AS309" i="54" s="1"/>
  <c r="AN310" i="54"/>
  <c r="AO310" i="54"/>
  <c r="AP310" i="54" s="1"/>
  <c r="AR310" i="54"/>
  <c r="AS310" i="54" s="1"/>
  <c r="AN311" i="54"/>
  <c r="AO311" i="54"/>
  <c r="AP311" i="54" s="1"/>
  <c r="AQ311" i="54" s="1"/>
  <c r="AT311" i="54" s="1"/>
  <c r="AR311" i="54"/>
  <c r="AS311" i="54" s="1"/>
  <c r="AN312" i="54"/>
  <c r="AO312" i="54"/>
  <c r="AP312" i="54" s="1"/>
  <c r="AQ312" i="54" s="1"/>
  <c r="AR312" i="54"/>
  <c r="AS312" i="54"/>
  <c r="Q53" i="26"/>
  <c r="Q51" i="26"/>
  <c r="Q49" i="26"/>
  <c r="Q47" i="26"/>
  <c r="Q45" i="26"/>
  <c r="Q43" i="26"/>
  <c r="Q41" i="26"/>
  <c r="Q39" i="26"/>
  <c r="Q37" i="26"/>
  <c r="Q33" i="26"/>
  <c r="Q31" i="26"/>
  <c r="Q29" i="26"/>
  <c r="Q27" i="26"/>
  <c r="Q25" i="26"/>
  <c r="Q23" i="26"/>
  <c r="Q18" i="26"/>
  <c r="Q16" i="26"/>
  <c r="Q14" i="26"/>
  <c r="Q12" i="26"/>
  <c r="Q10" i="26"/>
  <c r="P53" i="26"/>
  <c r="P51" i="26"/>
  <c r="P49" i="26"/>
  <c r="P47" i="26"/>
  <c r="P45" i="26"/>
  <c r="P43" i="26"/>
  <c r="P41" i="26"/>
  <c r="P39" i="26"/>
  <c r="P37" i="26"/>
  <c r="P33" i="26"/>
  <c r="P31" i="26"/>
  <c r="P29" i="26"/>
  <c r="P27" i="26"/>
  <c r="P25" i="26"/>
  <c r="P23" i="26"/>
  <c r="P18" i="26"/>
  <c r="P16" i="26"/>
  <c r="P14" i="26"/>
  <c r="P12" i="26"/>
  <c r="P10" i="26"/>
  <c r="O53" i="26"/>
  <c r="O51" i="26"/>
  <c r="O49" i="26"/>
  <c r="O47" i="26"/>
  <c r="O45" i="26"/>
  <c r="O43" i="26"/>
  <c r="O41" i="26"/>
  <c r="O39" i="26"/>
  <c r="O37" i="26"/>
  <c r="O33" i="26"/>
  <c r="O31" i="26"/>
  <c r="O29" i="26"/>
  <c r="O27" i="26"/>
  <c r="O25" i="26"/>
  <c r="O23" i="26"/>
  <c r="O18" i="26"/>
  <c r="O16" i="26"/>
  <c r="O14" i="26"/>
  <c r="O12" i="26"/>
  <c r="O10" i="26"/>
  <c r="N53" i="26"/>
  <c r="N51" i="26"/>
  <c r="N49" i="26"/>
  <c r="N47" i="26"/>
  <c r="N45" i="26"/>
  <c r="N43" i="26"/>
  <c r="N41" i="26"/>
  <c r="N39" i="26"/>
  <c r="N37" i="26"/>
  <c r="N33" i="26"/>
  <c r="N31" i="26"/>
  <c r="N29" i="26"/>
  <c r="N27" i="26"/>
  <c r="N25" i="26"/>
  <c r="N23" i="26"/>
  <c r="N18" i="26"/>
  <c r="N16" i="26"/>
  <c r="N14" i="26"/>
  <c r="N12" i="26"/>
  <c r="N10" i="26"/>
  <c r="K53" i="26"/>
  <c r="K51" i="26"/>
  <c r="K49" i="26"/>
  <c r="K47" i="26"/>
  <c r="K45" i="26"/>
  <c r="K43" i="26"/>
  <c r="K41" i="26"/>
  <c r="K39" i="26"/>
  <c r="K37" i="26"/>
  <c r="K33" i="26"/>
  <c r="K31" i="26"/>
  <c r="K29" i="26"/>
  <c r="K27" i="26"/>
  <c r="K25" i="26"/>
  <c r="K23" i="26"/>
  <c r="K18" i="26"/>
  <c r="K16" i="26"/>
  <c r="K14" i="26"/>
  <c r="K12" i="26"/>
  <c r="K10" i="26"/>
  <c r="A5" i="46"/>
  <c r="A6" i="46"/>
  <c r="A7" i="46"/>
  <c r="A8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4" i="46"/>
  <c r="N2" i="39"/>
  <c r="AQ307" i="54" l="1"/>
  <c r="AU307" i="54" s="1"/>
  <c r="AQ310" i="54"/>
  <c r="AT304" i="54"/>
  <c r="AU304" i="54"/>
  <c r="AV304" i="54"/>
  <c r="AW304" i="54" s="1"/>
  <c r="AT312" i="54"/>
  <c r="AU312" i="54"/>
  <c r="AV312" i="54" s="1"/>
  <c r="AW312" i="54" s="1"/>
  <c r="AT307" i="54"/>
  <c r="AT310" i="54"/>
  <c r="AU310" i="54"/>
  <c r="AV310" i="54" s="1"/>
  <c r="AW310" i="54" s="1"/>
  <c r="AT308" i="54"/>
  <c r="AU308" i="54"/>
  <c r="AT306" i="54"/>
  <c r="AU306" i="54"/>
  <c r="AV306" i="54" s="1"/>
  <c r="AW306" i="54" s="1"/>
  <c r="AV309" i="54"/>
  <c r="AW309" i="54" s="1"/>
  <c r="AT309" i="54"/>
  <c r="AT305" i="54"/>
  <c r="AV305" i="54" s="1"/>
  <c r="AW305" i="54" s="1"/>
  <c r="AU311" i="54"/>
  <c r="AV311" i="54" s="1"/>
  <c r="AW311" i="54" s="1"/>
  <c r="AV308" i="54" l="1"/>
  <c r="AW308" i="54" s="1"/>
  <c r="AV307" i="54"/>
  <c r="AW307" i="54" s="1"/>
  <c r="AR303" i="54" l="1"/>
  <c r="AS303" i="54" s="1"/>
  <c r="AO303" i="54"/>
  <c r="AP303" i="54" s="1"/>
  <c r="AN303" i="54"/>
  <c r="AR302" i="54"/>
  <c r="AS302" i="54" s="1"/>
  <c r="AO302" i="54"/>
  <c r="AP302" i="54" s="1"/>
  <c r="AN302" i="54"/>
  <c r="AR301" i="54"/>
  <c r="AS301" i="54" s="1"/>
  <c r="AO301" i="54"/>
  <c r="AP301" i="54" s="1"/>
  <c r="AN301" i="54"/>
  <c r="AR300" i="54"/>
  <c r="AS300" i="54" s="1"/>
  <c r="AO300" i="54"/>
  <c r="AP300" i="54" s="1"/>
  <c r="AN300" i="54"/>
  <c r="AR299" i="54"/>
  <c r="AS299" i="54" s="1"/>
  <c r="AO299" i="54"/>
  <c r="AP299" i="54" s="1"/>
  <c r="AN299" i="54"/>
  <c r="AR298" i="54"/>
  <c r="AO298" i="54"/>
  <c r="AP298" i="54" s="1"/>
  <c r="AN298" i="54"/>
  <c r="AR297" i="54"/>
  <c r="AS297" i="54" s="1"/>
  <c r="AO297" i="54"/>
  <c r="AP297" i="54" s="1"/>
  <c r="AN297" i="54"/>
  <c r="AR296" i="54"/>
  <c r="AS296" i="54" s="1"/>
  <c r="AO296" i="54"/>
  <c r="AP296" i="54" s="1"/>
  <c r="AN296" i="54"/>
  <c r="AR295" i="54"/>
  <c r="AS295" i="54" s="1"/>
  <c r="AO295" i="54"/>
  <c r="AP295" i="54" s="1"/>
  <c r="AN295" i="54"/>
  <c r="AR294" i="54"/>
  <c r="AS294" i="54" s="1"/>
  <c r="AO294" i="54"/>
  <c r="AP294" i="54" s="1"/>
  <c r="AN294" i="54"/>
  <c r="AR293" i="54"/>
  <c r="AS293" i="54" s="1"/>
  <c r="AO293" i="54"/>
  <c r="AP293" i="54" s="1"/>
  <c r="AN293" i="54"/>
  <c r="AR292" i="54"/>
  <c r="AS292" i="54" s="1"/>
  <c r="AO292" i="54"/>
  <c r="AP292" i="54" s="1"/>
  <c r="AN292" i="54"/>
  <c r="AR291" i="54"/>
  <c r="AS291" i="54" s="1"/>
  <c r="AO291" i="54"/>
  <c r="AP291" i="54" s="1"/>
  <c r="AN291" i="54"/>
  <c r="AR290" i="54"/>
  <c r="AO290" i="54"/>
  <c r="AP290" i="54" s="1"/>
  <c r="AN290" i="54"/>
  <c r="AR289" i="54"/>
  <c r="AS289" i="54" s="1"/>
  <c r="AO289" i="54"/>
  <c r="AP289" i="54" s="1"/>
  <c r="AN289" i="54"/>
  <c r="AR288" i="54"/>
  <c r="AS288" i="54" s="1"/>
  <c r="AO288" i="54"/>
  <c r="AP288" i="54" s="1"/>
  <c r="AN288" i="54"/>
  <c r="AR287" i="54"/>
  <c r="AS287" i="54" s="1"/>
  <c r="AO287" i="54"/>
  <c r="AP287" i="54" s="1"/>
  <c r="AN287" i="54"/>
  <c r="AR286" i="54"/>
  <c r="AS286" i="54" s="1"/>
  <c r="AO286" i="54"/>
  <c r="AP286" i="54" s="1"/>
  <c r="AN286" i="54"/>
  <c r="AR285" i="54"/>
  <c r="AS285" i="54" s="1"/>
  <c r="AO285" i="54"/>
  <c r="AP285" i="54" s="1"/>
  <c r="AN285" i="54"/>
  <c r="AR284" i="54"/>
  <c r="AS284" i="54" s="1"/>
  <c r="AO284" i="54"/>
  <c r="AP284" i="54" s="1"/>
  <c r="AN284" i="54"/>
  <c r="AR283" i="54"/>
  <c r="AS283" i="54" s="1"/>
  <c r="AO283" i="54"/>
  <c r="AP283" i="54" s="1"/>
  <c r="AN283" i="54"/>
  <c r="AR282" i="54"/>
  <c r="AS282" i="54" s="1"/>
  <c r="AO282" i="54"/>
  <c r="AP282" i="54" s="1"/>
  <c r="AN282" i="54"/>
  <c r="AR281" i="54"/>
  <c r="AS281" i="54" s="1"/>
  <c r="AO281" i="54"/>
  <c r="AP281" i="54" s="1"/>
  <c r="AN281" i="54"/>
  <c r="AR280" i="54"/>
  <c r="AS280" i="54" s="1"/>
  <c r="AO280" i="54"/>
  <c r="AP280" i="54" s="1"/>
  <c r="AN280" i="54"/>
  <c r="AR279" i="54"/>
  <c r="AS279" i="54" s="1"/>
  <c r="AO279" i="54"/>
  <c r="AP279" i="54" s="1"/>
  <c r="AN279" i="54"/>
  <c r="AR278" i="54"/>
  <c r="AS278" i="54" s="1"/>
  <c r="AO278" i="54"/>
  <c r="AP278" i="54" s="1"/>
  <c r="AN278" i="54"/>
  <c r="AR277" i="54"/>
  <c r="AS277" i="54" s="1"/>
  <c r="AO277" i="54"/>
  <c r="AP277" i="54" s="1"/>
  <c r="AN277" i="54"/>
  <c r="AR276" i="54"/>
  <c r="AS276" i="54" s="1"/>
  <c r="AO276" i="54"/>
  <c r="AP276" i="54" s="1"/>
  <c r="AN276" i="54"/>
  <c r="AR275" i="54"/>
  <c r="AS275" i="54" s="1"/>
  <c r="AO275" i="54"/>
  <c r="AP275" i="54" s="1"/>
  <c r="AN275" i="54"/>
  <c r="AR274" i="54"/>
  <c r="AO274" i="54"/>
  <c r="AP274" i="54" s="1"/>
  <c r="AN274" i="54"/>
  <c r="AR273" i="54"/>
  <c r="AS273" i="54" s="1"/>
  <c r="AO273" i="54"/>
  <c r="AP273" i="54" s="1"/>
  <c r="AN273" i="54"/>
  <c r="AR272" i="54"/>
  <c r="AS272" i="54" s="1"/>
  <c r="AO272" i="54"/>
  <c r="AP272" i="54" s="1"/>
  <c r="AN272" i="54"/>
  <c r="AR271" i="54"/>
  <c r="AS271" i="54" s="1"/>
  <c r="AO271" i="54"/>
  <c r="AP271" i="54" s="1"/>
  <c r="AN271" i="54"/>
  <c r="AR270" i="54"/>
  <c r="AS270" i="54" s="1"/>
  <c r="AO270" i="54"/>
  <c r="AP270" i="54" s="1"/>
  <c r="AN270" i="54"/>
  <c r="AR269" i="54"/>
  <c r="AS269" i="54" s="1"/>
  <c r="AO269" i="54"/>
  <c r="AP269" i="54" s="1"/>
  <c r="AN269" i="54"/>
  <c r="AR268" i="54"/>
  <c r="AS268" i="54" s="1"/>
  <c r="AO268" i="54"/>
  <c r="AP268" i="54" s="1"/>
  <c r="AN268" i="54"/>
  <c r="AR267" i="54"/>
  <c r="AS267" i="54" s="1"/>
  <c r="AO267" i="54"/>
  <c r="AP267" i="54" s="1"/>
  <c r="AN267" i="54"/>
  <c r="AR266" i="54"/>
  <c r="AO266" i="54"/>
  <c r="AP266" i="54" s="1"/>
  <c r="AN266" i="54"/>
  <c r="AR265" i="54"/>
  <c r="AS265" i="54" s="1"/>
  <c r="AO265" i="54"/>
  <c r="AP265" i="54" s="1"/>
  <c r="AN265" i="54"/>
  <c r="AR264" i="54"/>
  <c r="AS264" i="54" s="1"/>
  <c r="AO264" i="54"/>
  <c r="AP264" i="54" s="1"/>
  <c r="AN264" i="54"/>
  <c r="AR263" i="54"/>
  <c r="AS263" i="54" s="1"/>
  <c r="AO263" i="54"/>
  <c r="AP263" i="54" s="1"/>
  <c r="AN263" i="54"/>
  <c r="AR262" i="54"/>
  <c r="AS262" i="54" s="1"/>
  <c r="AO262" i="54"/>
  <c r="AP262" i="54" s="1"/>
  <c r="AN262" i="54"/>
  <c r="AR261" i="54"/>
  <c r="AS261" i="54" s="1"/>
  <c r="AO261" i="54"/>
  <c r="AP261" i="54" s="1"/>
  <c r="AN261" i="54"/>
  <c r="AR260" i="54"/>
  <c r="AS260" i="54" s="1"/>
  <c r="AO260" i="54"/>
  <c r="AP260" i="54" s="1"/>
  <c r="AN260" i="54"/>
  <c r="AR259" i="54"/>
  <c r="AS259" i="54" s="1"/>
  <c r="AO259" i="54"/>
  <c r="AP259" i="54" s="1"/>
  <c r="AN259" i="54"/>
  <c r="AR258" i="54"/>
  <c r="AS258" i="54" s="1"/>
  <c r="AO258" i="54"/>
  <c r="AP258" i="54" s="1"/>
  <c r="AN258" i="54"/>
  <c r="AR257" i="54"/>
  <c r="AS257" i="54" s="1"/>
  <c r="AO257" i="54"/>
  <c r="AP257" i="54" s="1"/>
  <c r="AN257" i="54"/>
  <c r="AR256" i="54"/>
  <c r="AS256" i="54" s="1"/>
  <c r="AO256" i="54"/>
  <c r="AP256" i="54" s="1"/>
  <c r="AN256" i="54"/>
  <c r="AR255" i="54"/>
  <c r="AS255" i="54" s="1"/>
  <c r="AO255" i="54"/>
  <c r="AP255" i="54" s="1"/>
  <c r="AN255" i="54"/>
  <c r="AR254" i="54"/>
  <c r="AS254" i="54" s="1"/>
  <c r="AO254" i="54"/>
  <c r="AP254" i="54" s="1"/>
  <c r="AN254" i="54"/>
  <c r="AR253" i="54"/>
  <c r="AS253" i="54" s="1"/>
  <c r="AO253" i="54"/>
  <c r="AP253" i="54" s="1"/>
  <c r="AN253" i="54"/>
  <c r="AR252" i="54"/>
  <c r="AS252" i="54" s="1"/>
  <c r="AO252" i="54"/>
  <c r="AP252" i="54" s="1"/>
  <c r="AN252" i="54"/>
  <c r="AR251" i="54"/>
  <c r="AS251" i="54" s="1"/>
  <c r="AO251" i="54"/>
  <c r="AP251" i="54" s="1"/>
  <c r="AN251" i="54"/>
  <c r="AR250" i="54"/>
  <c r="AS250" i="54" s="1"/>
  <c r="AO250" i="54"/>
  <c r="AP250" i="54" s="1"/>
  <c r="AN250" i="54"/>
  <c r="AR249" i="54"/>
  <c r="AS249" i="54" s="1"/>
  <c r="AO249" i="54"/>
  <c r="AP249" i="54" s="1"/>
  <c r="AN249" i="54"/>
  <c r="AR248" i="54"/>
  <c r="AS248" i="54" s="1"/>
  <c r="AO248" i="54"/>
  <c r="AP248" i="54" s="1"/>
  <c r="AN248" i="54"/>
  <c r="AR247" i="54"/>
  <c r="AS247" i="54" s="1"/>
  <c r="AO247" i="54"/>
  <c r="AP247" i="54" s="1"/>
  <c r="AN247" i="54"/>
  <c r="AR246" i="54"/>
  <c r="AS246" i="54" s="1"/>
  <c r="AO246" i="54"/>
  <c r="AP246" i="54" s="1"/>
  <c r="AN246" i="54"/>
  <c r="AR245" i="54"/>
  <c r="AS245" i="54" s="1"/>
  <c r="AO245" i="54"/>
  <c r="AP245" i="54" s="1"/>
  <c r="AN245" i="54"/>
  <c r="AR244" i="54"/>
  <c r="AS244" i="54" s="1"/>
  <c r="AO244" i="54"/>
  <c r="AP244" i="54" s="1"/>
  <c r="AN244" i="54"/>
  <c r="AR243" i="54"/>
  <c r="AS243" i="54" s="1"/>
  <c r="AO243" i="54"/>
  <c r="AP243" i="54" s="1"/>
  <c r="AN243" i="54"/>
  <c r="AR242" i="54"/>
  <c r="AS242" i="54" s="1"/>
  <c r="AO242" i="54"/>
  <c r="AP242" i="54" s="1"/>
  <c r="AN242" i="54"/>
  <c r="AR241" i="54"/>
  <c r="AS241" i="54" s="1"/>
  <c r="AO241" i="54"/>
  <c r="AP241" i="54" s="1"/>
  <c r="AN241" i="54"/>
  <c r="AR240" i="54"/>
  <c r="AS240" i="54" s="1"/>
  <c r="AO240" i="54"/>
  <c r="AP240" i="54" s="1"/>
  <c r="AN240" i="54"/>
  <c r="AR239" i="54"/>
  <c r="AS239" i="54" s="1"/>
  <c r="AO239" i="54"/>
  <c r="AP239" i="54" s="1"/>
  <c r="AN239" i="54"/>
  <c r="AR238" i="54"/>
  <c r="AS238" i="54" s="1"/>
  <c r="AO238" i="54"/>
  <c r="AP238" i="54" s="1"/>
  <c r="AN238" i="54"/>
  <c r="AR237" i="54"/>
  <c r="AS237" i="54" s="1"/>
  <c r="AO237" i="54"/>
  <c r="AP237" i="54" s="1"/>
  <c r="AN237" i="54"/>
  <c r="AR236" i="54"/>
  <c r="AS236" i="54" s="1"/>
  <c r="AO236" i="54"/>
  <c r="AP236" i="54" s="1"/>
  <c r="AN236" i="54"/>
  <c r="AR235" i="54"/>
  <c r="AS235" i="54" s="1"/>
  <c r="AO235" i="54"/>
  <c r="AP235" i="54" s="1"/>
  <c r="AN235" i="54"/>
  <c r="AR234" i="54"/>
  <c r="AS234" i="54" s="1"/>
  <c r="AO234" i="54"/>
  <c r="AP234" i="54" s="1"/>
  <c r="AN234" i="54"/>
  <c r="AR233" i="54"/>
  <c r="AS233" i="54" s="1"/>
  <c r="AO233" i="54"/>
  <c r="AP233" i="54" s="1"/>
  <c r="AN233" i="54"/>
  <c r="AR232" i="54"/>
  <c r="AS232" i="54" s="1"/>
  <c r="AO232" i="54"/>
  <c r="AP232" i="54" s="1"/>
  <c r="AN232" i="54"/>
  <c r="AR231" i="54"/>
  <c r="AS231" i="54" s="1"/>
  <c r="AO231" i="54"/>
  <c r="AP231" i="54" s="1"/>
  <c r="AN231" i="54"/>
  <c r="AR230" i="54"/>
  <c r="AS230" i="54" s="1"/>
  <c r="AO230" i="54"/>
  <c r="AP230" i="54" s="1"/>
  <c r="AN230" i="54"/>
  <c r="AR229" i="54"/>
  <c r="AS229" i="54" s="1"/>
  <c r="AO229" i="54"/>
  <c r="AP229" i="54" s="1"/>
  <c r="AN229" i="54"/>
  <c r="AR228" i="54"/>
  <c r="AS228" i="54" s="1"/>
  <c r="AO228" i="54"/>
  <c r="AP228" i="54" s="1"/>
  <c r="AN228" i="54"/>
  <c r="AR227" i="54"/>
  <c r="AS227" i="54" s="1"/>
  <c r="AO227" i="54"/>
  <c r="AP227" i="54" s="1"/>
  <c r="AN227" i="54"/>
  <c r="AR226" i="54"/>
  <c r="AS226" i="54" s="1"/>
  <c r="AO226" i="54"/>
  <c r="AP226" i="54" s="1"/>
  <c r="AN226" i="54"/>
  <c r="AR225" i="54"/>
  <c r="AS225" i="54" s="1"/>
  <c r="AO225" i="54"/>
  <c r="AP225" i="54" s="1"/>
  <c r="AN225" i="54"/>
  <c r="AR224" i="54"/>
  <c r="AS224" i="54" s="1"/>
  <c r="AO224" i="54"/>
  <c r="AP224" i="54" s="1"/>
  <c r="AN224" i="54"/>
  <c r="AR223" i="54"/>
  <c r="AS223" i="54" s="1"/>
  <c r="AO223" i="54"/>
  <c r="AP223" i="54" s="1"/>
  <c r="AN223" i="54"/>
  <c r="AR222" i="54"/>
  <c r="AS222" i="54" s="1"/>
  <c r="AO222" i="54"/>
  <c r="AP222" i="54" s="1"/>
  <c r="AN222" i="54"/>
  <c r="AR221" i="54"/>
  <c r="AS221" i="54" s="1"/>
  <c r="AO221" i="54"/>
  <c r="AP221" i="54" s="1"/>
  <c r="AN221" i="54"/>
  <c r="AR220" i="54"/>
  <c r="AS220" i="54" s="1"/>
  <c r="AO220" i="54"/>
  <c r="AP220" i="54" s="1"/>
  <c r="AN220" i="54"/>
  <c r="AR219" i="54"/>
  <c r="AS219" i="54" s="1"/>
  <c r="AO219" i="54"/>
  <c r="AP219" i="54" s="1"/>
  <c r="AN219" i="54"/>
  <c r="AR218" i="54"/>
  <c r="AS218" i="54" s="1"/>
  <c r="AO218" i="54"/>
  <c r="AP218" i="54" s="1"/>
  <c r="AN218" i="54"/>
  <c r="AR217" i="54"/>
  <c r="AS217" i="54" s="1"/>
  <c r="AO217" i="54"/>
  <c r="AP217" i="54" s="1"/>
  <c r="AN217" i="54"/>
  <c r="AR216" i="54"/>
  <c r="AS216" i="54" s="1"/>
  <c r="AO216" i="54"/>
  <c r="AP216" i="54" s="1"/>
  <c r="AN216" i="54"/>
  <c r="AR215" i="54"/>
  <c r="AS215" i="54" s="1"/>
  <c r="AO215" i="54"/>
  <c r="AP215" i="54" s="1"/>
  <c r="AN215" i="54"/>
  <c r="AR214" i="54"/>
  <c r="AS214" i="54" s="1"/>
  <c r="AO214" i="54"/>
  <c r="AP214" i="54" s="1"/>
  <c r="AN214" i="54"/>
  <c r="AR213" i="54"/>
  <c r="AS213" i="54" s="1"/>
  <c r="AO213" i="54"/>
  <c r="AP213" i="54" s="1"/>
  <c r="AN213" i="54"/>
  <c r="AR212" i="54"/>
  <c r="AS212" i="54" s="1"/>
  <c r="AO212" i="54"/>
  <c r="AP212" i="54" s="1"/>
  <c r="AN212" i="54"/>
  <c r="AR211" i="54"/>
  <c r="AS211" i="54" s="1"/>
  <c r="AO211" i="54"/>
  <c r="AP211" i="54" s="1"/>
  <c r="AN211" i="54"/>
  <c r="AR210" i="54"/>
  <c r="AS210" i="54" s="1"/>
  <c r="AO210" i="54"/>
  <c r="AP210" i="54" s="1"/>
  <c r="AN210" i="54"/>
  <c r="AR209" i="54"/>
  <c r="AS209" i="54" s="1"/>
  <c r="AO209" i="54"/>
  <c r="AP209" i="54" s="1"/>
  <c r="AN209" i="54"/>
  <c r="AR208" i="54"/>
  <c r="AS208" i="54" s="1"/>
  <c r="AO208" i="54"/>
  <c r="AP208" i="54" s="1"/>
  <c r="AN208" i="54"/>
  <c r="AR207" i="54"/>
  <c r="AS207" i="54" s="1"/>
  <c r="AO207" i="54"/>
  <c r="AP207" i="54" s="1"/>
  <c r="AN207" i="54"/>
  <c r="AR206" i="54"/>
  <c r="AS206" i="54" s="1"/>
  <c r="AO206" i="54"/>
  <c r="AP206" i="54" s="1"/>
  <c r="AN206" i="54"/>
  <c r="AR205" i="54"/>
  <c r="AS205" i="54" s="1"/>
  <c r="AO205" i="54"/>
  <c r="AP205" i="54" s="1"/>
  <c r="AN205" i="54"/>
  <c r="AR204" i="54"/>
  <c r="AS204" i="54" s="1"/>
  <c r="AO204" i="54"/>
  <c r="AP204" i="54" s="1"/>
  <c r="AN204" i="54"/>
  <c r="AR203" i="54"/>
  <c r="AS203" i="54" s="1"/>
  <c r="AO203" i="54"/>
  <c r="AP203" i="54" s="1"/>
  <c r="AN203" i="54"/>
  <c r="AR202" i="54"/>
  <c r="AS202" i="54" s="1"/>
  <c r="AO202" i="54"/>
  <c r="AP202" i="54" s="1"/>
  <c r="AN202" i="54"/>
  <c r="AR201" i="54"/>
  <c r="AS201" i="54" s="1"/>
  <c r="AO201" i="54"/>
  <c r="AP201" i="54" s="1"/>
  <c r="AN201" i="54"/>
  <c r="AR200" i="54"/>
  <c r="AS200" i="54" s="1"/>
  <c r="AO200" i="54"/>
  <c r="AP200" i="54" s="1"/>
  <c r="AN200" i="54"/>
  <c r="AR199" i="54"/>
  <c r="AS199" i="54" s="1"/>
  <c r="AO199" i="54"/>
  <c r="AP199" i="54" s="1"/>
  <c r="AN199" i="54"/>
  <c r="AR198" i="54"/>
  <c r="AS198" i="54" s="1"/>
  <c r="AO198" i="54"/>
  <c r="AP198" i="54" s="1"/>
  <c r="AN198" i="54"/>
  <c r="AR197" i="54"/>
  <c r="AS197" i="54" s="1"/>
  <c r="AO197" i="54"/>
  <c r="AP197" i="54" s="1"/>
  <c r="AN197" i="54"/>
  <c r="AR196" i="54"/>
  <c r="AS196" i="54" s="1"/>
  <c r="AO196" i="54"/>
  <c r="AP196" i="54" s="1"/>
  <c r="AN196" i="54"/>
  <c r="AR195" i="54"/>
  <c r="AS195" i="54" s="1"/>
  <c r="AO195" i="54"/>
  <c r="AP195" i="54" s="1"/>
  <c r="AN195" i="54"/>
  <c r="AR194" i="54"/>
  <c r="AS194" i="54" s="1"/>
  <c r="AO194" i="54"/>
  <c r="AP194" i="54" s="1"/>
  <c r="AN194" i="54"/>
  <c r="AR193" i="54"/>
  <c r="AS193" i="54" s="1"/>
  <c r="AO193" i="54"/>
  <c r="AP193" i="54" s="1"/>
  <c r="AN193" i="54"/>
  <c r="AR192" i="54"/>
  <c r="AS192" i="54" s="1"/>
  <c r="AO192" i="54"/>
  <c r="AP192" i="54" s="1"/>
  <c r="AN192" i="54"/>
  <c r="AR191" i="54"/>
  <c r="AS191" i="54" s="1"/>
  <c r="AO191" i="54"/>
  <c r="AP191" i="54" s="1"/>
  <c r="AN191" i="54"/>
  <c r="AR190" i="54"/>
  <c r="AS190" i="54" s="1"/>
  <c r="AO190" i="54"/>
  <c r="AP190" i="54" s="1"/>
  <c r="AN190" i="54"/>
  <c r="AR189" i="54"/>
  <c r="AS189" i="54" s="1"/>
  <c r="AO189" i="54"/>
  <c r="AP189" i="54" s="1"/>
  <c r="AN189" i="54"/>
  <c r="AR188" i="54"/>
  <c r="AS188" i="54" s="1"/>
  <c r="AO188" i="54"/>
  <c r="AP188" i="54" s="1"/>
  <c r="AN188" i="54"/>
  <c r="AR187" i="54"/>
  <c r="AS187" i="54" s="1"/>
  <c r="AO187" i="54"/>
  <c r="AP187" i="54" s="1"/>
  <c r="AN187" i="54"/>
  <c r="AR186" i="54"/>
  <c r="AS186" i="54" s="1"/>
  <c r="AO186" i="54"/>
  <c r="AP186" i="54" s="1"/>
  <c r="AN186" i="54"/>
  <c r="AR185" i="54"/>
  <c r="AS185" i="54" s="1"/>
  <c r="AO185" i="54"/>
  <c r="AP185" i="54" s="1"/>
  <c r="AN185" i="54"/>
  <c r="AR184" i="54"/>
  <c r="AS184" i="54" s="1"/>
  <c r="AO184" i="54"/>
  <c r="AP184" i="54" s="1"/>
  <c r="AN184" i="54"/>
  <c r="AR183" i="54"/>
  <c r="AS183" i="54" s="1"/>
  <c r="AO183" i="54"/>
  <c r="AP183" i="54" s="1"/>
  <c r="AN183" i="54"/>
  <c r="AR182" i="54"/>
  <c r="AS182" i="54" s="1"/>
  <c r="AO182" i="54"/>
  <c r="AP182" i="54" s="1"/>
  <c r="AN182" i="54"/>
  <c r="AR181" i="54"/>
  <c r="AS181" i="54" s="1"/>
  <c r="AO181" i="54"/>
  <c r="AP181" i="54" s="1"/>
  <c r="AN181" i="54"/>
  <c r="AR180" i="54"/>
  <c r="AS180" i="54" s="1"/>
  <c r="AO180" i="54"/>
  <c r="AP180" i="54" s="1"/>
  <c r="AN180" i="54"/>
  <c r="AR179" i="54"/>
  <c r="AS179" i="54" s="1"/>
  <c r="AO179" i="54"/>
  <c r="AP179" i="54" s="1"/>
  <c r="AN179" i="54"/>
  <c r="AR178" i="54"/>
  <c r="AS178" i="54" s="1"/>
  <c r="AO178" i="54"/>
  <c r="AP178" i="54" s="1"/>
  <c r="AN178" i="54"/>
  <c r="AR177" i="54"/>
  <c r="AS177" i="54" s="1"/>
  <c r="AO177" i="54"/>
  <c r="AP177" i="54" s="1"/>
  <c r="AN177" i="54"/>
  <c r="AR176" i="54"/>
  <c r="AS176" i="54" s="1"/>
  <c r="AO176" i="54"/>
  <c r="AP176" i="54" s="1"/>
  <c r="AN176" i="54"/>
  <c r="AR175" i="54"/>
  <c r="AS175" i="54" s="1"/>
  <c r="AO175" i="54"/>
  <c r="AP175" i="54" s="1"/>
  <c r="AN175" i="54"/>
  <c r="AR174" i="54"/>
  <c r="AS174" i="54" s="1"/>
  <c r="AO174" i="54"/>
  <c r="AP174" i="54" s="1"/>
  <c r="AN174" i="54"/>
  <c r="AR173" i="54"/>
  <c r="AS173" i="54" s="1"/>
  <c r="AO173" i="54"/>
  <c r="AP173" i="54" s="1"/>
  <c r="AN173" i="54"/>
  <c r="AR172" i="54"/>
  <c r="AS172" i="54" s="1"/>
  <c r="AO172" i="54"/>
  <c r="AP172" i="54" s="1"/>
  <c r="AN172" i="54"/>
  <c r="AR171" i="54"/>
  <c r="AS171" i="54" s="1"/>
  <c r="AO171" i="54"/>
  <c r="AP171" i="54" s="1"/>
  <c r="AN171" i="54"/>
  <c r="AR170" i="54"/>
  <c r="AS170" i="54" s="1"/>
  <c r="AO170" i="54"/>
  <c r="AP170" i="54" s="1"/>
  <c r="AN170" i="54"/>
  <c r="AR169" i="54"/>
  <c r="AS169" i="54" s="1"/>
  <c r="AO169" i="54"/>
  <c r="AP169" i="54" s="1"/>
  <c r="AN169" i="54"/>
  <c r="AR168" i="54"/>
  <c r="AS168" i="54" s="1"/>
  <c r="AO168" i="54"/>
  <c r="AP168" i="54" s="1"/>
  <c r="AN168" i="54"/>
  <c r="AR167" i="54"/>
  <c r="AS167" i="54" s="1"/>
  <c r="AO167" i="54"/>
  <c r="AP167" i="54" s="1"/>
  <c r="AN167" i="54"/>
  <c r="AR166" i="54"/>
  <c r="AS166" i="54" s="1"/>
  <c r="AO166" i="54"/>
  <c r="AP166" i="54" s="1"/>
  <c r="AN166" i="54"/>
  <c r="AR165" i="54"/>
  <c r="AS165" i="54" s="1"/>
  <c r="AO165" i="54"/>
  <c r="AP165" i="54" s="1"/>
  <c r="AN165" i="54"/>
  <c r="AR164" i="54"/>
  <c r="AS164" i="54" s="1"/>
  <c r="AO164" i="54"/>
  <c r="AP164" i="54" s="1"/>
  <c r="AN164" i="54"/>
  <c r="AR163" i="54"/>
  <c r="AS163" i="54" s="1"/>
  <c r="AO163" i="54"/>
  <c r="AP163" i="54" s="1"/>
  <c r="AN163" i="54"/>
  <c r="AR162" i="54"/>
  <c r="AS162" i="54" s="1"/>
  <c r="AO162" i="54"/>
  <c r="AP162" i="54" s="1"/>
  <c r="AN162" i="54"/>
  <c r="AR161" i="54"/>
  <c r="AS161" i="54" s="1"/>
  <c r="AO161" i="54"/>
  <c r="AP161" i="54" s="1"/>
  <c r="AN161" i="54"/>
  <c r="AR160" i="54"/>
  <c r="AS160" i="54" s="1"/>
  <c r="AO160" i="54"/>
  <c r="AP160" i="54" s="1"/>
  <c r="AN160" i="54"/>
  <c r="AR159" i="54"/>
  <c r="AS159" i="54" s="1"/>
  <c r="AO159" i="54"/>
  <c r="AP159" i="54" s="1"/>
  <c r="AN159" i="54"/>
  <c r="AR158" i="54"/>
  <c r="AS158" i="54" s="1"/>
  <c r="AO158" i="54"/>
  <c r="AP158" i="54" s="1"/>
  <c r="AN158" i="54"/>
  <c r="AR157" i="54"/>
  <c r="AS157" i="54" s="1"/>
  <c r="AO157" i="54"/>
  <c r="AP157" i="54" s="1"/>
  <c r="AN157" i="54"/>
  <c r="AR156" i="54"/>
  <c r="AS156" i="54" s="1"/>
  <c r="AO156" i="54"/>
  <c r="AP156" i="54" s="1"/>
  <c r="AN156" i="54"/>
  <c r="AR155" i="54"/>
  <c r="AS155" i="54" s="1"/>
  <c r="AO155" i="54"/>
  <c r="AP155" i="54" s="1"/>
  <c r="AN155" i="54"/>
  <c r="AR154" i="54"/>
  <c r="AS154" i="54" s="1"/>
  <c r="AO154" i="54"/>
  <c r="AP154" i="54" s="1"/>
  <c r="AN154" i="54"/>
  <c r="AR153" i="54"/>
  <c r="AS153" i="54" s="1"/>
  <c r="AO153" i="54"/>
  <c r="AP153" i="54" s="1"/>
  <c r="AN153" i="54"/>
  <c r="AR152" i="54"/>
  <c r="AS152" i="54" s="1"/>
  <c r="AO152" i="54"/>
  <c r="AP152" i="54" s="1"/>
  <c r="AN152" i="54"/>
  <c r="AR151" i="54"/>
  <c r="AS151" i="54" s="1"/>
  <c r="AO151" i="54"/>
  <c r="AP151" i="54" s="1"/>
  <c r="AN151" i="54"/>
  <c r="AR150" i="54"/>
  <c r="AS150" i="54" s="1"/>
  <c r="AO150" i="54"/>
  <c r="AP150" i="54" s="1"/>
  <c r="AN150" i="54"/>
  <c r="AR149" i="54"/>
  <c r="AS149" i="54" s="1"/>
  <c r="AO149" i="54"/>
  <c r="AP149" i="54" s="1"/>
  <c r="AN149" i="54"/>
  <c r="AR148" i="54"/>
  <c r="AS148" i="54" s="1"/>
  <c r="AO148" i="54"/>
  <c r="AP148" i="54" s="1"/>
  <c r="AN148" i="54"/>
  <c r="AR147" i="54"/>
  <c r="AS147" i="54" s="1"/>
  <c r="AO147" i="54"/>
  <c r="AP147" i="54" s="1"/>
  <c r="AN147" i="54"/>
  <c r="AR146" i="54"/>
  <c r="AS146" i="54" s="1"/>
  <c r="AO146" i="54"/>
  <c r="AP146" i="54" s="1"/>
  <c r="AN146" i="54"/>
  <c r="AR145" i="54"/>
  <c r="AS145" i="54" s="1"/>
  <c r="AO145" i="54"/>
  <c r="AP145" i="54" s="1"/>
  <c r="AN145" i="54"/>
  <c r="AR144" i="54"/>
  <c r="AS144" i="54" s="1"/>
  <c r="AO144" i="54"/>
  <c r="AP144" i="54" s="1"/>
  <c r="AN144" i="54"/>
  <c r="AR143" i="54"/>
  <c r="AS143" i="54" s="1"/>
  <c r="AO143" i="54"/>
  <c r="AP143" i="54" s="1"/>
  <c r="AN143" i="54"/>
  <c r="AR142" i="54"/>
  <c r="AS142" i="54" s="1"/>
  <c r="AO142" i="54"/>
  <c r="AP142" i="54" s="1"/>
  <c r="AN142" i="54"/>
  <c r="AR141" i="54"/>
  <c r="AS141" i="54" s="1"/>
  <c r="AO141" i="54"/>
  <c r="AP141" i="54" s="1"/>
  <c r="AN141" i="54"/>
  <c r="AR140" i="54"/>
  <c r="AS140" i="54" s="1"/>
  <c r="AO140" i="54"/>
  <c r="AP140" i="54" s="1"/>
  <c r="AN140" i="54"/>
  <c r="AR139" i="54"/>
  <c r="AS139" i="54" s="1"/>
  <c r="AO139" i="54"/>
  <c r="AP139" i="54" s="1"/>
  <c r="AN139" i="54"/>
  <c r="AR138" i="54"/>
  <c r="AS138" i="54" s="1"/>
  <c r="AO138" i="54"/>
  <c r="AP138" i="54" s="1"/>
  <c r="AN138" i="54"/>
  <c r="AR137" i="54"/>
  <c r="AS137" i="54" s="1"/>
  <c r="AO137" i="54"/>
  <c r="AP137" i="54" s="1"/>
  <c r="AN137" i="54"/>
  <c r="AR136" i="54"/>
  <c r="AS136" i="54" s="1"/>
  <c r="AO136" i="54"/>
  <c r="AP136" i="54" s="1"/>
  <c r="AN136" i="54"/>
  <c r="AR135" i="54"/>
  <c r="AS135" i="54" s="1"/>
  <c r="AO135" i="54"/>
  <c r="AP135" i="54" s="1"/>
  <c r="AN135" i="54"/>
  <c r="AR134" i="54"/>
  <c r="AS134" i="54" s="1"/>
  <c r="AO134" i="54"/>
  <c r="AP134" i="54" s="1"/>
  <c r="AN134" i="54"/>
  <c r="AR133" i="54"/>
  <c r="AS133" i="54" s="1"/>
  <c r="AO133" i="54"/>
  <c r="AP133" i="54" s="1"/>
  <c r="AN133" i="54"/>
  <c r="AR132" i="54"/>
  <c r="AS132" i="54" s="1"/>
  <c r="AO132" i="54"/>
  <c r="AP132" i="54" s="1"/>
  <c r="AN132" i="54"/>
  <c r="AR131" i="54"/>
  <c r="AS131" i="54" s="1"/>
  <c r="AO131" i="54"/>
  <c r="AP131" i="54" s="1"/>
  <c r="AN131" i="54"/>
  <c r="AR130" i="54"/>
  <c r="AS130" i="54" s="1"/>
  <c r="AO130" i="54"/>
  <c r="AP130" i="54" s="1"/>
  <c r="AN130" i="54"/>
  <c r="AR129" i="54"/>
  <c r="AS129" i="54" s="1"/>
  <c r="AO129" i="54"/>
  <c r="AP129" i="54" s="1"/>
  <c r="AN129" i="54"/>
  <c r="AR128" i="54"/>
  <c r="AS128" i="54" s="1"/>
  <c r="AO128" i="54"/>
  <c r="AP128" i="54" s="1"/>
  <c r="AN128" i="54"/>
  <c r="AR127" i="54"/>
  <c r="AS127" i="54" s="1"/>
  <c r="AO127" i="54"/>
  <c r="AP127" i="54" s="1"/>
  <c r="AN127" i="54"/>
  <c r="AR126" i="54"/>
  <c r="AS126" i="54" s="1"/>
  <c r="AO126" i="54"/>
  <c r="AP126" i="54" s="1"/>
  <c r="AN126" i="54"/>
  <c r="AR125" i="54"/>
  <c r="AS125" i="54" s="1"/>
  <c r="AO125" i="54"/>
  <c r="AP125" i="54" s="1"/>
  <c r="AN125" i="54"/>
  <c r="AR124" i="54"/>
  <c r="AS124" i="54" s="1"/>
  <c r="AO124" i="54"/>
  <c r="AP124" i="54" s="1"/>
  <c r="AN124" i="54"/>
  <c r="AR123" i="54"/>
  <c r="AS123" i="54" s="1"/>
  <c r="AO123" i="54"/>
  <c r="AP123" i="54" s="1"/>
  <c r="AN123" i="54"/>
  <c r="AR122" i="54"/>
  <c r="AS122" i="54" s="1"/>
  <c r="AO122" i="54"/>
  <c r="AP122" i="54" s="1"/>
  <c r="AN122" i="54"/>
  <c r="AR121" i="54"/>
  <c r="AS121" i="54" s="1"/>
  <c r="AO121" i="54"/>
  <c r="AP121" i="54" s="1"/>
  <c r="AN121" i="54"/>
  <c r="AR120" i="54"/>
  <c r="AS120" i="54" s="1"/>
  <c r="AO120" i="54"/>
  <c r="AP120" i="54" s="1"/>
  <c r="AN120" i="54"/>
  <c r="AR119" i="54"/>
  <c r="AS119" i="54" s="1"/>
  <c r="AO119" i="54"/>
  <c r="AP119" i="54" s="1"/>
  <c r="AN119" i="54"/>
  <c r="AR118" i="54"/>
  <c r="AS118" i="54" s="1"/>
  <c r="AO118" i="54"/>
  <c r="AP118" i="54" s="1"/>
  <c r="AN118" i="54"/>
  <c r="AR117" i="54"/>
  <c r="AS117" i="54" s="1"/>
  <c r="AO117" i="54"/>
  <c r="AP117" i="54" s="1"/>
  <c r="AN117" i="54"/>
  <c r="AR116" i="54"/>
  <c r="AS116" i="54" s="1"/>
  <c r="AO116" i="54"/>
  <c r="AP116" i="54" s="1"/>
  <c r="AN116" i="54"/>
  <c r="AR115" i="54"/>
  <c r="AS115" i="54" s="1"/>
  <c r="AO115" i="54"/>
  <c r="AP115" i="54" s="1"/>
  <c r="AN115" i="54"/>
  <c r="AR114" i="54"/>
  <c r="AS114" i="54" s="1"/>
  <c r="AO114" i="54"/>
  <c r="AP114" i="54" s="1"/>
  <c r="AN114" i="54"/>
  <c r="AR113" i="54"/>
  <c r="AS113" i="54" s="1"/>
  <c r="AO113" i="54"/>
  <c r="AP113" i="54" s="1"/>
  <c r="AN113" i="54"/>
  <c r="AR112" i="54"/>
  <c r="AS112" i="54" s="1"/>
  <c r="AO112" i="54"/>
  <c r="AP112" i="54" s="1"/>
  <c r="AN112" i="54"/>
  <c r="AR111" i="54"/>
  <c r="AS111" i="54" s="1"/>
  <c r="AO111" i="54"/>
  <c r="AP111" i="54" s="1"/>
  <c r="AN111" i="54"/>
  <c r="AR110" i="54"/>
  <c r="AS110" i="54" s="1"/>
  <c r="AO110" i="54"/>
  <c r="AP110" i="54" s="1"/>
  <c r="AN110" i="54"/>
  <c r="AR109" i="54"/>
  <c r="AS109" i="54" s="1"/>
  <c r="AO109" i="54"/>
  <c r="AP109" i="54" s="1"/>
  <c r="AN109" i="54"/>
  <c r="AR108" i="54"/>
  <c r="AS108" i="54" s="1"/>
  <c r="AO108" i="54"/>
  <c r="AP108" i="54" s="1"/>
  <c r="AN108" i="54"/>
  <c r="AR107" i="54"/>
  <c r="AS107" i="54" s="1"/>
  <c r="AO107" i="54"/>
  <c r="AP107" i="54" s="1"/>
  <c r="AN107" i="54"/>
  <c r="AR106" i="54"/>
  <c r="AS106" i="54" s="1"/>
  <c r="AO106" i="54"/>
  <c r="AP106" i="54" s="1"/>
  <c r="AN106" i="54"/>
  <c r="AR105" i="54"/>
  <c r="AS105" i="54" s="1"/>
  <c r="AO105" i="54"/>
  <c r="AP105" i="54" s="1"/>
  <c r="AN105" i="54"/>
  <c r="AR104" i="54"/>
  <c r="AS104" i="54" s="1"/>
  <c r="AO104" i="54"/>
  <c r="AP104" i="54" s="1"/>
  <c r="AN104" i="54"/>
  <c r="AR103" i="54"/>
  <c r="AS103" i="54" s="1"/>
  <c r="AO103" i="54"/>
  <c r="AP103" i="54" s="1"/>
  <c r="AN103" i="54"/>
  <c r="AR102" i="54"/>
  <c r="AS102" i="54" s="1"/>
  <c r="AO102" i="54"/>
  <c r="AP102" i="54" s="1"/>
  <c r="AN102" i="54"/>
  <c r="AR101" i="54"/>
  <c r="AS101" i="54" s="1"/>
  <c r="AO101" i="54"/>
  <c r="AP101" i="54" s="1"/>
  <c r="AN101" i="54"/>
  <c r="AR100" i="54"/>
  <c r="AS100" i="54" s="1"/>
  <c r="AO100" i="54"/>
  <c r="AP100" i="54" s="1"/>
  <c r="AN100" i="54"/>
  <c r="AR99" i="54"/>
  <c r="AS99" i="54" s="1"/>
  <c r="AO99" i="54"/>
  <c r="AP99" i="54" s="1"/>
  <c r="AN99" i="54"/>
  <c r="AR98" i="54"/>
  <c r="AS98" i="54" s="1"/>
  <c r="AO98" i="54"/>
  <c r="AP98" i="54" s="1"/>
  <c r="AN98" i="54"/>
  <c r="AR97" i="54"/>
  <c r="AS97" i="54" s="1"/>
  <c r="AO97" i="54"/>
  <c r="AP97" i="54" s="1"/>
  <c r="AN97" i="54"/>
  <c r="AR96" i="54"/>
  <c r="AS96" i="54" s="1"/>
  <c r="AO96" i="54"/>
  <c r="AP96" i="54" s="1"/>
  <c r="AN96" i="54"/>
  <c r="AR95" i="54"/>
  <c r="AS95" i="54" s="1"/>
  <c r="AO95" i="54"/>
  <c r="AP95" i="54" s="1"/>
  <c r="AN95" i="54"/>
  <c r="AR94" i="54"/>
  <c r="AS94" i="54" s="1"/>
  <c r="AO94" i="54"/>
  <c r="AP94" i="54" s="1"/>
  <c r="AN94" i="54"/>
  <c r="AR93" i="54"/>
  <c r="AS93" i="54" s="1"/>
  <c r="AO93" i="54"/>
  <c r="AP93" i="54" s="1"/>
  <c r="AN93" i="54"/>
  <c r="AR92" i="54"/>
  <c r="AS92" i="54" s="1"/>
  <c r="AO92" i="54"/>
  <c r="AP92" i="54" s="1"/>
  <c r="AN92" i="54"/>
  <c r="AR91" i="54"/>
  <c r="AS91" i="54" s="1"/>
  <c r="AO91" i="54"/>
  <c r="AP91" i="54" s="1"/>
  <c r="AN91" i="54"/>
  <c r="AR90" i="54"/>
  <c r="AS90" i="54" s="1"/>
  <c r="AO90" i="54"/>
  <c r="AP90" i="54" s="1"/>
  <c r="AN90" i="54"/>
  <c r="AR89" i="54"/>
  <c r="AS89" i="54" s="1"/>
  <c r="AO89" i="54"/>
  <c r="AP89" i="54" s="1"/>
  <c r="AN89" i="54"/>
  <c r="AR88" i="54"/>
  <c r="AS88" i="54" s="1"/>
  <c r="AO88" i="54"/>
  <c r="AP88" i="54" s="1"/>
  <c r="AN88" i="54"/>
  <c r="AR87" i="54"/>
  <c r="AS87" i="54" s="1"/>
  <c r="AO87" i="54"/>
  <c r="AP87" i="54" s="1"/>
  <c r="AN87" i="54"/>
  <c r="AR86" i="54"/>
  <c r="AS86" i="54" s="1"/>
  <c r="AO86" i="54"/>
  <c r="AP86" i="54" s="1"/>
  <c r="AN86" i="54"/>
  <c r="AR85" i="54"/>
  <c r="AS85" i="54" s="1"/>
  <c r="AO85" i="54"/>
  <c r="AP85" i="54" s="1"/>
  <c r="AN85" i="54"/>
  <c r="AR84" i="54"/>
  <c r="AS84" i="54" s="1"/>
  <c r="AO84" i="54"/>
  <c r="AP84" i="54" s="1"/>
  <c r="AN84" i="54"/>
  <c r="AR83" i="54"/>
  <c r="AS83" i="54" s="1"/>
  <c r="AO83" i="54"/>
  <c r="AP83" i="54" s="1"/>
  <c r="AN83" i="54"/>
  <c r="AR82" i="54"/>
  <c r="AS82" i="54" s="1"/>
  <c r="AO82" i="54"/>
  <c r="AP82" i="54" s="1"/>
  <c r="AN82" i="54"/>
  <c r="AR81" i="54"/>
  <c r="AS81" i="54" s="1"/>
  <c r="AO81" i="54"/>
  <c r="AP81" i="54" s="1"/>
  <c r="AN81" i="54"/>
  <c r="AR80" i="54"/>
  <c r="AS80" i="54" s="1"/>
  <c r="AO80" i="54"/>
  <c r="AP80" i="54" s="1"/>
  <c r="AN80" i="54"/>
  <c r="AR79" i="54"/>
  <c r="AS79" i="54" s="1"/>
  <c r="AO79" i="54"/>
  <c r="AP79" i="54" s="1"/>
  <c r="AN79" i="54"/>
  <c r="AR78" i="54"/>
  <c r="AS78" i="54" s="1"/>
  <c r="AO78" i="54"/>
  <c r="AP78" i="54" s="1"/>
  <c r="AN78" i="54"/>
  <c r="AR77" i="54"/>
  <c r="AS77" i="54" s="1"/>
  <c r="AO77" i="54"/>
  <c r="AP77" i="54" s="1"/>
  <c r="AN77" i="54"/>
  <c r="AR76" i="54"/>
  <c r="AS76" i="54" s="1"/>
  <c r="AO76" i="54"/>
  <c r="AP76" i="54" s="1"/>
  <c r="AN76" i="54"/>
  <c r="AR75" i="54"/>
  <c r="AS75" i="54" s="1"/>
  <c r="AO75" i="54"/>
  <c r="AP75" i="54" s="1"/>
  <c r="AN75" i="54"/>
  <c r="AR74" i="54"/>
  <c r="AS74" i="54" s="1"/>
  <c r="AO74" i="54"/>
  <c r="AP74" i="54" s="1"/>
  <c r="AN74" i="54"/>
  <c r="AR73" i="54"/>
  <c r="AS73" i="54" s="1"/>
  <c r="AO73" i="54"/>
  <c r="AP73" i="54" s="1"/>
  <c r="AN73" i="54"/>
  <c r="AR72" i="54"/>
  <c r="AS72" i="54" s="1"/>
  <c r="AO72" i="54"/>
  <c r="AP72" i="54" s="1"/>
  <c r="AN72" i="54"/>
  <c r="AR71" i="54"/>
  <c r="AS71" i="54" s="1"/>
  <c r="AO71" i="54"/>
  <c r="AP71" i="54" s="1"/>
  <c r="AN71" i="54"/>
  <c r="AR70" i="54"/>
  <c r="AS70" i="54" s="1"/>
  <c r="AO70" i="54"/>
  <c r="AP70" i="54" s="1"/>
  <c r="AN70" i="54"/>
  <c r="AR69" i="54"/>
  <c r="AS69" i="54" s="1"/>
  <c r="AO69" i="54"/>
  <c r="AP69" i="54" s="1"/>
  <c r="AN69" i="54"/>
  <c r="AR68" i="54"/>
  <c r="AS68" i="54" s="1"/>
  <c r="AO68" i="54"/>
  <c r="AP68" i="54" s="1"/>
  <c r="AN68" i="54"/>
  <c r="AR67" i="54"/>
  <c r="AS67" i="54" s="1"/>
  <c r="AO67" i="54"/>
  <c r="AP67" i="54" s="1"/>
  <c r="AN67" i="54"/>
  <c r="AR66" i="54"/>
  <c r="AS66" i="54" s="1"/>
  <c r="AO66" i="54"/>
  <c r="AP66" i="54" s="1"/>
  <c r="AN66" i="54"/>
  <c r="AR65" i="54"/>
  <c r="AS65" i="54" s="1"/>
  <c r="AO65" i="54"/>
  <c r="AP65" i="54" s="1"/>
  <c r="AN65" i="54"/>
  <c r="AR64" i="54"/>
  <c r="AS64" i="54" s="1"/>
  <c r="AO64" i="54"/>
  <c r="AP64" i="54" s="1"/>
  <c r="AN64" i="54"/>
  <c r="AR63" i="54"/>
  <c r="AS63" i="54" s="1"/>
  <c r="AO63" i="54"/>
  <c r="AP63" i="54" s="1"/>
  <c r="AN63" i="54"/>
  <c r="AR62" i="54"/>
  <c r="AS62" i="54" s="1"/>
  <c r="AO62" i="54"/>
  <c r="AP62" i="54" s="1"/>
  <c r="AN62" i="54"/>
  <c r="AR61" i="54"/>
  <c r="AS61" i="54" s="1"/>
  <c r="AO61" i="54"/>
  <c r="AP61" i="54" s="1"/>
  <c r="AN61" i="54"/>
  <c r="AR60" i="54"/>
  <c r="AS60" i="54" s="1"/>
  <c r="AO60" i="54"/>
  <c r="AP60" i="54" s="1"/>
  <c r="AN60" i="54"/>
  <c r="AR59" i="54"/>
  <c r="AS59" i="54" s="1"/>
  <c r="AO59" i="54"/>
  <c r="AP59" i="54" s="1"/>
  <c r="AN59" i="54"/>
  <c r="AR58" i="54"/>
  <c r="AS58" i="54" s="1"/>
  <c r="AO58" i="54"/>
  <c r="AP58" i="54" s="1"/>
  <c r="AN58" i="54"/>
  <c r="AR57" i="54"/>
  <c r="AS57" i="54" s="1"/>
  <c r="AO57" i="54"/>
  <c r="AP57" i="54" s="1"/>
  <c r="AN57" i="54"/>
  <c r="AR56" i="54"/>
  <c r="AS56" i="54" s="1"/>
  <c r="AO56" i="54"/>
  <c r="AP56" i="54" s="1"/>
  <c r="AN56" i="54"/>
  <c r="AR55" i="54"/>
  <c r="AS55" i="54" s="1"/>
  <c r="AO55" i="54"/>
  <c r="AP55" i="54" s="1"/>
  <c r="AN55" i="54"/>
  <c r="AR54" i="54"/>
  <c r="AS54" i="54" s="1"/>
  <c r="AO54" i="54"/>
  <c r="AP54" i="54" s="1"/>
  <c r="AN54" i="54"/>
  <c r="AR53" i="54"/>
  <c r="AS53" i="54" s="1"/>
  <c r="AO53" i="54"/>
  <c r="AP53" i="54" s="1"/>
  <c r="AN53" i="54"/>
  <c r="AR29" i="54"/>
  <c r="AS29" i="54" s="1"/>
  <c r="AO29" i="54"/>
  <c r="AP29" i="54" s="1"/>
  <c r="AN29" i="54"/>
  <c r="AR52" i="54"/>
  <c r="AS52" i="54" s="1"/>
  <c r="AO52" i="54"/>
  <c r="AP52" i="54" s="1"/>
  <c r="AN52" i="54"/>
  <c r="AR50" i="54"/>
  <c r="AS50" i="54" s="1"/>
  <c r="AO50" i="54"/>
  <c r="AP50" i="54" s="1"/>
  <c r="AN50" i="54"/>
  <c r="AR49" i="54"/>
  <c r="AS49" i="54" s="1"/>
  <c r="AO49" i="54"/>
  <c r="AP49" i="54" s="1"/>
  <c r="AN49" i="54"/>
  <c r="AR48" i="54"/>
  <c r="AS48" i="54" s="1"/>
  <c r="AO48" i="54"/>
  <c r="AP48" i="54" s="1"/>
  <c r="AN48" i="54"/>
  <c r="AR47" i="54"/>
  <c r="AS47" i="54" s="1"/>
  <c r="AO47" i="54"/>
  <c r="AP47" i="54" s="1"/>
  <c r="AN47" i="54"/>
  <c r="AR46" i="54"/>
  <c r="AS46" i="54" s="1"/>
  <c r="AO46" i="54"/>
  <c r="AP46" i="54" s="1"/>
  <c r="AN46" i="54"/>
  <c r="AR45" i="54"/>
  <c r="AS45" i="54" s="1"/>
  <c r="AO45" i="54"/>
  <c r="AP45" i="54" s="1"/>
  <c r="AN45" i="54"/>
  <c r="AR44" i="54"/>
  <c r="AS44" i="54" s="1"/>
  <c r="AO44" i="54"/>
  <c r="AP44" i="54" s="1"/>
  <c r="AN44" i="54"/>
  <c r="AR43" i="54"/>
  <c r="AS43" i="54" s="1"/>
  <c r="AO43" i="54"/>
  <c r="AP43" i="54" s="1"/>
  <c r="AN43" i="54"/>
  <c r="AR42" i="54"/>
  <c r="AS42" i="54" s="1"/>
  <c r="AO42" i="54"/>
  <c r="AP42" i="54" s="1"/>
  <c r="AN42" i="54"/>
  <c r="AR41" i="54"/>
  <c r="AS41" i="54" s="1"/>
  <c r="AO41" i="54"/>
  <c r="AP41" i="54" s="1"/>
  <c r="AN41" i="54"/>
  <c r="AR40" i="54"/>
  <c r="AS40" i="54" s="1"/>
  <c r="AO40" i="54"/>
  <c r="AP40" i="54" s="1"/>
  <c r="AN40" i="54"/>
  <c r="AR39" i="54"/>
  <c r="AS39" i="54" s="1"/>
  <c r="AO39" i="54"/>
  <c r="AP39" i="54" s="1"/>
  <c r="AN39" i="54"/>
  <c r="AR38" i="54"/>
  <c r="AS38" i="54" s="1"/>
  <c r="AO38" i="54"/>
  <c r="AP38" i="54" s="1"/>
  <c r="AN38" i="54"/>
  <c r="AR37" i="54"/>
  <c r="AS37" i="54" s="1"/>
  <c r="AO37" i="54"/>
  <c r="AP37" i="54" s="1"/>
  <c r="AN37" i="54"/>
  <c r="AR28" i="54"/>
  <c r="AS28" i="54" s="1"/>
  <c r="AO28" i="54"/>
  <c r="AP28" i="54" s="1"/>
  <c r="AN28" i="54"/>
  <c r="AR51" i="54"/>
  <c r="AS51" i="54" s="1"/>
  <c r="AO51" i="54"/>
  <c r="AP51" i="54" s="1"/>
  <c r="AN51" i="54"/>
  <c r="AR36" i="54"/>
  <c r="AS36" i="54" s="1"/>
  <c r="AO36" i="54"/>
  <c r="AP36" i="54" s="1"/>
  <c r="AN36" i="54"/>
  <c r="AR27" i="54"/>
  <c r="AS27" i="54" s="1"/>
  <c r="AO27" i="54"/>
  <c r="AP27" i="54" s="1"/>
  <c r="AN27" i="54"/>
  <c r="AR32" i="54"/>
  <c r="AS32" i="54" s="1"/>
  <c r="AO32" i="54"/>
  <c r="AP32" i="54" s="1"/>
  <c r="AN32" i="54"/>
  <c r="AR31" i="54"/>
  <c r="AS31" i="54" s="1"/>
  <c r="AO31" i="54"/>
  <c r="AP31" i="54" s="1"/>
  <c r="AN31" i="54"/>
  <c r="AR30" i="54"/>
  <c r="AS30" i="54" s="1"/>
  <c r="AO30" i="54"/>
  <c r="AP30" i="54" s="1"/>
  <c r="AN30" i="54"/>
  <c r="AR26" i="54"/>
  <c r="AS26" i="54" s="1"/>
  <c r="AO26" i="54"/>
  <c r="AP26" i="54" s="1"/>
  <c r="AN26" i="54"/>
  <c r="AR35" i="54"/>
  <c r="AS35" i="54" s="1"/>
  <c r="AO35" i="54"/>
  <c r="AP35" i="54" s="1"/>
  <c r="AN35" i="54"/>
  <c r="AR34" i="54"/>
  <c r="AS34" i="54" s="1"/>
  <c r="AO34" i="54"/>
  <c r="AP34" i="54" s="1"/>
  <c r="AN34" i="54"/>
  <c r="AR23" i="54"/>
  <c r="AS23" i="54" s="1"/>
  <c r="AO23" i="54"/>
  <c r="AP23" i="54" s="1"/>
  <c r="AN23" i="54"/>
  <c r="AR25" i="54"/>
  <c r="AS25" i="54" s="1"/>
  <c r="AO25" i="54"/>
  <c r="AP25" i="54" s="1"/>
  <c r="AN25" i="54"/>
  <c r="AR24" i="54"/>
  <c r="AS24" i="54" s="1"/>
  <c r="AO24" i="54"/>
  <c r="AP24" i="54" s="1"/>
  <c r="AN24" i="54"/>
  <c r="AR22" i="54"/>
  <c r="AS22" i="54" s="1"/>
  <c r="AO22" i="54"/>
  <c r="AP22" i="54" s="1"/>
  <c r="AN22" i="54"/>
  <c r="AR33" i="54"/>
  <c r="AS33" i="54" s="1"/>
  <c r="AO33" i="54"/>
  <c r="AP33" i="54" s="1"/>
  <c r="AN33" i="54"/>
  <c r="AR21" i="54"/>
  <c r="AS21" i="54" s="1"/>
  <c r="AO21" i="54"/>
  <c r="AP21" i="54" s="1"/>
  <c r="AN21" i="54"/>
  <c r="AR20" i="54"/>
  <c r="AS20" i="54" s="1"/>
  <c r="AO20" i="54"/>
  <c r="AP20" i="54" s="1"/>
  <c r="AN20" i="54"/>
  <c r="AR19" i="54"/>
  <c r="AS19" i="54" s="1"/>
  <c r="AO19" i="54"/>
  <c r="AP19" i="54" s="1"/>
  <c r="AN19" i="54"/>
  <c r="AR18" i="54"/>
  <c r="AS18" i="54" s="1"/>
  <c r="AO18" i="54"/>
  <c r="AP18" i="54" s="1"/>
  <c r="AN18" i="54"/>
  <c r="AR17" i="54"/>
  <c r="AS17" i="54" s="1"/>
  <c r="AO17" i="54"/>
  <c r="AP17" i="54" s="1"/>
  <c r="AN17" i="54"/>
  <c r="AQ32" i="54" l="1"/>
  <c r="AQ40" i="54"/>
  <c r="AQ48" i="54"/>
  <c r="AQ88" i="54"/>
  <c r="AQ104" i="54"/>
  <c r="AQ165" i="54"/>
  <c r="AQ301" i="54"/>
  <c r="AQ78" i="54"/>
  <c r="AQ251" i="54"/>
  <c r="AQ206" i="54"/>
  <c r="AQ112" i="54"/>
  <c r="AQ150" i="54"/>
  <c r="AQ137" i="54"/>
  <c r="AQ169" i="54"/>
  <c r="AQ231" i="54"/>
  <c r="AQ239" i="54"/>
  <c r="AQ31" i="54"/>
  <c r="AQ158" i="54"/>
  <c r="AQ197" i="54"/>
  <c r="AQ226" i="54"/>
  <c r="AQ289" i="54"/>
  <c r="AQ71" i="54"/>
  <c r="AQ166" i="54"/>
  <c r="AQ34" i="54"/>
  <c r="AQ133" i="54"/>
  <c r="AQ217" i="54"/>
  <c r="AQ233" i="54"/>
  <c r="AQ20" i="54"/>
  <c r="AQ41" i="54"/>
  <c r="AQ49" i="54"/>
  <c r="AQ54" i="54"/>
  <c r="AQ70" i="54"/>
  <c r="AQ220" i="54"/>
  <c r="AQ236" i="54"/>
  <c r="AQ248" i="54"/>
  <c r="AQ256" i="54"/>
  <c r="AQ264" i="54"/>
  <c r="AQ277" i="54"/>
  <c r="AQ121" i="54"/>
  <c r="AQ202" i="54"/>
  <c r="AQ205" i="54"/>
  <c r="AQ272" i="54"/>
  <c r="AQ221" i="54"/>
  <c r="AQ45" i="54"/>
  <c r="AQ164" i="54"/>
  <c r="AQ216" i="54"/>
  <c r="AQ107" i="54"/>
  <c r="AQ128" i="54"/>
  <c r="AQ149" i="54"/>
  <c r="AQ170" i="54"/>
  <c r="AQ230" i="54"/>
  <c r="AQ245" i="54"/>
  <c r="AQ23" i="54"/>
  <c r="AQ68" i="54"/>
  <c r="AQ93" i="54"/>
  <c r="AQ120" i="54"/>
  <c r="AQ125" i="54"/>
  <c r="AQ135" i="54"/>
  <c r="AQ153" i="54"/>
  <c r="AQ168" i="54"/>
  <c r="AQ191" i="54"/>
  <c r="AQ219" i="54"/>
  <c r="AQ224" i="54"/>
  <c r="AQ278" i="54"/>
  <c r="AQ283" i="54"/>
  <c r="AQ298" i="54"/>
  <c r="AQ76" i="54"/>
  <c r="AQ181" i="54"/>
  <c r="AQ91" i="54"/>
  <c r="AQ174" i="54"/>
  <c r="AQ294" i="54"/>
  <c r="AQ56" i="54"/>
  <c r="AQ89" i="54"/>
  <c r="AQ134" i="54"/>
  <c r="AQ144" i="54"/>
  <c r="AQ228" i="54"/>
  <c r="AQ253" i="54"/>
  <c r="AQ279" i="54"/>
  <c r="AQ287" i="54"/>
  <c r="AQ25" i="54"/>
  <c r="AQ38" i="54"/>
  <c r="AQ75" i="54"/>
  <c r="AQ117" i="54"/>
  <c r="AQ129" i="54"/>
  <c r="AQ142" i="54"/>
  <c r="AQ261" i="54"/>
  <c r="AQ266" i="54"/>
  <c r="AQ269" i="54"/>
  <c r="AQ297" i="54"/>
  <c r="AQ47" i="54"/>
  <c r="AQ57" i="54"/>
  <c r="AQ79" i="54"/>
  <c r="AQ189" i="54"/>
  <c r="AQ249" i="54"/>
  <c r="AQ260" i="54"/>
  <c r="AQ276" i="54"/>
  <c r="AQ285" i="54"/>
  <c r="AQ74" i="54"/>
  <c r="AQ213" i="54"/>
  <c r="AQ280" i="54"/>
  <c r="AQ29" i="54"/>
  <c r="AQ55" i="54"/>
  <c r="AQ62" i="54"/>
  <c r="AQ72" i="54"/>
  <c r="AQ77" i="54"/>
  <c r="AQ84" i="54"/>
  <c r="AQ110" i="54"/>
  <c r="AQ138" i="54"/>
  <c r="AQ161" i="54"/>
  <c r="AQ176" i="54"/>
  <c r="AQ194" i="54"/>
  <c r="AQ218" i="54"/>
  <c r="AQ232" i="54"/>
  <c r="AQ234" i="54"/>
  <c r="AQ267" i="54"/>
  <c r="AQ290" i="54"/>
  <c r="AQ293" i="54"/>
  <c r="AQ173" i="54"/>
  <c r="AQ67" i="54"/>
  <c r="AQ99" i="54"/>
  <c r="AQ123" i="54"/>
  <c r="AQ143" i="54"/>
  <c r="AQ152" i="54"/>
  <c r="AQ199" i="54"/>
  <c r="AQ265" i="54"/>
  <c r="AQ69" i="54"/>
  <c r="AQ229" i="54"/>
  <c r="AQ244" i="54"/>
  <c r="AQ262" i="54"/>
  <c r="AQ43" i="54"/>
  <c r="AQ86" i="54"/>
  <c r="AQ114" i="54"/>
  <c r="AQ131" i="54"/>
  <c r="AQ147" i="54"/>
  <c r="AQ30" i="54"/>
  <c r="AQ39" i="54"/>
  <c r="AQ58" i="54"/>
  <c r="AQ100" i="54"/>
  <c r="AQ115" i="54"/>
  <c r="AQ141" i="54"/>
  <c r="AQ148" i="54"/>
  <c r="AQ157" i="54"/>
  <c r="AQ162" i="54"/>
  <c r="AQ190" i="54"/>
  <c r="AQ212" i="54"/>
  <c r="AQ252" i="54"/>
  <c r="AQ81" i="54"/>
  <c r="AQ103" i="54"/>
  <c r="AQ22" i="54"/>
  <c r="AQ92" i="54"/>
  <c r="AQ109" i="54"/>
  <c r="AQ243" i="54"/>
  <c r="AQ24" i="54"/>
  <c r="AQ122" i="54"/>
  <c r="AQ156" i="54"/>
  <c r="AQ198" i="54"/>
  <c r="AQ178" i="54"/>
  <c r="AQ37" i="54"/>
  <c r="AQ46" i="54"/>
  <c r="AQ63" i="54"/>
  <c r="AQ19" i="54"/>
  <c r="AQ27" i="54"/>
  <c r="AQ51" i="54"/>
  <c r="AQ42" i="54"/>
  <c r="AQ66" i="54"/>
  <c r="AQ83" i="54"/>
  <c r="AQ94" i="54"/>
  <c r="AQ116" i="54"/>
  <c r="AQ126" i="54"/>
  <c r="AQ130" i="54"/>
  <c r="AQ175" i="54"/>
  <c r="AQ184" i="54"/>
  <c r="AQ186" i="54"/>
  <c r="AQ204" i="54"/>
  <c r="AQ210" i="54"/>
  <c r="AQ235" i="54"/>
  <c r="AQ257" i="54"/>
  <c r="AQ106" i="54"/>
  <c r="AQ188" i="54"/>
  <c r="AQ200" i="54"/>
  <c r="AQ259" i="54"/>
  <c r="AQ35" i="54"/>
  <c r="AQ28" i="54"/>
  <c r="AQ50" i="54"/>
  <c r="AQ64" i="54"/>
  <c r="AQ90" i="54"/>
  <c r="AQ97" i="54"/>
  <c r="AQ139" i="54"/>
  <c r="AQ145" i="54"/>
  <c r="AQ159" i="54"/>
  <c r="AQ172" i="54"/>
  <c r="AQ196" i="54"/>
  <c r="AQ254" i="54"/>
  <c r="AQ274" i="54"/>
  <c r="AQ282" i="54"/>
  <c r="AQ292" i="54"/>
  <c r="AQ300" i="54"/>
  <c r="AQ302" i="54"/>
  <c r="AQ21" i="54"/>
  <c r="AQ192" i="54"/>
  <c r="AQ284" i="54"/>
  <c r="AQ36" i="54"/>
  <c r="AQ44" i="54"/>
  <c r="AQ80" i="54"/>
  <c r="AQ163" i="54"/>
  <c r="AQ223" i="54"/>
  <c r="AQ250" i="54"/>
  <c r="AQ271" i="54"/>
  <c r="AQ288" i="54"/>
  <c r="AQ296" i="54"/>
  <c r="AQ61" i="54"/>
  <c r="AQ82" i="54"/>
  <c r="AQ95" i="54"/>
  <c r="AQ108" i="54"/>
  <c r="AQ18" i="54"/>
  <c r="AQ33" i="54"/>
  <c r="AQ26" i="54"/>
  <c r="AQ52" i="54"/>
  <c r="AQ53" i="54"/>
  <c r="AQ65" i="54"/>
  <c r="AQ85" i="54"/>
  <c r="AQ146" i="54"/>
  <c r="AQ154" i="54"/>
  <c r="AQ160" i="54"/>
  <c r="AQ227" i="54"/>
  <c r="AQ246" i="54"/>
  <c r="AQ255" i="54"/>
  <c r="AQ270" i="54"/>
  <c r="AQ275" i="54"/>
  <c r="AQ303" i="54"/>
  <c r="AQ263" i="54"/>
  <c r="AQ17" i="54"/>
  <c r="AQ59" i="54"/>
  <c r="AQ60" i="54"/>
  <c r="AQ87" i="54"/>
  <c r="AQ96" i="54"/>
  <c r="AQ102" i="54"/>
  <c r="AQ105" i="54"/>
  <c r="AQ118" i="54"/>
  <c r="AQ136" i="54"/>
  <c r="AQ193" i="54"/>
  <c r="AQ201" i="54"/>
  <c r="AQ240" i="54"/>
  <c r="AQ258" i="54"/>
  <c r="AQ273" i="54"/>
  <c r="AQ281" i="54"/>
  <c r="AQ295" i="54"/>
  <c r="AQ247" i="54"/>
  <c r="AQ73" i="54"/>
  <c r="AQ113" i="54"/>
  <c r="AQ101" i="54"/>
  <c r="AQ180" i="54"/>
  <c r="AQ182" i="54"/>
  <c r="AQ211" i="54"/>
  <c r="AQ237" i="54"/>
  <c r="AQ242" i="54"/>
  <c r="AQ268" i="54"/>
  <c r="AQ286" i="54"/>
  <c r="AQ291" i="54"/>
  <c r="AQ299" i="54"/>
  <c r="AS290" i="54"/>
  <c r="AQ98" i="54"/>
  <c r="AQ140" i="54"/>
  <c r="AS298" i="54"/>
  <c r="AQ119" i="54"/>
  <c r="AQ124" i="54"/>
  <c r="AQ127" i="54"/>
  <c r="AQ132" i="54"/>
  <c r="AQ167" i="54"/>
  <c r="AQ222" i="54"/>
  <c r="AQ111" i="54"/>
  <c r="AQ151" i="54"/>
  <c r="AQ187" i="54"/>
  <c r="AQ238" i="54"/>
  <c r="AQ185" i="54"/>
  <c r="AQ177" i="54"/>
  <c r="AQ179" i="54"/>
  <c r="AS266" i="54"/>
  <c r="AQ155" i="54"/>
  <c r="AQ171" i="54"/>
  <c r="AQ183" i="54"/>
  <c r="AQ203" i="54"/>
  <c r="AQ214" i="54"/>
  <c r="AQ215" i="54"/>
  <c r="AS274" i="54"/>
  <c r="AQ195" i="54"/>
  <c r="AQ207" i="54"/>
  <c r="AQ208" i="54"/>
  <c r="AQ225" i="54"/>
  <c r="AQ241" i="54"/>
  <c r="AQ209" i="54"/>
  <c r="AK13" i="54" l="1"/>
  <c r="AK12" i="54"/>
  <c r="D11" i="54"/>
  <c r="O3" i="54"/>
  <c r="O4" i="54" s="1"/>
  <c r="AA2" i="54"/>
  <c r="F3" i="54"/>
  <c r="B5" i="54"/>
  <c r="B4" i="54"/>
  <c r="F5" i="54"/>
  <c r="F4" i="54"/>
  <c r="B3" i="54"/>
  <c r="AT153" i="54" l="1"/>
  <c r="AT135" i="54"/>
  <c r="AT165" i="54"/>
  <c r="AT21" i="54"/>
  <c r="AT63" i="54"/>
  <c r="AT19" i="54"/>
  <c r="AT69" i="54"/>
  <c r="AT34" i="54"/>
  <c r="AT134" i="54"/>
  <c r="AT82" i="54"/>
  <c r="AT38" i="54"/>
  <c r="AT50" i="54"/>
  <c r="AT139" i="54"/>
  <c r="AT223" i="54"/>
  <c r="AT239" i="54"/>
  <c r="AT128" i="54"/>
  <c r="AV106" i="54"/>
  <c r="AW106" i="54" s="1"/>
  <c r="AT231" i="54"/>
  <c r="AT105" i="54"/>
  <c r="AV105" i="54" s="1"/>
  <c r="AW105" i="54" s="1"/>
  <c r="AT103" i="54"/>
  <c r="AV103" i="54" s="1"/>
  <c r="AW103" i="54" s="1"/>
  <c r="AT182" i="54"/>
  <c r="AT242" i="54"/>
  <c r="AT196" i="54"/>
  <c r="AT164" i="54"/>
  <c r="AT202" i="54"/>
  <c r="AV232" i="54"/>
  <c r="AW232" i="54" s="1"/>
  <c r="AT274" i="54"/>
  <c r="AT281" i="54"/>
  <c r="AV281" i="54" s="1"/>
  <c r="AW281" i="54" s="1"/>
  <c r="AT300" i="54"/>
  <c r="AT299" i="54"/>
  <c r="AT257" i="54"/>
  <c r="AT29" i="54"/>
  <c r="AT62" i="54"/>
  <c r="AT118" i="54"/>
  <c r="AT206" i="54"/>
  <c r="AT278" i="54"/>
  <c r="AT197" i="54"/>
  <c r="AT31" i="54"/>
  <c r="AT70" i="54"/>
  <c r="AT141" i="54"/>
  <c r="AT76" i="54"/>
  <c r="AT43" i="54"/>
  <c r="AT37" i="54"/>
  <c r="AT99" i="54"/>
  <c r="AT53" i="54"/>
  <c r="AT57" i="54"/>
  <c r="AT160" i="54"/>
  <c r="AT269" i="54"/>
  <c r="AT114" i="54"/>
  <c r="AT117" i="54"/>
  <c r="AT104" i="54"/>
  <c r="AV104" i="54" s="1"/>
  <c r="AW104" i="54" s="1"/>
  <c r="AT200" i="54"/>
  <c r="AT253" i="54"/>
  <c r="AT245" i="54"/>
  <c r="AT212" i="54"/>
  <c r="AT216" i="54"/>
  <c r="AT220" i="54"/>
  <c r="AT236" i="54"/>
  <c r="AV236" i="54" s="1"/>
  <c r="AW236" i="54" s="1"/>
  <c r="AT233" i="54"/>
  <c r="AT289" i="54"/>
  <c r="AT301" i="54"/>
  <c r="AT303" i="54"/>
  <c r="AT260" i="54"/>
  <c r="AT49" i="54"/>
  <c r="AT77" i="54"/>
  <c r="AT176" i="54"/>
  <c r="AT166" i="54"/>
  <c r="AT280" i="54"/>
  <c r="AT83" i="54"/>
  <c r="AT126" i="54"/>
  <c r="AT91" i="54"/>
  <c r="AT120" i="54"/>
  <c r="AV120" i="54" s="1"/>
  <c r="AW120" i="54" s="1"/>
  <c r="AT259" i="54"/>
  <c r="AT228" i="54"/>
  <c r="AT169" i="54"/>
  <c r="AT36" i="54"/>
  <c r="AT74" i="54"/>
  <c r="AT39" i="54"/>
  <c r="AT86" i="54"/>
  <c r="AV107" i="54"/>
  <c r="AW107" i="54" s="1"/>
  <c r="AT64" i="54"/>
  <c r="AT142" i="54"/>
  <c r="AT60" i="54"/>
  <c r="AT59" i="54"/>
  <c r="AT121" i="54"/>
  <c r="AT20" i="54"/>
  <c r="AT148" i="54"/>
  <c r="AT116" i="54"/>
  <c r="AT112" i="54"/>
  <c r="AT123" i="54"/>
  <c r="AT125" i="54"/>
  <c r="AV125" i="54" s="1"/>
  <c r="AW125" i="54" s="1"/>
  <c r="AT227" i="54"/>
  <c r="AT302" i="54"/>
  <c r="AT256" i="54"/>
  <c r="AT226" i="54"/>
  <c r="AT178" i="54"/>
  <c r="AT221" i="54"/>
  <c r="AT254" i="54"/>
  <c r="AT246" i="54"/>
  <c r="AT250" i="54"/>
  <c r="AT297" i="54"/>
  <c r="AV297" i="54" s="1"/>
  <c r="AW297" i="54" s="1"/>
  <c r="AT267" i="54"/>
  <c r="AT217" i="54"/>
  <c r="AT252" i="54"/>
  <c r="AT41" i="54"/>
  <c r="AT25" i="54"/>
  <c r="AT75" i="54"/>
  <c r="AV75" i="54" s="1"/>
  <c r="AW75" i="54" s="1"/>
  <c r="AT190" i="54"/>
  <c r="AT224" i="54"/>
  <c r="AT191" i="54"/>
  <c r="AV294" i="54"/>
  <c r="AW294" i="54" s="1"/>
  <c r="AT271" i="54"/>
  <c r="AT52" i="54"/>
  <c r="AT235" i="54"/>
  <c r="AV235" i="54" s="1"/>
  <c r="AW235" i="54" s="1"/>
  <c r="AT180" i="54"/>
  <c r="AT173" i="54"/>
  <c r="AT283" i="54"/>
  <c r="AT261" i="54"/>
  <c r="AT88" i="54"/>
  <c r="AT45" i="54"/>
  <c r="AT79" i="54"/>
  <c r="AT40" i="54"/>
  <c r="AT89" i="54"/>
  <c r="AT107" i="54"/>
  <c r="AT73" i="54"/>
  <c r="AT145" i="54"/>
  <c r="AT71" i="54"/>
  <c r="AT68" i="54"/>
  <c r="AT129" i="54"/>
  <c r="AT27" i="54"/>
  <c r="AT92" i="54"/>
  <c r="AT161" i="54"/>
  <c r="AT149" i="54"/>
  <c r="AT152" i="54"/>
  <c r="AT131" i="54"/>
  <c r="AT243" i="54"/>
  <c r="AT158" i="54"/>
  <c r="AT262" i="54"/>
  <c r="AT244" i="54"/>
  <c r="AT294" i="54"/>
  <c r="AT263" i="54"/>
  <c r="AT272" i="54"/>
  <c r="AV233" i="54"/>
  <c r="AW233" i="54" s="1"/>
  <c r="AT130" i="54"/>
  <c r="AT84" i="54"/>
  <c r="AT95" i="54"/>
  <c r="AT78" i="54"/>
  <c r="AT147" i="54"/>
  <c r="AT144" i="54"/>
  <c r="AT156" i="54"/>
  <c r="AT172" i="54"/>
  <c r="AT285" i="54"/>
  <c r="AT248" i="54"/>
  <c r="AT268" i="54"/>
  <c r="AT249" i="54"/>
  <c r="AT32" i="54"/>
  <c r="AV85" i="54"/>
  <c r="AW85" i="54" s="1"/>
  <c r="AT150" i="54"/>
  <c r="AT181" i="54"/>
  <c r="AT137" i="54"/>
  <c r="AT279" i="54"/>
  <c r="AV279" i="54" s="1"/>
  <c r="AW279" i="54" s="1"/>
  <c r="AT54" i="54"/>
  <c r="AT47" i="54"/>
  <c r="AT56" i="54"/>
  <c r="AV126" i="54"/>
  <c r="AW126" i="54" s="1"/>
  <c r="AT113" i="54"/>
  <c r="AT85" i="54"/>
  <c r="AT23" i="54"/>
  <c r="AT51" i="54"/>
  <c r="AT133" i="54"/>
  <c r="AV194" i="54"/>
  <c r="AW194" i="54" s="1"/>
  <c r="AT174" i="54"/>
  <c r="AT277" i="54"/>
  <c r="AT193" i="54"/>
  <c r="AV193" i="54" s="1"/>
  <c r="AW193" i="54" s="1"/>
  <c r="AT219" i="54"/>
  <c r="AT192" i="54"/>
  <c r="AT138" i="54"/>
  <c r="AT204" i="54"/>
  <c r="AT186" i="54"/>
  <c r="AT293" i="54"/>
  <c r="AT210" i="54"/>
  <c r="AT213" i="54"/>
  <c r="AT255" i="54"/>
  <c r="AT264" i="54"/>
  <c r="AT284" i="54"/>
  <c r="AT291" i="54"/>
  <c r="AT287" i="54"/>
  <c r="AT61" i="54"/>
  <c r="AT81" i="54"/>
  <c r="AT58" i="54"/>
  <c r="AT24" i="54"/>
  <c r="AT115" i="54"/>
  <c r="AT80" i="54"/>
  <c r="AV80" i="54" s="1"/>
  <c r="AW80" i="54" s="1"/>
  <c r="AT28" i="54"/>
  <c r="AT48" i="54"/>
  <c r="AT108" i="54"/>
  <c r="AT194" i="54"/>
  <c r="AT184" i="54"/>
  <c r="AT93" i="54"/>
  <c r="AT199" i="54"/>
  <c r="AV199" i="54" s="1"/>
  <c r="AW199" i="54" s="1"/>
  <c r="AT251" i="54"/>
  <c r="AT230" i="54"/>
  <c r="AT168" i="54"/>
  <c r="AT205" i="54"/>
  <c r="AT234" i="54"/>
  <c r="AV234" i="54" s="1"/>
  <c r="AW234" i="54" s="1"/>
  <c r="AT170" i="54"/>
  <c r="AT232" i="54"/>
  <c r="AT266" i="54"/>
  <c r="AT273" i="54"/>
  <c r="AT292" i="54"/>
  <c r="AV292" i="54" s="1"/>
  <c r="AW292" i="54" s="1"/>
  <c r="AT296" i="54"/>
  <c r="AT295" i="54"/>
  <c r="AV295" i="54" s="1"/>
  <c r="AW295" i="54" s="1"/>
  <c r="AT265" i="54"/>
  <c r="AT276" i="54"/>
  <c r="AT198" i="54"/>
  <c r="AV198" i="54" s="1"/>
  <c r="AW198" i="54" s="1"/>
  <c r="AT237" i="54"/>
  <c r="AV237" i="54" s="1"/>
  <c r="AW237" i="54" s="1"/>
  <c r="AT17" i="54"/>
  <c r="AT26" i="54"/>
  <c r="AT30" i="54"/>
  <c r="AT94" i="54"/>
  <c r="AT188" i="54"/>
  <c r="AV282" i="54"/>
  <c r="AW282" i="54" s="1"/>
  <c r="AT215" i="54"/>
  <c r="AT140" i="54"/>
  <c r="AT171" i="54"/>
  <c r="AT189" i="54"/>
  <c r="AT247" i="54"/>
  <c r="AT163" i="54"/>
  <c r="AT122" i="54"/>
  <c r="AT67" i="54"/>
  <c r="AT35" i="54"/>
  <c r="AT96" i="54"/>
  <c r="AT241" i="54"/>
  <c r="AT183" i="54"/>
  <c r="AT208" i="54"/>
  <c r="AT187" i="54"/>
  <c r="AT229" i="54"/>
  <c r="AT258" i="54"/>
  <c r="AT270" i="54"/>
  <c r="AT179" i="54"/>
  <c r="AT111" i="54"/>
  <c r="AT154" i="54"/>
  <c r="AT109" i="54"/>
  <c r="AV109" i="54" s="1"/>
  <c r="AW109" i="54" s="1"/>
  <c r="AT286" i="54"/>
  <c r="AT185" i="54"/>
  <c r="AV111" i="54"/>
  <c r="AW111" i="54" s="1"/>
  <c r="AT42" i="54"/>
  <c r="AT211" i="54"/>
  <c r="AT46" i="54"/>
  <c r="AT282" i="54"/>
  <c r="AT127" i="54"/>
  <c r="AV127" i="54" s="1"/>
  <c r="AW127" i="54" s="1"/>
  <c r="AV291" i="54"/>
  <c r="AW291" i="54" s="1"/>
  <c r="AT162" i="54"/>
  <c r="AT157" i="54"/>
  <c r="AV102" i="54"/>
  <c r="AW102" i="54" s="1"/>
  <c r="AT175" i="54"/>
  <c r="AT65" i="54"/>
  <c r="AT18" i="54"/>
  <c r="AT209" i="54"/>
  <c r="AT177" i="54"/>
  <c r="AT155" i="54"/>
  <c r="AT222" i="54"/>
  <c r="AT275" i="54"/>
  <c r="AT146" i="54"/>
  <c r="AT218" i="54"/>
  <c r="AT33" i="54"/>
  <c r="AT167" i="54"/>
  <c r="AT132" i="54"/>
  <c r="AT72" i="54"/>
  <c r="AT110" i="54"/>
  <c r="AT159" i="54"/>
  <c r="AT97" i="54"/>
  <c r="AT119" i="54"/>
  <c r="AT195" i="54"/>
  <c r="AT298" i="54"/>
  <c r="AT55" i="54"/>
  <c r="AT101" i="54"/>
  <c r="AT106" i="54"/>
  <c r="AT151" i="54"/>
  <c r="AV220" i="54"/>
  <c r="AW220" i="54" s="1"/>
  <c r="AT240" i="54"/>
  <c r="AT100" i="54"/>
  <c r="AT66" i="54"/>
  <c r="AT87" i="54"/>
  <c r="AT136" i="54"/>
  <c r="AT201" i="54"/>
  <c r="AT44" i="54"/>
  <c r="AT98" i="54"/>
  <c r="AT214" i="54"/>
  <c r="AT124" i="54"/>
  <c r="AV124" i="54" s="1"/>
  <c r="AW124" i="54" s="1"/>
  <c r="AT203" i="54"/>
  <c r="AT143" i="54"/>
  <c r="AT290" i="54"/>
  <c r="AT22" i="54"/>
  <c r="AT102" i="54"/>
  <c r="AV108" i="54"/>
  <c r="AW108" i="54" s="1"/>
  <c r="AT90" i="54"/>
  <c r="AT288" i="54"/>
  <c r="AT225" i="54"/>
  <c r="AT238" i="54"/>
  <c r="AV238" i="54" s="1"/>
  <c r="AW238" i="54" s="1"/>
  <c r="AT207" i="54"/>
  <c r="AU164" i="54"/>
  <c r="AU88" i="54"/>
  <c r="AU289" i="54"/>
  <c r="AU157" i="54"/>
  <c r="AU31" i="54"/>
  <c r="AU29" i="54"/>
  <c r="AU70" i="54"/>
  <c r="AU19" i="54"/>
  <c r="AU49" i="54"/>
  <c r="AU69" i="54"/>
  <c r="AU95" i="54"/>
  <c r="AU34" i="54"/>
  <c r="AU37" i="54"/>
  <c r="AU85" i="54"/>
  <c r="AU142" i="54"/>
  <c r="AU51" i="54"/>
  <c r="AU133" i="54"/>
  <c r="AU223" i="54"/>
  <c r="AU121" i="54"/>
  <c r="AU135" i="54"/>
  <c r="AU224" i="54"/>
  <c r="AU198" i="54"/>
  <c r="AU173" i="54"/>
  <c r="AU302" i="54"/>
  <c r="AU270" i="54"/>
  <c r="AU284" i="54"/>
  <c r="AU275" i="54"/>
  <c r="AU299" i="54"/>
  <c r="AU295" i="54"/>
  <c r="AU254" i="54"/>
  <c r="AV254" i="54" s="1"/>
  <c r="AW254" i="54" s="1"/>
  <c r="AU300" i="54"/>
  <c r="AU271" i="54"/>
  <c r="AU216" i="54"/>
  <c r="AU21" i="54"/>
  <c r="AU81" i="54"/>
  <c r="AU78" i="54"/>
  <c r="AU50" i="54"/>
  <c r="AU150" i="54"/>
  <c r="AU206" i="54"/>
  <c r="AU259" i="54"/>
  <c r="AU117" i="54"/>
  <c r="AU63" i="54"/>
  <c r="AU40" i="54"/>
  <c r="AU24" i="54"/>
  <c r="AU235" i="54"/>
  <c r="AU120" i="54"/>
  <c r="AU262" i="54"/>
  <c r="AU197" i="54"/>
  <c r="AV197" i="54" s="1"/>
  <c r="AW197" i="54" s="1"/>
  <c r="AU266" i="54"/>
  <c r="AU196" i="54"/>
  <c r="AV196" i="54" s="1"/>
  <c r="AW196" i="54" s="1"/>
  <c r="AU272" i="54"/>
  <c r="AU233" i="54"/>
  <c r="AU60" i="54"/>
  <c r="AU219" i="54"/>
  <c r="AU192" i="54"/>
  <c r="AU166" i="54"/>
  <c r="AU191" i="54"/>
  <c r="AU112" i="54"/>
  <c r="AU36" i="54"/>
  <c r="AU32" i="54"/>
  <c r="AU76" i="54"/>
  <c r="AU100" i="54"/>
  <c r="AU62" i="54"/>
  <c r="AU66" i="54"/>
  <c r="AU59" i="54"/>
  <c r="AU144" i="54"/>
  <c r="AU174" i="54"/>
  <c r="AU298" i="54"/>
  <c r="AU152" i="54"/>
  <c r="AU251" i="54"/>
  <c r="AU153" i="54"/>
  <c r="AU230" i="54"/>
  <c r="AU200" i="54"/>
  <c r="AU293" i="54"/>
  <c r="AV293" i="54" s="1"/>
  <c r="AW293" i="54" s="1"/>
  <c r="AU172" i="54"/>
  <c r="AU228" i="54"/>
  <c r="AU213" i="54"/>
  <c r="AU294" i="54"/>
  <c r="AU292" i="54"/>
  <c r="AU280" i="54"/>
  <c r="AV280" i="54" s="1"/>
  <c r="AW280" i="54" s="1"/>
  <c r="AU61" i="54"/>
  <c r="AU58" i="54"/>
  <c r="AU107" i="54"/>
  <c r="AU160" i="54"/>
  <c r="AU93" i="54"/>
  <c r="AU244" i="54"/>
  <c r="AU226" i="54"/>
  <c r="AU181" i="54"/>
  <c r="AU221" i="54"/>
  <c r="AU204" i="54"/>
  <c r="AU268" i="54"/>
  <c r="AU217" i="54"/>
  <c r="AU137" i="54"/>
  <c r="AU249" i="54"/>
  <c r="AV249" i="54" s="1"/>
  <c r="AW249" i="54" s="1"/>
  <c r="AU54" i="54"/>
  <c r="AU72" i="54"/>
  <c r="AU141" i="54"/>
  <c r="AU126" i="54"/>
  <c r="AU43" i="54"/>
  <c r="AU55" i="54"/>
  <c r="AU80" i="54"/>
  <c r="AU28" i="54"/>
  <c r="AU71" i="54"/>
  <c r="AU42" i="54"/>
  <c r="AU184" i="54"/>
  <c r="AU20" i="54"/>
  <c r="AU211" i="54"/>
  <c r="AU125" i="54"/>
  <c r="AU231" i="54"/>
  <c r="AV231" i="54" s="1"/>
  <c r="AW231" i="54" s="1"/>
  <c r="AU105" i="54"/>
  <c r="AU245" i="54"/>
  <c r="AU237" i="54"/>
  <c r="AU265" i="54"/>
  <c r="AU261" i="54"/>
  <c r="AU91" i="54"/>
  <c r="AU169" i="54"/>
  <c r="AU297" i="54"/>
  <c r="AU74" i="54"/>
  <c r="AU47" i="54"/>
  <c r="AU56" i="54"/>
  <c r="AU86" i="54"/>
  <c r="AU145" i="54"/>
  <c r="AU48" i="54"/>
  <c r="AU68" i="54"/>
  <c r="AU139" i="54"/>
  <c r="AU149" i="54"/>
  <c r="AU290" i="54"/>
  <c r="AU27" i="54"/>
  <c r="AU128" i="54"/>
  <c r="AU156" i="54"/>
  <c r="AU227" i="54"/>
  <c r="AU301" i="54"/>
  <c r="AU283" i="54"/>
  <c r="AU303" i="54"/>
  <c r="AU263" i="54"/>
  <c r="AU41" i="54"/>
  <c r="AU99" i="54"/>
  <c r="AU269" i="54"/>
  <c r="AU253" i="54"/>
  <c r="AU236" i="54"/>
  <c r="AU296" i="54"/>
  <c r="AV296" i="54" s="1"/>
  <c r="AW296" i="54" s="1"/>
  <c r="AU110" i="54"/>
  <c r="AV110" i="54" s="1"/>
  <c r="AW110" i="54" s="1"/>
  <c r="AU23" i="54"/>
  <c r="AU57" i="54"/>
  <c r="AU131" i="54"/>
  <c r="AU278" i="54"/>
  <c r="AV278" i="54" s="1"/>
  <c r="AW278" i="54" s="1"/>
  <c r="AU202" i="54"/>
  <c r="AU170" i="54"/>
  <c r="AU45" i="54"/>
  <c r="AU115" i="54"/>
  <c r="AU82" i="54"/>
  <c r="AV82" i="54" s="1"/>
  <c r="AW82" i="54" s="1"/>
  <c r="AU38" i="54"/>
  <c r="AU75" i="54"/>
  <c r="AU239" i="54"/>
  <c r="AU277" i="54"/>
  <c r="AU176" i="54"/>
  <c r="AU83" i="54"/>
  <c r="AU190" i="54"/>
  <c r="AV190" i="54" s="1"/>
  <c r="AW190" i="54" s="1"/>
  <c r="AU163" i="54"/>
  <c r="AV163" i="54" s="1"/>
  <c r="AW163" i="54" s="1"/>
  <c r="AU212" i="54"/>
  <c r="AU256" i="54"/>
  <c r="AU247" i="54"/>
  <c r="AU158" i="54"/>
  <c r="AU274" i="54"/>
  <c r="AU189" i="54"/>
  <c r="AV189" i="54" s="1"/>
  <c r="AW189" i="54" s="1"/>
  <c r="AU267" i="54"/>
  <c r="AU279" i="54"/>
  <c r="AU104" i="54"/>
  <c r="AU17" i="54"/>
  <c r="AU39" i="54"/>
  <c r="AU18" i="54"/>
  <c r="AU129" i="54"/>
  <c r="AU123" i="54"/>
  <c r="AV123" i="54" s="1"/>
  <c r="AW123" i="54" s="1"/>
  <c r="AU168" i="54"/>
  <c r="AV168" i="54" s="1"/>
  <c r="AW168" i="54" s="1"/>
  <c r="AU84" i="54"/>
  <c r="AV84" i="54" s="1"/>
  <c r="AW84" i="54" s="1"/>
  <c r="AU89" i="54"/>
  <c r="AU134" i="54"/>
  <c r="AU77" i="54"/>
  <c r="AU180" i="54"/>
  <c r="AU243" i="54"/>
  <c r="AU165" i="54"/>
  <c r="AU255" i="54"/>
  <c r="AU287" i="54"/>
  <c r="AU25" i="54"/>
  <c r="AU234" i="54"/>
  <c r="AU205" i="54"/>
  <c r="AU248" i="54"/>
  <c r="AU246" i="54"/>
  <c r="AU260" i="54"/>
  <c r="AU264" i="54"/>
  <c r="AU252" i="54"/>
  <c r="AU276" i="54"/>
  <c r="AU220" i="54"/>
  <c r="AU116" i="54"/>
  <c r="AU46" i="54"/>
  <c r="AU285" i="54"/>
  <c r="AU67" i="54"/>
  <c r="AU288" i="54"/>
  <c r="AU73" i="54"/>
  <c r="AU229" i="54"/>
  <c r="AV229" i="54" s="1"/>
  <c r="AW229" i="54" s="1"/>
  <c r="AU175" i="54"/>
  <c r="AU218" i="54"/>
  <c r="AU240" i="54"/>
  <c r="AU185" i="54"/>
  <c r="AU215" i="54"/>
  <c r="AU140" i="54"/>
  <c r="AU111" i="54"/>
  <c r="AU171" i="54"/>
  <c r="AU291" i="54"/>
  <c r="AU146" i="54"/>
  <c r="AU238" i="54"/>
  <c r="AU199" i="54"/>
  <c r="AU210" i="54"/>
  <c r="AU90" i="54"/>
  <c r="AU273" i="54"/>
  <c r="AU147" i="54"/>
  <c r="AU186" i="54"/>
  <c r="AU286" i="54"/>
  <c r="AU87" i="54"/>
  <c r="AU136" i="54"/>
  <c r="AU193" i="54"/>
  <c r="AU162" i="54"/>
  <c r="AU143" i="54"/>
  <c r="AU22" i="54"/>
  <c r="AU201" i="54"/>
  <c r="AV201" i="54" s="1"/>
  <c r="AW201" i="54" s="1"/>
  <c r="AU119" i="54"/>
  <c r="AU250" i="54"/>
  <c r="AU281" i="54"/>
  <c r="AU101" i="54"/>
  <c r="AU130" i="54"/>
  <c r="AU154" i="54"/>
  <c r="AU35" i="54"/>
  <c r="AU177" i="54"/>
  <c r="AU258" i="54"/>
  <c r="AU122" i="54"/>
  <c r="AU209" i="54"/>
  <c r="AU155" i="54"/>
  <c r="AU52" i="54"/>
  <c r="AU194" i="54"/>
  <c r="AU178" i="54"/>
  <c r="AU64" i="54"/>
  <c r="AU138" i="54"/>
  <c r="AU108" i="54"/>
  <c r="AU113" i="54"/>
  <c r="AU98" i="54"/>
  <c r="AU183" i="54"/>
  <c r="AU214" i="54"/>
  <c r="AV214" i="54" s="1"/>
  <c r="AW214" i="54" s="1"/>
  <c r="AU124" i="54"/>
  <c r="AU187" i="54"/>
  <c r="AU195" i="54"/>
  <c r="AU44" i="54"/>
  <c r="AU148" i="54"/>
  <c r="AU103" i="54"/>
  <c r="AU79" i="54"/>
  <c r="AV79" i="54" s="1"/>
  <c r="AW79" i="54" s="1"/>
  <c r="AU241" i="54"/>
  <c r="AU282" i="54"/>
  <c r="AU114" i="54"/>
  <c r="AU118" i="54"/>
  <c r="AV118" i="54" s="1"/>
  <c r="AW118" i="54" s="1"/>
  <c r="AU208" i="54"/>
  <c r="AU53" i="54"/>
  <c r="AU97" i="54"/>
  <c r="AU159" i="54"/>
  <c r="AU65" i="54"/>
  <c r="AU96" i="54"/>
  <c r="AU33" i="54"/>
  <c r="AU225" i="54"/>
  <c r="AU207" i="54"/>
  <c r="AU106" i="54"/>
  <c r="AU242" i="54"/>
  <c r="AU203" i="54"/>
  <c r="AV203" i="54" s="1"/>
  <c r="AW203" i="54" s="1"/>
  <c r="AU232" i="54"/>
  <c r="AU167" i="54"/>
  <c r="AU161" i="54"/>
  <c r="AU182" i="54"/>
  <c r="AU94" i="54"/>
  <c r="AU179" i="54"/>
  <c r="AU188" i="54"/>
  <c r="AU257" i="54"/>
  <c r="AU222" i="54"/>
  <c r="AU151" i="54"/>
  <c r="AU30" i="54"/>
  <c r="AU127" i="54"/>
  <c r="AU92" i="54"/>
  <c r="AU109" i="54"/>
  <c r="AU132" i="54"/>
  <c r="AU102" i="54"/>
  <c r="AU26" i="54"/>
  <c r="N3" i="42"/>
  <c r="N4" i="42"/>
  <c r="N5" i="42"/>
  <c r="N2" i="42"/>
  <c r="N3" i="39"/>
  <c r="N4" i="39"/>
  <c r="N5" i="39"/>
  <c r="P8" i="26"/>
  <c r="Y8" i="26" s="1"/>
  <c r="AH8" i="26" s="1"/>
  <c r="O8" i="26"/>
  <c r="X8" i="26" s="1"/>
  <c r="AG8" i="26" s="1"/>
  <c r="AV88" i="54" l="1"/>
  <c r="AW88" i="54" s="1"/>
  <c r="AV132" i="54"/>
  <c r="AW132" i="54" s="1"/>
  <c r="AV143" i="54"/>
  <c r="AW143" i="54" s="1"/>
  <c r="AV287" i="54"/>
  <c r="AW287" i="54" s="1"/>
  <c r="AV272" i="54"/>
  <c r="AW272" i="54" s="1"/>
  <c r="AV171" i="54"/>
  <c r="AW171" i="54" s="1"/>
  <c r="AV25" i="54"/>
  <c r="AW25" i="54" s="1"/>
  <c r="AV41" i="54"/>
  <c r="AW41" i="54" s="1"/>
  <c r="AV259" i="54"/>
  <c r="AW259" i="54" s="1"/>
  <c r="AV19" i="54"/>
  <c r="AW19" i="54" s="1"/>
  <c r="AV228" i="54"/>
  <c r="AW228" i="54" s="1"/>
  <c r="AV207" i="54"/>
  <c r="AW207" i="54" s="1"/>
  <c r="AV44" i="54"/>
  <c r="AW44" i="54" s="1"/>
  <c r="AV122" i="54"/>
  <c r="AW122" i="54" s="1"/>
  <c r="AV248" i="54"/>
  <c r="AW248" i="54" s="1"/>
  <c r="AV158" i="54"/>
  <c r="AW158" i="54" s="1"/>
  <c r="AV202" i="54"/>
  <c r="AW202" i="54" s="1"/>
  <c r="AV253" i="54"/>
  <c r="AW253" i="54" s="1"/>
  <c r="AV91" i="54"/>
  <c r="AW91" i="54" s="1"/>
  <c r="AV268" i="54"/>
  <c r="AW268" i="54" s="1"/>
  <c r="AV172" i="54"/>
  <c r="AW172" i="54" s="1"/>
  <c r="AV40" i="54"/>
  <c r="AW40" i="54" s="1"/>
  <c r="AV275" i="54"/>
  <c r="AW275" i="54" s="1"/>
  <c r="AV121" i="54"/>
  <c r="AW121" i="54" s="1"/>
  <c r="AV205" i="54"/>
  <c r="AW205" i="54" s="1"/>
  <c r="AV204" i="54"/>
  <c r="AW204" i="54" s="1"/>
  <c r="AV161" i="54"/>
  <c r="AW161" i="54" s="1"/>
  <c r="AV17" i="54"/>
  <c r="AW17" i="54" s="1"/>
  <c r="AV99" i="54"/>
  <c r="AW99" i="54" s="1"/>
  <c r="AV117" i="54"/>
  <c r="AW117" i="54" s="1"/>
  <c r="AV27" i="54"/>
  <c r="AW27" i="54" s="1"/>
  <c r="AV92" i="54"/>
  <c r="AW92" i="54" s="1"/>
  <c r="AV208" i="54"/>
  <c r="AW208" i="54" s="1"/>
  <c r="AV48" i="54"/>
  <c r="AW48" i="54" s="1"/>
  <c r="AV174" i="54"/>
  <c r="AW174" i="54" s="1"/>
  <c r="AV289" i="54"/>
  <c r="AW289" i="54" s="1"/>
  <c r="AV225" i="54"/>
  <c r="AW225" i="54" s="1"/>
  <c r="AV247" i="54"/>
  <c r="AW247" i="54" s="1"/>
  <c r="AV30" i="54"/>
  <c r="AW30" i="54" s="1"/>
  <c r="AV186" i="54"/>
  <c r="AW186" i="54" s="1"/>
  <c r="AV59" i="54"/>
  <c r="AW59" i="54" s="1"/>
  <c r="AV167" i="54"/>
  <c r="AW167" i="54" s="1"/>
  <c r="AV89" i="54"/>
  <c r="AW89" i="54" s="1"/>
  <c r="AV38" i="54"/>
  <c r="AW38" i="54" s="1"/>
  <c r="AV166" i="54"/>
  <c r="AW166" i="54" s="1"/>
  <c r="AV50" i="54"/>
  <c r="AW50" i="54" s="1"/>
  <c r="AV209" i="54"/>
  <c r="AW209" i="54" s="1"/>
  <c r="AV154" i="54"/>
  <c r="AW154" i="54" s="1"/>
  <c r="AV43" i="54"/>
  <c r="AW43" i="54" s="1"/>
  <c r="AV200" i="54"/>
  <c r="AW200" i="54" s="1"/>
  <c r="AV57" i="54"/>
  <c r="AW57" i="54" s="1"/>
  <c r="AV72" i="54"/>
  <c r="AW72" i="54" s="1"/>
  <c r="AV26" i="54"/>
  <c r="AW26" i="54" s="1"/>
  <c r="AV94" i="54"/>
  <c r="AW94" i="54" s="1"/>
  <c r="AV65" i="54"/>
  <c r="AW65" i="54" s="1"/>
  <c r="AV250" i="54"/>
  <c r="AW250" i="54" s="1"/>
  <c r="AV273" i="54"/>
  <c r="AW273" i="54" s="1"/>
  <c r="AV240" i="54"/>
  <c r="AW240" i="54" s="1"/>
  <c r="AV180" i="54"/>
  <c r="AW180" i="54" s="1"/>
  <c r="AV277" i="54"/>
  <c r="AW277" i="54" s="1"/>
  <c r="AV227" i="54"/>
  <c r="AW227" i="54" s="1"/>
  <c r="AV211" i="54"/>
  <c r="AW211" i="54" s="1"/>
  <c r="AV153" i="54"/>
  <c r="AW153" i="54" s="1"/>
  <c r="AV36" i="54"/>
  <c r="AW36" i="54" s="1"/>
  <c r="AV81" i="54"/>
  <c r="AW81" i="54" s="1"/>
  <c r="AV173" i="54"/>
  <c r="AW173" i="54" s="1"/>
  <c r="AV95" i="54"/>
  <c r="AW95" i="54" s="1"/>
  <c r="AV18" i="54"/>
  <c r="AW18" i="54" s="1"/>
  <c r="AV62" i="54"/>
  <c r="AW62" i="54" s="1"/>
  <c r="AV286" i="54"/>
  <c r="AW286" i="54" s="1"/>
  <c r="AV244" i="54"/>
  <c r="AW244" i="54" s="1"/>
  <c r="AV165" i="54"/>
  <c r="AW165" i="54" s="1"/>
  <c r="AV147" i="54"/>
  <c r="AW147" i="54" s="1"/>
  <c r="AV176" i="54"/>
  <c r="AW176" i="54" s="1"/>
  <c r="AV56" i="54"/>
  <c r="AW56" i="54" s="1"/>
  <c r="AV230" i="54"/>
  <c r="AW230" i="54" s="1"/>
  <c r="AV302" i="54"/>
  <c r="AW302" i="54" s="1"/>
  <c r="AV195" i="54"/>
  <c r="AW195" i="54" s="1"/>
  <c r="AV119" i="54"/>
  <c r="AW119" i="54" s="1"/>
  <c r="AV90" i="54"/>
  <c r="AW90" i="54" s="1"/>
  <c r="AV218" i="54"/>
  <c r="AW218" i="54" s="1"/>
  <c r="AV77" i="54"/>
  <c r="AW77" i="54" s="1"/>
  <c r="AV239" i="54"/>
  <c r="AW239" i="54" s="1"/>
  <c r="AV251" i="54"/>
  <c r="AW251" i="54" s="1"/>
  <c r="AV112" i="54"/>
  <c r="AW112" i="54" s="1"/>
  <c r="AV21" i="54"/>
  <c r="AW21" i="54" s="1"/>
  <c r="AV69" i="54"/>
  <c r="AW69" i="54" s="1"/>
  <c r="AV184" i="54"/>
  <c r="AW184" i="54" s="1"/>
  <c r="AV87" i="54"/>
  <c r="AW87" i="54" s="1"/>
  <c r="AV241" i="54"/>
  <c r="AW241" i="54" s="1"/>
  <c r="AV138" i="54"/>
  <c r="AW138" i="54" s="1"/>
  <c r="AV46" i="54"/>
  <c r="AW46" i="54" s="1"/>
  <c r="AV284" i="54"/>
  <c r="AW284" i="54" s="1"/>
  <c r="AV66" i="54"/>
  <c r="AW66" i="54" s="1"/>
  <c r="AV51" i="54"/>
  <c r="AW51" i="54" s="1"/>
  <c r="AV206" i="54"/>
  <c r="AW206" i="54" s="1"/>
  <c r="AV76" i="54"/>
  <c r="AW76" i="54" s="1"/>
  <c r="AV60" i="54"/>
  <c r="AW60" i="54" s="1"/>
  <c r="AV37" i="54"/>
  <c r="AW37" i="54" s="1"/>
  <c r="AV47" i="54"/>
  <c r="AW47" i="54" s="1"/>
  <c r="AV54" i="54"/>
  <c r="AW54" i="54" s="1"/>
  <c r="AV262" i="54"/>
  <c r="AW262" i="54" s="1"/>
  <c r="AV142" i="54"/>
  <c r="AW142" i="54" s="1"/>
  <c r="AV298" i="54"/>
  <c r="AW298" i="54" s="1"/>
  <c r="AV78" i="54"/>
  <c r="AW78" i="54" s="1"/>
  <c r="AV135" i="54"/>
  <c r="AW135" i="54" s="1"/>
  <c r="AV131" i="54"/>
  <c r="AW131" i="54" s="1"/>
  <c r="AV86" i="54"/>
  <c r="AW86" i="54" s="1"/>
  <c r="AV178" i="54"/>
  <c r="AW178" i="54" s="1"/>
  <c r="AV212" i="54"/>
  <c r="AW212" i="54" s="1"/>
  <c r="AV42" i="54"/>
  <c r="AW42" i="54" s="1"/>
  <c r="AV71" i="54"/>
  <c r="AW71" i="54" s="1"/>
  <c r="AV226" i="54"/>
  <c r="AW226" i="54" s="1"/>
  <c r="AV70" i="54"/>
  <c r="AW70" i="54" s="1"/>
  <c r="AV257" i="54"/>
  <c r="AW257" i="54" s="1"/>
  <c r="AV181" i="54"/>
  <c r="AW181" i="54" s="1"/>
  <c r="AV215" i="54"/>
  <c r="AW215" i="54" s="1"/>
  <c r="AV260" i="54"/>
  <c r="AW260" i="54" s="1"/>
  <c r="AV93" i="54"/>
  <c r="AW93" i="54" s="1"/>
  <c r="AV151" i="54"/>
  <c r="AW151" i="54" s="1"/>
  <c r="AV35" i="54"/>
  <c r="AW35" i="54" s="1"/>
  <c r="AV148" i="54"/>
  <c r="AW148" i="54" s="1"/>
  <c r="AV217" i="54"/>
  <c r="AW217" i="54" s="1"/>
  <c r="AV160" i="54"/>
  <c r="AW160" i="54" s="1"/>
  <c r="AV182" i="54"/>
  <c r="AW182" i="54" s="1"/>
  <c r="AV258" i="54"/>
  <c r="AW258" i="54" s="1"/>
  <c r="AV146" i="54"/>
  <c r="AW146" i="54" s="1"/>
  <c r="AV116" i="54"/>
  <c r="AW116" i="54" s="1"/>
  <c r="AV39" i="54"/>
  <c r="AW39" i="54" s="1"/>
  <c r="AV269" i="54"/>
  <c r="AW269" i="54" s="1"/>
  <c r="AV156" i="54"/>
  <c r="AW156" i="54" s="1"/>
  <c r="AV145" i="54"/>
  <c r="AW145" i="54" s="1"/>
  <c r="AV261" i="54"/>
  <c r="AW261" i="54" s="1"/>
  <c r="AV20" i="54"/>
  <c r="AW20" i="54" s="1"/>
  <c r="AV58" i="54"/>
  <c r="AW58" i="54" s="1"/>
  <c r="AV63" i="54"/>
  <c r="AW63" i="54" s="1"/>
  <c r="AV223" i="54"/>
  <c r="AW223" i="54" s="1"/>
  <c r="AV271" i="54"/>
  <c r="AW271" i="54" s="1"/>
  <c r="AV276" i="54"/>
  <c r="AW276" i="54" s="1"/>
  <c r="AV73" i="54"/>
  <c r="AW73" i="54" s="1"/>
  <c r="AV252" i="54"/>
  <c r="AW252" i="54" s="1"/>
  <c r="AV23" i="54"/>
  <c r="AW23" i="54" s="1"/>
  <c r="AV263" i="54"/>
  <c r="AW263" i="54" s="1"/>
  <c r="AV245" i="54"/>
  <c r="AW245" i="54" s="1"/>
  <c r="AV300" i="54"/>
  <c r="AW300" i="54" s="1"/>
  <c r="AV22" i="54"/>
  <c r="AW22" i="54" s="1"/>
  <c r="AV222" i="54"/>
  <c r="AW222" i="54" s="1"/>
  <c r="AV150" i="54"/>
  <c r="AW150" i="54" s="1"/>
  <c r="AV96" i="54"/>
  <c r="AW96" i="54" s="1"/>
  <c r="AV242" i="54"/>
  <c r="AW242" i="54" s="1"/>
  <c r="AV97" i="54"/>
  <c r="AW97" i="54" s="1"/>
  <c r="AV155" i="54"/>
  <c r="AW155" i="54" s="1"/>
  <c r="AV83" i="54"/>
  <c r="AW83" i="54" s="1"/>
  <c r="AV45" i="54"/>
  <c r="AW45" i="54" s="1"/>
  <c r="AV283" i="54"/>
  <c r="AW283" i="54" s="1"/>
  <c r="AV139" i="54"/>
  <c r="AW139" i="54" s="1"/>
  <c r="AV137" i="54"/>
  <c r="AW137" i="54" s="1"/>
  <c r="AV213" i="54"/>
  <c r="AW213" i="54" s="1"/>
  <c r="AV152" i="54"/>
  <c r="AW152" i="54" s="1"/>
  <c r="AV224" i="54"/>
  <c r="AW224" i="54" s="1"/>
  <c r="AV31" i="54"/>
  <c r="AW31" i="54" s="1"/>
  <c r="AV188" i="54"/>
  <c r="AW188" i="54" s="1"/>
  <c r="AV98" i="54"/>
  <c r="AW98" i="54" s="1"/>
  <c r="AV101" i="54"/>
  <c r="AW101" i="54" s="1"/>
  <c r="AV210" i="54"/>
  <c r="AW210" i="54" s="1"/>
  <c r="AV67" i="54"/>
  <c r="AW67" i="54" s="1"/>
  <c r="AV53" i="54"/>
  <c r="AW53" i="54" s="1"/>
  <c r="AV113" i="54"/>
  <c r="AW113" i="54" s="1"/>
  <c r="AV170" i="54"/>
  <c r="AW170" i="54" s="1"/>
  <c r="AV157" i="54"/>
  <c r="AW157" i="54" s="1"/>
  <c r="AV144" i="54"/>
  <c r="AW144" i="54" s="1"/>
  <c r="AV33" i="54"/>
  <c r="AW33" i="54" s="1"/>
  <c r="AV114" i="54"/>
  <c r="AW114" i="54" s="1"/>
  <c r="AV187" i="54"/>
  <c r="AW187" i="54" s="1"/>
  <c r="AV64" i="54"/>
  <c r="AW64" i="54" s="1"/>
  <c r="AV177" i="54"/>
  <c r="AW177" i="54" s="1"/>
  <c r="AV175" i="54"/>
  <c r="AW175" i="54" s="1"/>
  <c r="AV134" i="54"/>
  <c r="AW134" i="54" s="1"/>
  <c r="AV256" i="54"/>
  <c r="AW256" i="54" s="1"/>
  <c r="AV128" i="54"/>
  <c r="AW128" i="54" s="1"/>
  <c r="AV265" i="54"/>
  <c r="AW265" i="54" s="1"/>
  <c r="AV141" i="54"/>
  <c r="AW141" i="54" s="1"/>
  <c r="AV221" i="54"/>
  <c r="AW221" i="54" s="1"/>
  <c r="AV61" i="54"/>
  <c r="AW61" i="54" s="1"/>
  <c r="AV191" i="54"/>
  <c r="AW191" i="54" s="1"/>
  <c r="AV266" i="54"/>
  <c r="AW266" i="54" s="1"/>
  <c r="AV216" i="54"/>
  <c r="AW216" i="54" s="1"/>
  <c r="AV270" i="54"/>
  <c r="AW270" i="54" s="1"/>
  <c r="AV133" i="54"/>
  <c r="AW133" i="54" s="1"/>
  <c r="AV49" i="54"/>
  <c r="AW49" i="54" s="1"/>
  <c r="AV164" i="54"/>
  <c r="AW164" i="54" s="1"/>
  <c r="AV192" i="54"/>
  <c r="AW192" i="54" s="1"/>
  <c r="AV290" i="54"/>
  <c r="AW290" i="54" s="1"/>
  <c r="AV159" i="54"/>
  <c r="AW159" i="54" s="1"/>
  <c r="AV183" i="54"/>
  <c r="AW183" i="54" s="1"/>
  <c r="AV52" i="54"/>
  <c r="AW52" i="54" s="1"/>
  <c r="AV130" i="54"/>
  <c r="AW130" i="54" s="1"/>
  <c r="AV162" i="54"/>
  <c r="AW162" i="54" s="1"/>
  <c r="AV140" i="54"/>
  <c r="AW140" i="54" s="1"/>
  <c r="AV288" i="54"/>
  <c r="AW288" i="54" s="1"/>
  <c r="AV264" i="54"/>
  <c r="AW264" i="54" s="1"/>
  <c r="AV255" i="54"/>
  <c r="AW255" i="54" s="1"/>
  <c r="AV267" i="54"/>
  <c r="AW267" i="54" s="1"/>
  <c r="AV115" i="54"/>
  <c r="AW115" i="54" s="1"/>
  <c r="AV303" i="54"/>
  <c r="AW303" i="54" s="1"/>
  <c r="AV149" i="54"/>
  <c r="AW149" i="54" s="1"/>
  <c r="AV74" i="54"/>
  <c r="AW74" i="54" s="1"/>
  <c r="AV28" i="54"/>
  <c r="AW28" i="54" s="1"/>
  <c r="AV100" i="54"/>
  <c r="AW100" i="54" s="1"/>
  <c r="AV219" i="54"/>
  <c r="AW219" i="54" s="1"/>
  <c r="AV29" i="54"/>
  <c r="AW29" i="54" s="1"/>
  <c r="AV179" i="54"/>
  <c r="AW179" i="54" s="1"/>
  <c r="AV136" i="54"/>
  <c r="AW136" i="54" s="1"/>
  <c r="AV185" i="54"/>
  <c r="AW185" i="54" s="1"/>
  <c r="AV285" i="54"/>
  <c r="AW285" i="54" s="1"/>
  <c r="AV246" i="54"/>
  <c r="AW246" i="54" s="1"/>
  <c r="AV243" i="54"/>
  <c r="AW243" i="54" s="1"/>
  <c r="AV129" i="54"/>
  <c r="AW129" i="54" s="1"/>
  <c r="AV274" i="54"/>
  <c r="AW274" i="54" s="1"/>
  <c r="AV301" i="54"/>
  <c r="AW301" i="54" s="1"/>
  <c r="AV68" i="54"/>
  <c r="AW68" i="54" s="1"/>
  <c r="AV169" i="54"/>
  <c r="AW169" i="54" s="1"/>
  <c r="AV55" i="54"/>
  <c r="AW55" i="54" s="1"/>
  <c r="AV32" i="54"/>
  <c r="AW32" i="54" s="1"/>
  <c r="AV24" i="54"/>
  <c r="AW24" i="54" s="1"/>
  <c r="AV299" i="54"/>
  <c r="AW299" i="54" s="1"/>
  <c r="AV34" i="54"/>
  <c r="AW34" i="54" s="1"/>
  <c r="N7" i="17"/>
  <c r="N6" i="17"/>
  <c r="R195" i="17" l="1"/>
  <c r="N6" i="42"/>
  <c r="N6" i="39"/>
  <c r="N7" i="39"/>
  <c r="N7" i="42"/>
  <c r="Q156" i="42" l="1"/>
  <c r="Q151" i="42"/>
  <c r="S151" i="42" s="1"/>
  <c r="Q143" i="42"/>
  <c r="S143" i="42" s="1"/>
  <c r="Q135" i="42"/>
  <c r="S135" i="42" s="1"/>
  <c r="Q122" i="42"/>
  <c r="Q114" i="42"/>
  <c r="S114" i="42" s="1"/>
  <c r="Q101" i="42"/>
  <c r="S101" i="42" s="1"/>
  <c r="Q93" i="42"/>
  <c r="S93" i="42" s="1"/>
  <c r="Q85" i="42"/>
  <c r="S85" i="42" s="1"/>
  <c r="Q77" i="42"/>
  <c r="S77" i="42" s="1"/>
  <c r="Q69" i="42"/>
  <c r="S69" i="42" s="1"/>
  <c r="Q61" i="42"/>
  <c r="S61" i="42" s="1"/>
  <c r="Q48" i="42"/>
  <c r="Q40" i="42"/>
  <c r="S40" i="42" s="1"/>
  <c r="Q32" i="42"/>
  <c r="S32" i="42" s="1"/>
  <c r="Q19" i="42"/>
  <c r="Q149" i="42"/>
  <c r="S149" i="42" s="1"/>
  <c r="Q141" i="42"/>
  <c r="S141" i="42" s="1"/>
  <c r="Q133" i="42"/>
  <c r="S133" i="42" s="1"/>
  <c r="Q120" i="42"/>
  <c r="Q112" i="42"/>
  <c r="S112" i="42" s="1"/>
  <c r="Q99" i="42"/>
  <c r="S99" i="42" s="1"/>
  <c r="Q91" i="42"/>
  <c r="S91" i="42" s="1"/>
  <c r="Q83" i="42"/>
  <c r="S83" i="42" s="1"/>
  <c r="Q75" i="42"/>
  <c r="S75" i="42" s="1"/>
  <c r="Q67" i="42"/>
  <c r="S67" i="42" s="1"/>
  <c r="Q59" i="42"/>
  <c r="S59" i="42" s="1"/>
  <c r="Q46" i="42"/>
  <c r="S46" i="42" s="1"/>
  <c r="Q38" i="42"/>
  <c r="S38" i="42" s="1"/>
  <c r="Q30" i="42"/>
  <c r="S30" i="42" s="1"/>
  <c r="Q13" i="42"/>
  <c r="Q148" i="42"/>
  <c r="S148" i="42" s="1"/>
  <c r="Q138" i="42"/>
  <c r="S138" i="42" s="1"/>
  <c r="Q123" i="42"/>
  <c r="Q111" i="42"/>
  <c r="S111" i="42" s="1"/>
  <c r="Q96" i="42"/>
  <c r="S96" i="42" s="1"/>
  <c r="Q86" i="42"/>
  <c r="S86" i="42" s="1"/>
  <c r="Q74" i="42"/>
  <c r="S74" i="42" s="1"/>
  <c r="Q64" i="42"/>
  <c r="S64" i="42" s="1"/>
  <c r="Q54" i="42"/>
  <c r="S54" i="42" s="1"/>
  <c r="Q37" i="42"/>
  <c r="S37" i="42" s="1"/>
  <c r="Q22" i="42"/>
  <c r="Q147" i="42"/>
  <c r="S147" i="42" s="1"/>
  <c r="Q137" i="42"/>
  <c r="S137" i="42" s="1"/>
  <c r="Q121" i="42"/>
  <c r="Q110" i="42"/>
  <c r="S110" i="42" s="1"/>
  <c r="Q95" i="42"/>
  <c r="Q84" i="42"/>
  <c r="S84" i="42" s="1"/>
  <c r="Q73" i="42"/>
  <c r="S73" i="42" s="1"/>
  <c r="Q63" i="42"/>
  <c r="S63" i="42" s="1"/>
  <c r="Q47" i="42"/>
  <c r="Q36" i="42"/>
  <c r="S36" i="42" s="1"/>
  <c r="Q21" i="42"/>
  <c r="Q145" i="42"/>
  <c r="S145" i="42" s="1"/>
  <c r="Q134" i="42"/>
  <c r="S134" i="42" s="1"/>
  <c r="Q118" i="42"/>
  <c r="S118" i="42" s="1"/>
  <c r="Q108" i="42"/>
  <c r="S108" i="42" s="1"/>
  <c r="Q92" i="42"/>
  <c r="S92" i="42" s="1"/>
  <c r="Q81" i="42"/>
  <c r="S81" i="42" s="1"/>
  <c r="Q71" i="42"/>
  <c r="S71" i="42" s="1"/>
  <c r="Q60" i="42"/>
  <c r="S60" i="42" s="1"/>
  <c r="Q44" i="42"/>
  <c r="S44" i="42" s="1"/>
  <c r="Q34" i="42"/>
  <c r="S34" i="42" s="1"/>
  <c r="Q18" i="42"/>
  <c r="Q136" i="42"/>
  <c r="S136" i="42" s="1"/>
  <c r="Q115" i="42"/>
  <c r="S115" i="42" s="1"/>
  <c r="Q90" i="42"/>
  <c r="S90" i="42" s="1"/>
  <c r="Q76" i="42"/>
  <c r="S76" i="42" s="1"/>
  <c r="Q57" i="42"/>
  <c r="S57" i="42" s="1"/>
  <c r="Q35" i="42"/>
  <c r="Q31" i="42"/>
  <c r="S31" i="42" s="1"/>
  <c r="Q157" i="42"/>
  <c r="S157" i="42" s="1"/>
  <c r="Q132" i="42"/>
  <c r="S132" i="42" s="1"/>
  <c r="Q113" i="42"/>
  <c r="Q89" i="42"/>
  <c r="S89" i="42" s="1"/>
  <c r="Q72" i="42"/>
  <c r="S72" i="42" s="1"/>
  <c r="Q56" i="42"/>
  <c r="S56" i="42" s="1"/>
  <c r="Q33" i="42"/>
  <c r="S33" i="42" s="1"/>
  <c r="Q150" i="42"/>
  <c r="S150" i="42" s="1"/>
  <c r="Q109" i="42"/>
  <c r="S109" i="42" s="1"/>
  <c r="Q88" i="42"/>
  <c r="S88" i="42" s="1"/>
  <c r="Q70" i="42"/>
  <c r="S70" i="42" s="1"/>
  <c r="Q55" i="42"/>
  <c r="S55" i="42" s="1"/>
  <c r="Q131" i="42"/>
  <c r="S131" i="42" s="1"/>
  <c r="Q146" i="42"/>
  <c r="S146" i="42" s="1"/>
  <c r="Q130" i="42"/>
  <c r="S130" i="42" s="1"/>
  <c r="Q107" i="42"/>
  <c r="S107" i="42" s="1"/>
  <c r="Q87" i="42"/>
  <c r="S87" i="42" s="1"/>
  <c r="Q68" i="42"/>
  <c r="S68" i="42" s="1"/>
  <c r="Q45" i="42"/>
  <c r="S45" i="42" s="1"/>
  <c r="Q29" i="42"/>
  <c r="Q142" i="42"/>
  <c r="S142" i="42" s="1"/>
  <c r="Q119" i="42"/>
  <c r="Q139" i="42"/>
  <c r="S139" i="42" s="1"/>
  <c r="Q82" i="42"/>
  <c r="S82" i="42" s="1"/>
  <c r="Q43" i="42"/>
  <c r="S43" i="42" s="1"/>
  <c r="Q117" i="42"/>
  <c r="S117" i="42" s="1"/>
  <c r="Q41" i="42"/>
  <c r="S41" i="42" s="1"/>
  <c r="Q20" i="42"/>
  <c r="Q129" i="42"/>
  <c r="S129" i="42" s="1"/>
  <c r="Q80" i="42"/>
  <c r="S80" i="42" s="1"/>
  <c r="Q42" i="42"/>
  <c r="S42" i="42" s="1"/>
  <c r="Q79" i="42"/>
  <c r="S79" i="42" s="1"/>
  <c r="Q65" i="42"/>
  <c r="S65" i="42" s="1"/>
  <c r="Q58" i="42"/>
  <c r="S58" i="42" s="1"/>
  <c r="Q94" i="42"/>
  <c r="S94" i="42" s="1"/>
  <c r="Q116" i="42"/>
  <c r="S116" i="42" s="1"/>
  <c r="Q78" i="42"/>
  <c r="S78" i="42" s="1"/>
  <c r="Q39" i="42"/>
  <c r="S39" i="42" s="1"/>
  <c r="Q100" i="42"/>
  <c r="S100" i="42" s="1"/>
  <c r="Q66" i="42"/>
  <c r="S66" i="42" s="1"/>
  <c r="Q23" i="42"/>
  <c r="S23" i="42" s="1"/>
  <c r="Q98" i="42"/>
  <c r="S98" i="42" s="1"/>
  <c r="Q144" i="42"/>
  <c r="S144" i="42" s="1"/>
  <c r="Q97" i="42"/>
  <c r="S97" i="42" s="1"/>
  <c r="Q62" i="42"/>
  <c r="S62" i="42" s="1"/>
  <c r="Q140" i="42"/>
  <c r="S140" i="42" s="1"/>
  <c r="O504" i="39"/>
  <c r="O496" i="39"/>
  <c r="O502" i="39"/>
  <c r="O505" i="39"/>
  <c r="O494" i="39"/>
  <c r="Q494" i="39" s="1"/>
  <c r="O486" i="39"/>
  <c r="Q486" i="39" s="1"/>
  <c r="O478" i="39"/>
  <c r="Q478" i="39" s="1"/>
  <c r="O470" i="39"/>
  <c r="Q470" i="39" s="1"/>
  <c r="O462" i="39"/>
  <c r="Q462" i="39" s="1"/>
  <c r="O449" i="39"/>
  <c r="O441" i="39"/>
  <c r="O433" i="39"/>
  <c r="Q433" i="39" s="1"/>
  <c r="O425" i="39"/>
  <c r="Q425" i="39" s="1"/>
  <c r="O417" i="39"/>
  <c r="Q417" i="39" s="1"/>
  <c r="O403" i="39"/>
  <c r="O395" i="39"/>
  <c r="O330" i="39"/>
  <c r="O322" i="39"/>
  <c r="O314" i="39"/>
  <c r="O306" i="39"/>
  <c r="O298" i="39"/>
  <c r="O290" i="39"/>
  <c r="Q290" i="39" s="1"/>
  <c r="O282" i="39"/>
  <c r="Q282" i="39" s="1"/>
  <c r="O274" i="39"/>
  <c r="Q274" i="39" s="1"/>
  <c r="O266" i="39"/>
  <c r="Q266" i="39" s="1"/>
  <c r="O258" i="39"/>
  <c r="Q258" i="39" s="1"/>
  <c r="O250" i="39"/>
  <c r="Q250" i="39" s="1"/>
  <c r="O240" i="39"/>
  <c r="Q240" i="39" s="1"/>
  <c r="O232" i="39"/>
  <c r="Q232" i="39" s="1"/>
  <c r="O224" i="39"/>
  <c r="Q224" i="39" s="1"/>
  <c r="O216" i="39"/>
  <c r="Q216" i="39" s="1"/>
  <c r="O208" i="39"/>
  <c r="Q208" i="39" s="1"/>
  <c r="O200" i="39"/>
  <c r="Q200" i="39" s="1"/>
  <c r="O188" i="39"/>
  <c r="O180" i="39"/>
  <c r="O172" i="39"/>
  <c r="O164" i="39"/>
  <c r="O156" i="39"/>
  <c r="O148" i="39"/>
  <c r="O140" i="39"/>
  <c r="O132" i="39"/>
  <c r="O503" i="39"/>
  <c r="O493" i="39"/>
  <c r="Q493" i="39" s="1"/>
  <c r="O485" i="39"/>
  <c r="Q485" i="39" s="1"/>
  <c r="O477" i="39"/>
  <c r="Q477" i="39" s="1"/>
  <c r="O469" i="39"/>
  <c r="Q469" i="39" s="1"/>
  <c r="O461" i="39"/>
  <c r="Q461" i="39" s="1"/>
  <c r="O448" i="39"/>
  <c r="O440" i="39"/>
  <c r="O432" i="39"/>
  <c r="Q432" i="39" s="1"/>
  <c r="O424" i="39"/>
  <c r="Q424" i="39" s="1"/>
  <c r="O416" i="39"/>
  <c r="Q416" i="39" s="1"/>
  <c r="O402" i="39"/>
  <c r="O394" i="39"/>
  <c r="O329" i="39"/>
  <c r="O321" i="39"/>
  <c r="O313" i="39"/>
  <c r="O305" i="39"/>
  <c r="O297" i="39"/>
  <c r="O289" i="39"/>
  <c r="Q289" i="39" s="1"/>
  <c r="O281" i="39"/>
  <c r="Q281" i="39" s="1"/>
  <c r="O273" i="39"/>
  <c r="Q273" i="39" s="1"/>
  <c r="O265" i="39"/>
  <c r="Q265" i="39" s="1"/>
  <c r="O257" i="39"/>
  <c r="Q257" i="39" s="1"/>
  <c r="O249" i="39"/>
  <c r="Q249" i="39" s="1"/>
  <c r="O239" i="39"/>
  <c r="Q239" i="39" s="1"/>
  <c r="O231" i="39"/>
  <c r="Q231" i="39" s="1"/>
  <c r="O223" i="39"/>
  <c r="Q223" i="39" s="1"/>
  <c r="O215" i="39"/>
  <c r="Q215" i="39" s="1"/>
  <c r="O207" i="39"/>
  <c r="Q207" i="39" s="1"/>
  <c r="O199" i="39"/>
  <c r="Q199" i="39" s="1"/>
  <c r="O187" i="39"/>
  <c r="O179" i="39"/>
  <c r="O171" i="39"/>
  <c r="O163" i="39"/>
  <c r="O155" i="39"/>
  <c r="O147" i="39"/>
  <c r="O139" i="39"/>
  <c r="O131" i="39"/>
  <c r="O123" i="39"/>
  <c r="O500" i="39"/>
  <c r="O491" i="39"/>
  <c r="Q491" i="39" s="1"/>
  <c r="O483" i="39"/>
  <c r="Q483" i="39" s="1"/>
  <c r="O475" i="39"/>
  <c r="Q475" i="39" s="1"/>
  <c r="O467" i="39"/>
  <c r="Q467" i="39" s="1"/>
  <c r="O459" i="39"/>
  <c r="Q459" i="39" s="1"/>
  <c r="O446" i="39"/>
  <c r="O438" i="39"/>
  <c r="Q438" i="39" s="1"/>
  <c r="O430" i="39"/>
  <c r="Q430" i="39" s="1"/>
  <c r="O422" i="39"/>
  <c r="Q422" i="39" s="1"/>
  <c r="O408" i="39"/>
  <c r="Q408" i="39" s="1"/>
  <c r="O400" i="39"/>
  <c r="O392" i="39"/>
  <c r="O327" i="39"/>
  <c r="O319" i="39"/>
  <c r="O311" i="39"/>
  <c r="O303" i="39"/>
  <c r="O295" i="39"/>
  <c r="Q295" i="39" s="1"/>
  <c r="O287" i="39"/>
  <c r="Q287" i="39" s="1"/>
  <c r="O279" i="39"/>
  <c r="Q279" i="39" s="1"/>
  <c r="O271" i="39"/>
  <c r="Q271" i="39" s="1"/>
  <c r="O263" i="39"/>
  <c r="Q263" i="39" s="1"/>
  <c r="O255" i="39"/>
  <c r="Q255" i="39" s="1"/>
  <c r="O247" i="39"/>
  <c r="Q247" i="39" s="1"/>
  <c r="O237" i="39"/>
  <c r="Q237" i="39" s="1"/>
  <c r="O229" i="39"/>
  <c r="Q229" i="39" s="1"/>
  <c r="O221" i="39"/>
  <c r="Q221" i="39" s="1"/>
  <c r="O213" i="39"/>
  <c r="Q213" i="39" s="1"/>
  <c r="O205" i="39"/>
  <c r="Q205" i="39" s="1"/>
  <c r="O197" i="39"/>
  <c r="Q197" i="39" s="1"/>
  <c r="O185" i="39"/>
  <c r="O177" i="39"/>
  <c r="O169" i="39"/>
  <c r="O161" i="39"/>
  <c r="O507" i="39"/>
  <c r="O490" i="39"/>
  <c r="Q490" i="39" s="1"/>
  <c r="O479" i="39"/>
  <c r="Q479" i="39" s="1"/>
  <c r="O465" i="39"/>
  <c r="Q465" i="39" s="1"/>
  <c r="O447" i="39"/>
  <c r="O435" i="39"/>
  <c r="Q435" i="39" s="1"/>
  <c r="O421" i="39"/>
  <c r="Q421" i="39" s="1"/>
  <c r="O404" i="39"/>
  <c r="O390" i="39"/>
  <c r="O320" i="39"/>
  <c r="O308" i="39"/>
  <c r="O294" i="39"/>
  <c r="Q294" i="39" s="1"/>
  <c r="O283" i="39"/>
  <c r="Q283" i="39" s="1"/>
  <c r="O269" i="39"/>
  <c r="Q269" i="39" s="1"/>
  <c r="O256" i="39"/>
  <c r="Q256" i="39" s="1"/>
  <c r="O242" i="39"/>
  <c r="Q242" i="39" s="1"/>
  <c r="O228" i="39"/>
  <c r="Q228" i="39" s="1"/>
  <c r="O217" i="39"/>
  <c r="Q217" i="39" s="1"/>
  <c r="O203" i="39"/>
  <c r="Q203" i="39" s="1"/>
  <c r="O186" i="39"/>
  <c r="O174" i="39"/>
  <c r="O160" i="39"/>
  <c r="O150" i="39"/>
  <c r="O138" i="39"/>
  <c r="O128" i="39"/>
  <c r="O119" i="39"/>
  <c r="Q119" i="39" s="1"/>
  <c r="O111" i="39"/>
  <c r="Q111" i="39" s="1"/>
  <c r="O103" i="39"/>
  <c r="Q103" i="39" s="1"/>
  <c r="O95" i="39"/>
  <c r="Q95" i="39" s="1"/>
  <c r="O87" i="39"/>
  <c r="Q87" i="39" s="1"/>
  <c r="O79" i="39"/>
  <c r="Q79" i="39" s="1"/>
  <c r="O71" i="39"/>
  <c r="Q71" i="39" s="1"/>
  <c r="O63" i="39"/>
  <c r="Q63" i="39" s="1"/>
  <c r="O55" i="39"/>
  <c r="Q55" i="39" s="1"/>
  <c r="O47" i="39"/>
  <c r="Q47" i="39" s="1"/>
  <c r="O39" i="39"/>
  <c r="Q39" i="39" s="1"/>
  <c r="O31" i="39"/>
  <c r="Q31" i="39" s="1"/>
  <c r="O23" i="39"/>
  <c r="Q23" i="39" s="1"/>
  <c r="O15" i="39"/>
  <c r="Q15" i="39" s="1"/>
  <c r="O506" i="39"/>
  <c r="O489" i="39"/>
  <c r="Q489" i="39" s="1"/>
  <c r="O476" i="39"/>
  <c r="Q476" i="39" s="1"/>
  <c r="O464" i="39"/>
  <c r="Q464" i="39" s="1"/>
  <c r="O445" i="39"/>
  <c r="O434" i="39"/>
  <c r="Q434" i="39" s="1"/>
  <c r="O420" i="39"/>
  <c r="Q420" i="39" s="1"/>
  <c r="O401" i="39"/>
  <c r="O389" i="39"/>
  <c r="O318" i="39"/>
  <c r="O307" i="39"/>
  <c r="O293" i="39"/>
  <c r="Q293" i="39" s="1"/>
  <c r="O280" i="39"/>
  <c r="Q280" i="39" s="1"/>
  <c r="O268" i="39"/>
  <c r="Q268" i="39" s="1"/>
  <c r="O254" i="39"/>
  <c r="Q254" i="39" s="1"/>
  <c r="O241" i="39"/>
  <c r="Q241" i="39" s="1"/>
  <c r="O227" i="39"/>
  <c r="Q227" i="39" s="1"/>
  <c r="O214" i="39"/>
  <c r="Q214" i="39" s="1"/>
  <c r="O202" i="39"/>
  <c r="Q202" i="39" s="1"/>
  <c r="O184" i="39"/>
  <c r="O173" i="39"/>
  <c r="O159" i="39"/>
  <c r="O149" i="39"/>
  <c r="O137" i="39"/>
  <c r="O127" i="39"/>
  <c r="O118" i="39"/>
  <c r="Q118" i="39" s="1"/>
  <c r="O110" i="39"/>
  <c r="Q110" i="39" s="1"/>
  <c r="O102" i="39"/>
  <c r="Q102" i="39" s="1"/>
  <c r="O94" i="39"/>
  <c r="Q94" i="39" s="1"/>
  <c r="O86" i="39"/>
  <c r="Q86" i="39" s="1"/>
  <c r="O78" i="39"/>
  <c r="Q78" i="39" s="1"/>
  <c r="O70" i="39"/>
  <c r="Q70" i="39" s="1"/>
  <c r="O62" i="39"/>
  <c r="Q62" i="39" s="1"/>
  <c r="O54" i="39"/>
  <c r="Q54" i="39" s="1"/>
  <c r="O46" i="39"/>
  <c r="Q46" i="39" s="1"/>
  <c r="O38" i="39"/>
  <c r="Q38" i="39" s="1"/>
  <c r="O30" i="39"/>
  <c r="Q30" i="39" s="1"/>
  <c r="O22" i="39"/>
  <c r="Q22" i="39" s="1"/>
  <c r="O14" i="39"/>
  <c r="Q14" i="39" s="1"/>
  <c r="O501" i="39"/>
  <c r="O499" i="39"/>
  <c r="O487" i="39"/>
  <c r="Q487" i="39" s="1"/>
  <c r="O473" i="39"/>
  <c r="Q473" i="39" s="1"/>
  <c r="O460" i="39"/>
  <c r="Q460" i="39" s="1"/>
  <c r="O443" i="39"/>
  <c r="O429" i="39"/>
  <c r="Q429" i="39" s="1"/>
  <c r="O418" i="39"/>
  <c r="Q418" i="39" s="1"/>
  <c r="O398" i="39"/>
  <c r="O328" i="39"/>
  <c r="O316" i="39"/>
  <c r="O302" i="39"/>
  <c r="O291" i="39"/>
  <c r="Q291" i="39" s="1"/>
  <c r="O277" i="39"/>
  <c r="Q277" i="39" s="1"/>
  <c r="O264" i="39"/>
  <c r="Q264" i="39" s="1"/>
  <c r="O252" i="39"/>
  <c r="Q252" i="39" s="1"/>
  <c r="O236" i="39"/>
  <c r="Q236" i="39" s="1"/>
  <c r="O225" i="39"/>
  <c r="Q225" i="39" s="1"/>
  <c r="O211" i="39"/>
  <c r="Q211" i="39" s="1"/>
  <c r="O198" i="39"/>
  <c r="Q198" i="39" s="1"/>
  <c r="O182" i="39"/>
  <c r="O168" i="39"/>
  <c r="O157" i="39"/>
  <c r="O145" i="39"/>
  <c r="O135" i="39"/>
  <c r="O125" i="39"/>
  <c r="O116" i="39"/>
  <c r="Q116" i="39" s="1"/>
  <c r="O108" i="39"/>
  <c r="Q108" i="39" s="1"/>
  <c r="O100" i="39"/>
  <c r="Q100" i="39" s="1"/>
  <c r="O92" i="39"/>
  <c r="Q92" i="39" s="1"/>
  <c r="O84" i="39"/>
  <c r="Q84" i="39" s="1"/>
  <c r="O76" i="39"/>
  <c r="Q76" i="39" s="1"/>
  <c r="O68" i="39"/>
  <c r="Q68" i="39" s="1"/>
  <c r="O60" i="39"/>
  <c r="Q60" i="39" s="1"/>
  <c r="O52" i="39"/>
  <c r="Q52" i="39" s="1"/>
  <c r="O44" i="39"/>
  <c r="Q44" i="39" s="1"/>
  <c r="O36" i="39"/>
  <c r="Q36" i="39" s="1"/>
  <c r="O28" i="39"/>
  <c r="Q28" i="39" s="1"/>
  <c r="O20" i="39"/>
  <c r="Q20" i="39" s="1"/>
  <c r="O498" i="39"/>
  <c r="O480" i="39"/>
  <c r="Q480" i="39" s="1"/>
  <c r="O457" i="39"/>
  <c r="Q457" i="39" s="1"/>
  <c r="O431" i="39"/>
  <c r="Q431" i="39" s="1"/>
  <c r="O406" i="39"/>
  <c r="Q406" i="39" s="1"/>
  <c r="O326" i="39"/>
  <c r="O309" i="39"/>
  <c r="O286" i="39"/>
  <c r="Q286" i="39" s="1"/>
  <c r="O267" i="39"/>
  <c r="Q267" i="39" s="1"/>
  <c r="O246" i="39"/>
  <c r="Q246" i="39" s="1"/>
  <c r="O222" i="39"/>
  <c r="Q222" i="39" s="1"/>
  <c r="O204" i="39"/>
  <c r="Q204" i="39" s="1"/>
  <c r="O178" i="39"/>
  <c r="O158" i="39"/>
  <c r="O142" i="39"/>
  <c r="O124" i="39"/>
  <c r="O112" i="39"/>
  <c r="Q112" i="39" s="1"/>
  <c r="R112" i="39" s="1"/>
  <c r="O98" i="39"/>
  <c r="Q98" i="39" s="1"/>
  <c r="O85" i="39"/>
  <c r="Q85" i="39" s="1"/>
  <c r="O73" i="39"/>
  <c r="Q73" i="39" s="1"/>
  <c r="O59" i="39"/>
  <c r="Q59" i="39" s="1"/>
  <c r="O48" i="39"/>
  <c r="Q48" i="39" s="1"/>
  <c r="O34" i="39"/>
  <c r="Q34" i="39" s="1"/>
  <c r="O21" i="39"/>
  <c r="Q21" i="39" s="1"/>
  <c r="O495" i="39"/>
  <c r="Q495" i="39" s="1"/>
  <c r="O450" i="39"/>
  <c r="O399" i="39"/>
  <c r="O284" i="39"/>
  <c r="Q284" i="39" s="1"/>
  <c r="O238" i="39"/>
  <c r="Q238" i="39" s="1"/>
  <c r="O196" i="39"/>
  <c r="Q196" i="39" s="1"/>
  <c r="O175" i="39"/>
  <c r="O136" i="39"/>
  <c r="O107" i="39"/>
  <c r="Q107" i="39" s="1"/>
  <c r="O82" i="39"/>
  <c r="Q82" i="39" s="1"/>
  <c r="O69" i="39"/>
  <c r="Q69" i="39" s="1"/>
  <c r="O43" i="39"/>
  <c r="Q43" i="39" s="1"/>
  <c r="O18" i="39"/>
  <c r="Q18" i="39" s="1"/>
  <c r="O151" i="39"/>
  <c r="O105" i="39"/>
  <c r="Q105" i="39" s="1"/>
  <c r="O53" i="39"/>
  <c r="Q53" i="39" s="1"/>
  <c r="O16" i="39"/>
  <c r="Q16" i="39" s="1"/>
  <c r="O439" i="39"/>
  <c r="O315" i="39"/>
  <c r="O233" i="39"/>
  <c r="Q233" i="39" s="1"/>
  <c r="O166" i="39"/>
  <c r="O115" i="39"/>
  <c r="Q115" i="39" s="1"/>
  <c r="O77" i="39"/>
  <c r="Q77" i="39" s="1"/>
  <c r="O40" i="39"/>
  <c r="Q40" i="39" s="1"/>
  <c r="O463" i="39"/>
  <c r="Q463" i="39" s="1"/>
  <c r="O312" i="39"/>
  <c r="O230" i="39"/>
  <c r="Q230" i="39" s="1"/>
  <c r="O144" i="39"/>
  <c r="O101" i="39"/>
  <c r="Q101" i="39" s="1"/>
  <c r="O50" i="39"/>
  <c r="Q50" i="39" s="1"/>
  <c r="O508" i="39"/>
  <c r="O458" i="39"/>
  <c r="Q458" i="39" s="1"/>
  <c r="O310" i="39"/>
  <c r="O248" i="39"/>
  <c r="Q248" i="39" s="1"/>
  <c r="O162" i="39"/>
  <c r="O88" i="39"/>
  <c r="Q88" i="39" s="1"/>
  <c r="O49" i="39"/>
  <c r="Q49" i="39" s="1"/>
  <c r="O497" i="39"/>
  <c r="O474" i="39"/>
  <c r="Q474" i="39" s="1"/>
  <c r="O451" i="39"/>
  <c r="O428" i="39"/>
  <c r="Q428" i="39" s="1"/>
  <c r="O405" i="39"/>
  <c r="Q405" i="39" s="1"/>
  <c r="O325" i="39"/>
  <c r="O304" i="39"/>
  <c r="O285" i="39"/>
  <c r="Q285" i="39" s="1"/>
  <c r="O262" i="39"/>
  <c r="Q262" i="39" s="1"/>
  <c r="O245" i="39"/>
  <c r="Q245" i="39" s="1"/>
  <c r="O220" i="39"/>
  <c r="Q220" i="39" s="1"/>
  <c r="O201" i="39"/>
  <c r="Q201" i="39" s="1"/>
  <c r="O176" i="39"/>
  <c r="O154" i="39"/>
  <c r="O141" i="39"/>
  <c r="O122" i="39"/>
  <c r="O109" i="39"/>
  <c r="Q109" i="39" s="1"/>
  <c r="O97" i="39"/>
  <c r="Q97" i="39" s="1"/>
  <c r="O83" i="39"/>
  <c r="Q83" i="39" s="1"/>
  <c r="O72" i="39"/>
  <c r="Q72" i="39" s="1"/>
  <c r="O58" i="39"/>
  <c r="Q58" i="39" s="1"/>
  <c r="O45" i="39"/>
  <c r="Q45" i="39" s="1"/>
  <c r="O33" i="39"/>
  <c r="Q33" i="39" s="1"/>
  <c r="O19" i="39"/>
  <c r="Q19" i="39" s="1"/>
  <c r="O472" i="39"/>
  <c r="Q472" i="39" s="1"/>
  <c r="O427" i="39"/>
  <c r="Q427" i="39" s="1"/>
  <c r="O324" i="39"/>
  <c r="O301" i="39"/>
  <c r="O261" i="39"/>
  <c r="Q261" i="39" s="1"/>
  <c r="O219" i="39"/>
  <c r="Q219" i="39" s="1"/>
  <c r="O153" i="39"/>
  <c r="O121" i="39"/>
  <c r="O96" i="39"/>
  <c r="Q96" i="39" s="1"/>
  <c r="O57" i="39"/>
  <c r="Q57" i="39" s="1"/>
  <c r="O32" i="39"/>
  <c r="Q32" i="39" s="1"/>
  <c r="O167" i="39"/>
  <c r="O91" i="39"/>
  <c r="Q91" i="39" s="1"/>
  <c r="O66" i="39"/>
  <c r="Q66" i="39" s="1"/>
  <c r="O27" i="39"/>
  <c r="Q27" i="39" s="1"/>
  <c r="O466" i="39"/>
  <c r="Q466" i="39" s="1"/>
  <c r="O296" i="39"/>
  <c r="O253" i="39"/>
  <c r="Q253" i="39" s="1"/>
  <c r="O189" i="39"/>
  <c r="O130" i="39"/>
  <c r="O90" i="39"/>
  <c r="Q90" i="39" s="1"/>
  <c r="O51" i="39"/>
  <c r="Q51" i="39" s="1"/>
  <c r="O26" i="39"/>
  <c r="Q26" i="39" s="1"/>
  <c r="O482" i="39"/>
  <c r="Q482" i="39" s="1"/>
  <c r="O292" i="39"/>
  <c r="Q292" i="39" s="1"/>
  <c r="O209" i="39"/>
  <c r="Q209" i="39" s="1"/>
  <c r="O114" i="39"/>
  <c r="Q114" i="39" s="1"/>
  <c r="O89" i="39"/>
  <c r="Q89" i="39" s="1"/>
  <c r="O37" i="39"/>
  <c r="Q37" i="39" s="1"/>
  <c r="O407" i="39"/>
  <c r="Q407" i="39" s="1"/>
  <c r="O270" i="39"/>
  <c r="Q270" i="39" s="1"/>
  <c r="O181" i="39"/>
  <c r="O126" i="39"/>
  <c r="O74" i="39"/>
  <c r="Q74" i="39" s="1"/>
  <c r="O165" i="39"/>
  <c r="O436" i="39"/>
  <c r="Q436" i="39" s="1"/>
  <c r="O226" i="39"/>
  <c r="Q226" i="39" s="1"/>
  <c r="O113" i="39"/>
  <c r="Q113" i="39" s="1"/>
  <c r="O24" i="39"/>
  <c r="Q24" i="39" s="1"/>
  <c r="O492" i="39"/>
  <c r="Q492" i="39" s="1"/>
  <c r="O471" i="39"/>
  <c r="Q471" i="39" s="1"/>
  <c r="O444" i="39"/>
  <c r="O426" i="39"/>
  <c r="Q426" i="39" s="1"/>
  <c r="O397" i="39"/>
  <c r="O323" i="39"/>
  <c r="O300" i="39"/>
  <c r="O278" i="39"/>
  <c r="Q278" i="39" s="1"/>
  <c r="O260" i="39"/>
  <c r="Q260" i="39" s="1"/>
  <c r="O235" i="39"/>
  <c r="Q235" i="39" s="1"/>
  <c r="O218" i="39"/>
  <c r="Q218" i="39" s="1"/>
  <c r="O195" i="39"/>
  <c r="Q195" i="39" s="1"/>
  <c r="O170" i="39"/>
  <c r="O152" i="39"/>
  <c r="O134" i="39"/>
  <c r="O120" i="39"/>
  <c r="Q120" i="39" s="1"/>
  <c r="O106" i="39"/>
  <c r="Q106" i="39" s="1"/>
  <c r="O93" i="39"/>
  <c r="Q93" i="39" s="1"/>
  <c r="O81" i="39"/>
  <c r="Q81" i="39" s="1"/>
  <c r="O67" i="39"/>
  <c r="Q67" i="39" s="1"/>
  <c r="O56" i="39"/>
  <c r="Q56" i="39" s="1"/>
  <c r="O42" i="39"/>
  <c r="Q42" i="39" s="1"/>
  <c r="O29" i="39"/>
  <c r="Q29" i="39" s="1"/>
  <c r="O17" i="39"/>
  <c r="Q17" i="39" s="1"/>
  <c r="O488" i="39"/>
  <c r="Q488" i="39" s="1"/>
  <c r="O468" i="39"/>
  <c r="Q468" i="39" s="1"/>
  <c r="O442" i="39"/>
  <c r="O423" i="39"/>
  <c r="Q423" i="39" s="1"/>
  <c r="O396" i="39"/>
  <c r="O317" i="39"/>
  <c r="O299" i="39"/>
  <c r="O276" i="39"/>
  <c r="Q276" i="39" s="1"/>
  <c r="O259" i="39"/>
  <c r="Q259" i="39" s="1"/>
  <c r="O234" i="39"/>
  <c r="Q234" i="39" s="1"/>
  <c r="O212" i="39"/>
  <c r="Q212" i="39" s="1"/>
  <c r="O194" i="39"/>
  <c r="Q194" i="39" s="1"/>
  <c r="O133" i="39"/>
  <c r="O117" i="39"/>
  <c r="Q117" i="39" s="1"/>
  <c r="R117" i="39" s="1"/>
  <c r="O80" i="39"/>
  <c r="Q80" i="39" s="1"/>
  <c r="O41" i="39"/>
  <c r="Q41" i="39" s="1"/>
  <c r="O484" i="39"/>
  <c r="Q484" i="39" s="1"/>
  <c r="O419" i="39"/>
  <c r="Q419" i="39" s="1"/>
  <c r="O393" i="39"/>
  <c r="O275" i="39"/>
  <c r="Q275" i="39" s="1"/>
  <c r="O210" i="39"/>
  <c r="Q210" i="39" s="1"/>
  <c r="O146" i="39"/>
  <c r="O104" i="39"/>
  <c r="Q104" i="39" s="1"/>
  <c r="O65" i="39"/>
  <c r="Q65" i="39" s="1"/>
  <c r="O13" i="39"/>
  <c r="Q13" i="39" s="1"/>
  <c r="O437" i="39"/>
  <c r="O251" i="39"/>
  <c r="Q251" i="39" s="1"/>
  <c r="O129" i="39"/>
  <c r="O75" i="39"/>
  <c r="Q75" i="39" s="1"/>
  <c r="O25" i="39"/>
  <c r="Q25" i="39" s="1"/>
  <c r="O481" i="39"/>
  <c r="Q481" i="39" s="1"/>
  <c r="O288" i="39"/>
  <c r="Q288" i="39" s="1"/>
  <c r="O143" i="39"/>
  <c r="O61" i="39"/>
  <c r="Q61" i="39" s="1"/>
  <c r="O509" i="39"/>
  <c r="O409" i="39"/>
  <c r="O391" i="39"/>
  <c r="O272" i="39"/>
  <c r="Q272" i="39" s="1"/>
  <c r="O183" i="39"/>
  <c r="O64" i="39"/>
  <c r="Q64" i="39" s="1"/>
  <c r="O331" i="39"/>
  <c r="O206" i="39"/>
  <c r="Q206" i="39" s="1"/>
  <c r="O99" i="39"/>
  <c r="Q99" i="39" s="1"/>
  <c r="O35" i="39"/>
  <c r="Q35" i="39" s="1"/>
  <c r="R90" i="39"/>
  <c r="R111" i="39"/>
  <c r="R110" i="39"/>
  <c r="R102" i="39" l="1"/>
  <c r="R99" i="39"/>
  <c r="R103" i="39"/>
  <c r="R109" i="39"/>
  <c r="R105" i="39"/>
  <c r="R89" i="39"/>
  <c r="R104" i="39"/>
  <c r="M331" i="17"/>
  <c r="M330" i="17"/>
  <c r="N330" i="17" s="1"/>
  <c r="O330" i="17" s="1"/>
  <c r="J330" i="17"/>
  <c r="I331" i="17" s="1"/>
  <c r="M329" i="17"/>
  <c r="N329" i="17" s="1"/>
  <c r="O329" i="17" s="1"/>
  <c r="J329" i="17"/>
  <c r="K329" i="17" s="1"/>
  <c r="N331" i="17" l="1"/>
  <c r="O331" i="17" s="1"/>
  <c r="K330" i="17"/>
  <c r="J331" i="17"/>
  <c r="K331" i="17" s="1"/>
  <c r="M53" i="26"/>
  <c r="M51" i="26"/>
  <c r="M49" i="26"/>
  <c r="L49" i="26" s="1"/>
  <c r="M41" i="26"/>
  <c r="M39" i="26"/>
  <c r="M37" i="26"/>
  <c r="M33" i="26"/>
  <c r="M29" i="26"/>
  <c r="L29" i="26" s="1"/>
  <c r="M27" i="26"/>
  <c r="M18" i="26"/>
  <c r="M16" i="26"/>
  <c r="M14" i="26"/>
  <c r="L14" i="26" s="1"/>
  <c r="M12" i="26"/>
  <c r="M10" i="26"/>
  <c r="L10" i="26" s="1"/>
  <c r="L39" i="26" l="1"/>
  <c r="M25" i="26"/>
  <c r="L25" i="26" s="1"/>
  <c r="L41" i="26"/>
  <c r="L12" i="26"/>
  <c r="M23" i="26"/>
  <c r="L23" i="26" s="1"/>
  <c r="M31" i="26"/>
  <c r="L31" i="26" s="1"/>
  <c r="M47" i="26"/>
  <c r="L47" i="26" s="1"/>
  <c r="L16" i="26"/>
  <c r="M45" i="26"/>
  <c r="L45" i="26" s="1"/>
  <c r="L27" i="26"/>
  <c r="M43" i="26"/>
  <c r="L43" i="26" s="1"/>
  <c r="L37" i="26"/>
  <c r="L53" i="26"/>
  <c r="L51" i="26"/>
  <c r="L33" i="26"/>
  <c r="L18" i="26"/>
  <c r="AG51" i="26" l="1"/>
  <c r="C51" i="26"/>
  <c r="AF51" i="26" l="1"/>
  <c r="X55" i="26"/>
  <c r="AG33" i="26"/>
  <c r="C33" i="26"/>
  <c r="P35" i="26" l="1"/>
  <c r="N55" i="26"/>
  <c r="P55" i="26"/>
  <c r="AC51" i="26"/>
  <c r="AE51" i="26"/>
  <c r="AI51" i="26"/>
  <c r="AH51" i="26"/>
  <c r="O35" i="26"/>
  <c r="Q55" i="26"/>
  <c r="M35" i="26"/>
  <c r="N35" i="26"/>
  <c r="M55" i="26"/>
  <c r="K35" i="26"/>
  <c r="Q35" i="26"/>
  <c r="O55" i="26"/>
  <c r="K55" i="26"/>
  <c r="AC33" i="26"/>
  <c r="AE33" i="26"/>
  <c r="AD51" i="26" l="1"/>
  <c r="AF33" i="26"/>
  <c r="AD33" i="26"/>
  <c r="N20" i="26" l="1"/>
  <c r="N57" i="26" s="1"/>
  <c r="N58" i="26" s="1"/>
  <c r="O20" i="26"/>
  <c r="O57" i="26" s="1"/>
  <c r="O58" i="26" s="1"/>
  <c r="P20" i="26"/>
  <c r="P57" i="26" s="1"/>
  <c r="P58" i="26" s="1"/>
  <c r="M20" i="26"/>
  <c r="M57" i="26" s="1"/>
  <c r="K20" i="26"/>
  <c r="K57" i="26" s="1"/>
  <c r="K58" i="26" s="1"/>
  <c r="Q20" i="26"/>
  <c r="Q57" i="26" s="1"/>
  <c r="Q58" i="26" s="1"/>
  <c r="L55" i="26"/>
  <c r="L35" i="26"/>
  <c r="AH33" i="26"/>
  <c r="AI33" i="26"/>
  <c r="AH53" i="26" l="1"/>
  <c r="AG53" i="26"/>
  <c r="AF53" i="26"/>
  <c r="AC53" i="26"/>
  <c r="T20" i="26"/>
  <c r="M15" i="42"/>
  <c r="B45" i="26" s="1"/>
  <c r="M25" i="42"/>
  <c r="B47" i="26" s="1"/>
  <c r="AC47" i="26" s="1"/>
  <c r="AC45" i="26" l="1"/>
  <c r="V35" i="26"/>
  <c r="X35" i="26"/>
  <c r="W20" i="26"/>
  <c r="Y20" i="26"/>
  <c r="Y35" i="26"/>
  <c r="U20" i="26"/>
  <c r="X20" i="26"/>
  <c r="Z35" i="26"/>
  <c r="W35" i="26"/>
  <c r="Z20" i="26"/>
  <c r="V20" i="26"/>
  <c r="T35" i="26"/>
  <c r="L20" i="26"/>
  <c r="L57" i="26" s="1"/>
  <c r="T55" i="26" l="1"/>
  <c r="T57" i="26" s="1"/>
  <c r="V55" i="26"/>
  <c r="U55" i="26"/>
  <c r="W55" i="26"/>
  <c r="W57" i="26" s="1"/>
  <c r="V57" i="26"/>
  <c r="X57" i="26"/>
  <c r="U35" i="26"/>
  <c r="U57" i="26" l="1"/>
  <c r="Y55" i="26"/>
  <c r="Y57" i="26" s="1"/>
  <c r="L409" i="39"/>
  <c r="M409" i="39" s="1"/>
  <c r="N409" i="39" s="1"/>
  <c r="I409" i="39"/>
  <c r="J409" i="39" s="1"/>
  <c r="L408" i="39"/>
  <c r="M408" i="39" s="1"/>
  <c r="N408" i="39" s="1"/>
  <c r="P409" i="39" l="1"/>
  <c r="Q409" i="39" s="1"/>
  <c r="Z55" i="26"/>
  <c r="Z57" i="26" s="1"/>
  <c r="L536" i="39"/>
  <c r="M536" i="39" s="1"/>
  <c r="N536" i="39" s="1"/>
  <c r="I536" i="39"/>
  <c r="J536" i="39" s="1"/>
  <c r="L405" i="39"/>
  <c r="M405" i="39" s="1"/>
  <c r="N405" i="39" s="1"/>
  <c r="I405" i="39"/>
  <c r="J405" i="39" s="1"/>
  <c r="L407" i="39"/>
  <c r="M407" i="39" s="1"/>
  <c r="N407" i="39" s="1"/>
  <c r="I407" i="39"/>
  <c r="J407" i="39" s="1"/>
  <c r="R409" i="39" l="1"/>
  <c r="R407" i="39"/>
  <c r="P407" i="39"/>
  <c r="R405" i="39"/>
  <c r="P405" i="39"/>
  <c r="Q536" i="39"/>
  <c r="P536" i="39"/>
  <c r="O536" i="39"/>
  <c r="M152" i="17"/>
  <c r="N152" i="17" s="1"/>
  <c r="O152" i="17" s="1"/>
  <c r="J152" i="17"/>
  <c r="K152" i="17" s="1"/>
  <c r="L180" i="39"/>
  <c r="M180" i="39" s="1"/>
  <c r="N180" i="39" s="1"/>
  <c r="L181" i="39"/>
  <c r="M181" i="39" s="1"/>
  <c r="N181" i="39" s="1"/>
  <c r="L182" i="39"/>
  <c r="M182" i="39" s="1"/>
  <c r="N182" i="39" s="1"/>
  <c r="L183" i="39"/>
  <c r="M183" i="39" s="1"/>
  <c r="N183" i="39" s="1"/>
  <c r="L184" i="39"/>
  <c r="M184" i="39" s="1"/>
  <c r="N184" i="39" s="1"/>
  <c r="L185" i="39"/>
  <c r="M185" i="39" s="1"/>
  <c r="N185" i="39" s="1"/>
  <c r="L186" i="39"/>
  <c r="M186" i="39" s="1"/>
  <c r="N186" i="39" s="1"/>
  <c r="L187" i="39"/>
  <c r="M187" i="39" s="1"/>
  <c r="N187" i="39" s="1"/>
  <c r="L188" i="39"/>
  <c r="M188" i="39" s="1"/>
  <c r="N188" i="39" s="1"/>
  <c r="L189" i="39"/>
  <c r="M189" i="39" s="1"/>
  <c r="N189" i="39" s="1"/>
  <c r="I180" i="39"/>
  <c r="J180" i="39" s="1"/>
  <c r="I181" i="39"/>
  <c r="J181" i="39" s="1"/>
  <c r="I182" i="39"/>
  <c r="J182" i="39" s="1"/>
  <c r="I183" i="39"/>
  <c r="J183" i="39" s="1"/>
  <c r="I184" i="39"/>
  <c r="J184" i="39" s="1"/>
  <c r="I185" i="39"/>
  <c r="J185" i="39" s="1"/>
  <c r="I186" i="39"/>
  <c r="J186" i="39" s="1"/>
  <c r="I187" i="39"/>
  <c r="J187" i="39" s="1"/>
  <c r="I188" i="39"/>
  <c r="J188" i="39" s="1"/>
  <c r="I189" i="39"/>
  <c r="J189" i="39" s="1"/>
  <c r="M151" i="17"/>
  <c r="N151" i="17" s="1"/>
  <c r="O151" i="17" s="1"/>
  <c r="J151" i="17"/>
  <c r="K151" i="17" s="1"/>
  <c r="I408" i="39"/>
  <c r="J408" i="39" s="1"/>
  <c r="L509" i="39"/>
  <c r="M509" i="39" s="1"/>
  <c r="N509" i="39" s="1"/>
  <c r="I509" i="39"/>
  <c r="J509" i="39" s="1"/>
  <c r="L451" i="39"/>
  <c r="M451" i="39" s="1"/>
  <c r="N451" i="39" s="1"/>
  <c r="I451" i="39"/>
  <c r="J451" i="39" s="1"/>
  <c r="L329" i="39"/>
  <c r="M329" i="39" s="1"/>
  <c r="N329" i="39" s="1"/>
  <c r="L330" i="39"/>
  <c r="M330" i="39" s="1"/>
  <c r="N330" i="39" s="1"/>
  <c r="L331" i="39"/>
  <c r="M331" i="39" s="1"/>
  <c r="N331" i="39" s="1"/>
  <c r="I329" i="39"/>
  <c r="J329" i="39" s="1"/>
  <c r="I330" i="39"/>
  <c r="J330" i="39" s="1"/>
  <c r="I331" i="39"/>
  <c r="J331" i="39" s="1"/>
  <c r="M73" i="17"/>
  <c r="N73" i="17" s="1"/>
  <c r="O73" i="17" s="1"/>
  <c r="M74" i="17"/>
  <c r="N74" i="17" s="1"/>
  <c r="O74" i="17" s="1"/>
  <c r="M75" i="17"/>
  <c r="N75" i="17" s="1"/>
  <c r="O75" i="17" s="1"/>
  <c r="M76" i="17"/>
  <c r="N76" i="17" s="1"/>
  <c r="O76" i="17" s="1"/>
  <c r="M77" i="17"/>
  <c r="N77" i="17" s="1"/>
  <c r="O77" i="17" s="1"/>
  <c r="M78" i="17"/>
  <c r="N78" i="17" s="1"/>
  <c r="O78" i="17" s="1"/>
  <c r="M79" i="17"/>
  <c r="N79" i="17" s="1"/>
  <c r="O79" i="17" s="1"/>
  <c r="J73" i="17"/>
  <c r="K73" i="17" s="1"/>
  <c r="Q73" i="17" s="1"/>
  <c r="J74" i="17"/>
  <c r="K74" i="17" s="1"/>
  <c r="J75" i="17"/>
  <c r="K75" i="17" s="1"/>
  <c r="Q75" i="17" s="1"/>
  <c r="J76" i="17"/>
  <c r="K76" i="17" s="1"/>
  <c r="Q76" i="17" s="1"/>
  <c r="J77" i="17"/>
  <c r="K77" i="17" s="1"/>
  <c r="J78" i="17"/>
  <c r="K78" i="17" s="1"/>
  <c r="Q78" i="17" s="1"/>
  <c r="J79" i="17"/>
  <c r="K79" i="17" s="1"/>
  <c r="Q79" i="17" s="1"/>
  <c r="M121" i="17"/>
  <c r="N121" i="17" s="1"/>
  <c r="O121" i="17" s="1"/>
  <c r="J121" i="17"/>
  <c r="K121" i="17" s="1"/>
  <c r="M120" i="17"/>
  <c r="N120" i="17" s="1"/>
  <c r="O120" i="17" s="1"/>
  <c r="J120" i="17"/>
  <c r="K120" i="17" s="1"/>
  <c r="Q77" i="17" l="1"/>
  <c r="P151" i="17"/>
  <c r="Q151" i="17"/>
  <c r="R151" i="17"/>
  <c r="Q74" i="17"/>
  <c r="P120" i="17"/>
  <c r="Q120" i="17"/>
  <c r="P121" i="17"/>
  <c r="R121" i="17" s="1"/>
  <c r="Q121" i="17"/>
  <c r="Q152" i="17"/>
  <c r="P152" i="17"/>
  <c r="P180" i="39"/>
  <c r="Q180" i="39" s="1"/>
  <c r="P451" i="39"/>
  <c r="Q451" i="39" s="1"/>
  <c r="P331" i="39"/>
  <c r="Q331" i="39" s="1"/>
  <c r="P330" i="39"/>
  <c r="Q330" i="39" s="1"/>
  <c r="P185" i="39"/>
  <c r="Q185" i="39" s="1"/>
  <c r="P188" i="39"/>
  <c r="Q188" i="39" s="1"/>
  <c r="P187" i="39"/>
  <c r="Q187" i="39" s="1"/>
  <c r="P509" i="39"/>
  <c r="Q509" i="39" s="1"/>
  <c r="P329" i="39"/>
  <c r="Q329" i="39" s="1"/>
  <c r="R408" i="39"/>
  <c r="P408" i="39"/>
  <c r="P184" i="39"/>
  <c r="Q184" i="39" s="1"/>
  <c r="P186" i="39"/>
  <c r="Q186" i="39" s="1"/>
  <c r="P183" i="39"/>
  <c r="Q183" i="39" s="1"/>
  <c r="P182" i="39"/>
  <c r="Q182" i="39" s="1"/>
  <c r="P189" i="39"/>
  <c r="Q189" i="39" s="1"/>
  <c r="P181" i="39"/>
  <c r="Q181" i="39" s="1"/>
  <c r="R536" i="39"/>
  <c r="P73" i="17"/>
  <c r="R73" i="17" s="1"/>
  <c r="P76" i="17"/>
  <c r="R76" i="17" s="1"/>
  <c r="P75" i="17"/>
  <c r="R75" i="17" s="1"/>
  <c r="P77" i="17"/>
  <c r="R77" i="17" s="1"/>
  <c r="P79" i="17"/>
  <c r="R79" i="17" s="1"/>
  <c r="P78" i="17"/>
  <c r="R78" i="17" s="1"/>
  <c r="P74" i="17"/>
  <c r="M122" i="17"/>
  <c r="N122" i="17" s="1"/>
  <c r="O122" i="17" s="1"/>
  <c r="J122" i="17"/>
  <c r="K122" i="17" s="1"/>
  <c r="Q122" i="17" s="1"/>
  <c r="K122" i="42"/>
  <c r="L122" i="42" s="1"/>
  <c r="K123" i="42"/>
  <c r="L123" i="42" s="1"/>
  <c r="N121" i="42"/>
  <c r="O121" i="42" s="1"/>
  <c r="P121" i="42" s="1"/>
  <c r="N122" i="42"/>
  <c r="O122" i="42" s="1"/>
  <c r="P122" i="42" s="1"/>
  <c r="N123" i="42"/>
  <c r="O123" i="42" s="1"/>
  <c r="P123" i="42" s="1"/>
  <c r="K121" i="42"/>
  <c r="L121" i="42" s="1"/>
  <c r="R120" i="17" l="1"/>
  <c r="R152" i="17"/>
  <c r="R74" i="17"/>
  <c r="R509" i="39"/>
  <c r="R329" i="39"/>
  <c r="R330" i="39"/>
  <c r="R451" i="39"/>
  <c r="R331" i="39"/>
  <c r="R121" i="42"/>
  <c r="S121" i="42" s="1"/>
  <c r="R122" i="42"/>
  <c r="S122" i="42" s="1"/>
  <c r="R123" i="42"/>
  <c r="S123" i="42" s="1"/>
  <c r="P122" i="17"/>
  <c r="R122" i="17" s="1"/>
  <c r="N151" i="42"/>
  <c r="O151" i="42" s="1"/>
  <c r="P151" i="42" s="1"/>
  <c r="K151" i="42"/>
  <c r="L151" i="42" s="1"/>
  <c r="L328" i="39"/>
  <c r="M328" i="39" s="1"/>
  <c r="N328" i="39" s="1"/>
  <c r="I328" i="39"/>
  <c r="J328" i="39" s="1"/>
  <c r="L508" i="39"/>
  <c r="M508" i="39" s="1"/>
  <c r="N508" i="39" s="1"/>
  <c r="I508" i="39"/>
  <c r="J508" i="39" s="1"/>
  <c r="L507" i="39"/>
  <c r="M507" i="39" s="1"/>
  <c r="N507" i="39" s="1"/>
  <c r="I507" i="39"/>
  <c r="J507" i="39" s="1"/>
  <c r="L450" i="39"/>
  <c r="M450" i="39" s="1"/>
  <c r="N450" i="39" s="1"/>
  <c r="I450" i="39"/>
  <c r="J450" i="39" s="1"/>
  <c r="L327" i="39"/>
  <c r="M327" i="39" s="1"/>
  <c r="N327" i="39" s="1"/>
  <c r="I327" i="39"/>
  <c r="J327" i="39" s="1"/>
  <c r="L326" i="39"/>
  <c r="M326" i="39" s="1"/>
  <c r="N326" i="39" s="1"/>
  <c r="I326" i="39"/>
  <c r="J326" i="39" s="1"/>
  <c r="L325" i="39"/>
  <c r="M325" i="39" s="1"/>
  <c r="N325" i="39" s="1"/>
  <c r="I325" i="39"/>
  <c r="J325" i="39" s="1"/>
  <c r="L324" i="39"/>
  <c r="M324" i="39" s="1"/>
  <c r="N324" i="39" s="1"/>
  <c r="I324" i="39"/>
  <c r="J324" i="39" s="1"/>
  <c r="L449" i="39"/>
  <c r="M449" i="39" s="1"/>
  <c r="N449" i="39" s="1"/>
  <c r="I449" i="39"/>
  <c r="J449" i="39" s="1"/>
  <c r="L506" i="39"/>
  <c r="M506" i="39" s="1"/>
  <c r="N506" i="39" s="1"/>
  <c r="I506" i="39"/>
  <c r="J506" i="39" s="1"/>
  <c r="B323" i="39"/>
  <c r="K323" i="39"/>
  <c r="L323" i="39" s="1"/>
  <c r="M323" i="39" s="1"/>
  <c r="N323" i="39" s="1"/>
  <c r="I323" i="39"/>
  <c r="J323" i="39" s="1"/>
  <c r="L448" i="39"/>
  <c r="M448" i="39" s="1"/>
  <c r="N448" i="39" s="1"/>
  <c r="I448" i="39"/>
  <c r="J448" i="39" s="1"/>
  <c r="L505" i="39"/>
  <c r="M505" i="39" s="1"/>
  <c r="N505" i="39" s="1"/>
  <c r="I505" i="39"/>
  <c r="J505" i="39" s="1"/>
  <c r="T121" i="42" l="1"/>
  <c r="T122" i="42"/>
  <c r="P328" i="39"/>
  <c r="Q328" i="39" s="1"/>
  <c r="P449" i="39"/>
  <c r="Q449" i="39" s="1"/>
  <c r="P448" i="39"/>
  <c r="Q448" i="39" s="1"/>
  <c r="P450" i="39"/>
  <c r="Q450" i="39" s="1"/>
  <c r="P505" i="39"/>
  <c r="Q505" i="39" s="1"/>
  <c r="P327" i="39"/>
  <c r="Q327" i="39" s="1"/>
  <c r="P325" i="39"/>
  <c r="Q325" i="39" s="1"/>
  <c r="P507" i="39"/>
  <c r="Q507" i="39" s="1"/>
  <c r="P506" i="39"/>
  <c r="Q506" i="39" s="1"/>
  <c r="P324" i="39"/>
  <c r="Q324" i="39" s="1"/>
  <c r="P323" i="39"/>
  <c r="Q323" i="39" s="1"/>
  <c r="P326" i="39"/>
  <c r="Q326" i="39" s="1"/>
  <c r="P508" i="39"/>
  <c r="Q508" i="39" s="1"/>
  <c r="T123" i="42"/>
  <c r="R151" i="42"/>
  <c r="L322" i="39"/>
  <c r="M322" i="39" s="1"/>
  <c r="N322" i="39" s="1"/>
  <c r="I322" i="39"/>
  <c r="J322" i="39" s="1"/>
  <c r="L387" i="39"/>
  <c r="M387" i="39" s="1"/>
  <c r="N387" i="39" s="1"/>
  <c r="I387" i="39"/>
  <c r="J387" i="39" s="1"/>
  <c r="L524" i="39"/>
  <c r="M524" i="39" s="1"/>
  <c r="N524" i="39" s="1"/>
  <c r="I524" i="39"/>
  <c r="J524" i="39" s="1"/>
  <c r="L404" i="39"/>
  <c r="M404" i="39" s="1"/>
  <c r="N404" i="39" s="1"/>
  <c r="I404" i="39"/>
  <c r="J404" i="39" s="1"/>
  <c r="L359" i="39"/>
  <c r="M359" i="39" s="1"/>
  <c r="N359" i="39" s="1"/>
  <c r="I359" i="39"/>
  <c r="J359" i="39" s="1"/>
  <c r="L179" i="39"/>
  <c r="M179" i="39" s="1"/>
  <c r="N179" i="39" s="1"/>
  <c r="I179" i="39"/>
  <c r="J179" i="39" s="1"/>
  <c r="L178" i="39"/>
  <c r="M178" i="39" s="1"/>
  <c r="N178" i="39" s="1"/>
  <c r="I178" i="39"/>
  <c r="J178" i="39" s="1"/>
  <c r="L177" i="39"/>
  <c r="M177" i="39" s="1"/>
  <c r="N177" i="39" s="1"/>
  <c r="I177" i="39"/>
  <c r="J177" i="39" s="1"/>
  <c r="L176" i="39"/>
  <c r="M176" i="39" s="1"/>
  <c r="N176" i="39" s="1"/>
  <c r="I176" i="39"/>
  <c r="J176" i="39" s="1"/>
  <c r="L175" i="39"/>
  <c r="M175" i="39" s="1"/>
  <c r="N175" i="39" s="1"/>
  <c r="I175" i="39"/>
  <c r="J175" i="39" s="1"/>
  <c r="L174" i="39"/>
  <c r="M174" i="39" s="1"/>
  <c r="N174" i="39" s="1"/>
  <c r="I174" i="39"/>
  <c r="J174" i="39" s="1"/>
  <c r="L173" i="39"/>
  <c r="M173" i="39" s="1"/>
  <c r="N173" i="39" s="1"/>
  <c r="I173" i="39"/>
  <c r="J173" i="39" s="1"/>
  <c r="L118" i="39"/>
  <c r="M118" i="39" s="1"/>
  <c r="N118" i="39" s="1"/>
  <c r="I118" i="39"/>
  <c r="J118" i="39" s="1"/>
  <c r="M120" i="42"/>
  <c r="N120" i="42" s="1"/>
  <c r="O120" i="42" s="1"/>
  <c r="P120" i="42" s="1"/>
  <c r="K120" i="42"/>
  <c r="L120" i="42" s="1"/>
  <c r="M194" i="17"/>
  <c r="N194" i="17" s="1"/>
  <c r="O194" i="17" s="1"/>
  <c r="J194" i="17"/>
  <c r="K194" i="17" s="1"/>
  <c r="M119" i="17"/>
  <c r="N119" i="17" s="1"/>
  <c r="O119" i="17" s="1"/>
  <c r="J119" i="17"/>
  <c r="K119" i="17" s="1"/>
  <c r="M118" i="17"/>
  <c r="N118" i="17" s="1"/>
  <c r="O118" i="17" s="1"/>
  <c r="M72" i="17"/>
  <c r="N72" i="17" s="1"/>
  <c r="O72" i="17" s="1"/>
  <c r="J118" i="17"/>
  <c r="K118" i="17" s="1"/>
  <c r="Q118" i="17" s="1"/>
  <c r="L117" i="17"/>
  <c r="J117" i="17"/>
  <c r="K117" i="17" s="1"/>
  <c r="P194" i="17" l="1"/>
  <c r="Q194" i="17"/>
  <c r="R194" i="17"/>
  <c r="Q117" i="17"/>
  <c r="Q119" i="17"/>
  <c r="R327" i="39"/>
  <c r="R450" i="39"/>
  <c r="R325" i="39"/>
  <c r="R506" i="39"/>
  <c r="R507" i="39"/>
  <c r="R323" i="39"/>
  <c r="R508" i="39"/>
  <c r="R324" i="39"/>
  <c r="R448" i="39"/>
  <c r="R449" i="39"/>
  <c r="R326" i="39"/>
  <c r="R505" i="39"/>
  <c r="P175" i="39"/>
  <c r="Q175" i="39" s="1"/>
  <c r="P176" i="39"/>
  <c r="Q176" i="39" s="1"/>
  <c r="P322" i="39"/>
  <c r="Q322" i="39" s="1"/>
  <c r="P179" i="39"/>
  <c r="Q179" i="39" s="1"/>
  <c r="P173" i="39"/>
  <c r="Q173" i="39" s="1"/>
  <c r="P177" i="39"/>
  <c r="Q177" i="39" s="1"/>
  <c r="P404" i="39"/>
  <c r="Q404" i="39" s="1"/>
  <c r="P118" i="39"/>
  <c r="P174" i="39"/>
  <c r="Q174" i="39" s="1"/>
  <c r="P178" i="39"/>
  <c r="Q178" i="39" s="1"/>
  <c r="R328" i="39"/>
  <c r="T151" i="42"/>
  <c r="R120" i="42"/>
  <c r="S120" i="42" s="1"/>
  <c r="P119" i="17"/>
  <c r="R119" i="17" s="1"/>
  <c r="P118" i="17"/>
  <c r="R118" i="17" s="1"/>
  <c r="M117" i="17"/>
  <c r="N117" i="17" s="1"/>
  <c r="O117" i="17" s="1"/>
  <c r="P117" i="17" s="1"/>
  <c r="M101" i="42"/>
  <c r="M192" i="17"/>
  <c r="N192" i="17" s="1"/>
  <c r="O192" i="17" s="1"/>
  <c r="J192" i="17"/>
  <c r="K192" i="17" s="1"/>
  <c r="L66" i="17"/>
  <c r="M66" i="17" s="1"/>
  <c r="N66" i="17" s="1"/>
  <c r="O66" i="17" s="1"/>
  <c r="L65" i="17"/>
  <c r="M65" i="17" s="1"/>
  <c r="N65" i="17" s="1"/>
  <c r="O65" i="17" s="1"/>
  <c r="J72" i="17"/>
  <c r="K72" i="17" s="1"/>
  <c r="L71" i="17"/>
  <c r="M71" i="17" s="1"/>
  <c r="N71" i="17" s="1"/>
  <c r="O71" i="17" s="1"/>
  <c r="J71" i="17"/>
  <c r="K71" i="17" s="1"/>
  <c r="Q71" i="17" s="1"/>
  <c r="L70" i="17"/>
  <c r="M70" i="17" s="1"/>
  <c r="N70" i="17" s="1"/>
  <c r="O70" i="17" s="1"/>
  <c r="J70" i="17"/>
  <c r="K70" i="17" s="1"/>
  <c r="L69" i="17"/>
  <c r="M69" i="17" s="1"/>
  <c r="N69" i="17" s="1"/>
  <c r="O69" i="17" s="1"/>
  <c r="J69" i="17"/>
  <c r="K69" i="17" s="1"/>
  <c r="Q69" i="17" s="1"/>
  <c r="L116" i="17"/>
  <c r="M116" i="17" s="1"/>
  <c r="N116" i="17" s="1"/>
  <c r="O116" i="17" s="1"/>
  <c r="J116" i="17"/>
  <c r="K116" i="17" s="1"/>
  <c r="P72" i="17" l="1"/>
  <c r="Q72" i="17"/>
  <c r="P70" i="17"/>
  <c r="Q70" i="17"/>
  <c r="P116" i="17"/>
  <c r="R116" i="17" s="1"/>
  <c r="Q116" i="17"/>
  <c r="Q192" i="17"/>
  <c r="P192" i="17"/>
  <c r="R192" i="17"/>
  <c r="R117" i="17"/>
  <c r="R404" i="39"/>
  <c r="R118" i="39"/>
  <c r="R322" i="39"/>
  <c r="T120" i="42"/>
  <c r="P69" i="17"/>
  <c r="R69" i="17" s="1"/>
  <c r="P71" i="17"/>
  <c r="R71" i="17" s="1"/>
  <c r="L115" i="17"/>
  <c r="M115" i="17" s="1"/>
  <c r="N115" i="17" s="1"/>
  <c r="O115" i="17" s="1"/>
  <c r="J115" i="17"/>
  <c r="K115" i="17" s="1"/>
  <c r="L68" i="17"/>
  <c r="M68" i="17" s="1"/>
  <c r="N68" i="17" s="1"/>
  <c r="O68" i="17" s="1"/>
  <c r="J68" i="17"/>
  <c r="K68" i="17" s="1"/>
  <c r="L67" i="17"/>
  <c r="M67" i="17" s="1"/>
  <c r="N67" i="17" s="1"/>
  <c r="O67" i="17" s="1"/>
  <c r="J67" i="17"/>
  <c r="K67" i="17" s="1"/>
  <c r="Q67" i="17" s="1"/>
  <c r="J66" i="17"/>
  <c r="K66" i="17" s="1"/>
  <c r="J65" i="17"/>
  <c r="K65" i="17" s="1"/>
  <c r="M119" i="42"/>
  <c r="K119" i="42"/>
  <c r="L119" i="42"/>
  <c r="L172" i="39"/>
  <c r="M172" i="39" s="1"/>
  <c r="N172" i="39" s="1"/>
  <c r="L171" i="39"/>
  <c r="M171" i="39" s="1"/>
  <c r="N171" i="39" s="1"/>
  <c r="L170" i="39"/>
  <c r="M170" i="39" s="1"/>
  <c r="N170" i="39" s="1"/>
  <c r="L169" i="39"/>
  <c r="M169" i="39" s="1"/>
  <c r="N169" i="39" s="1"/>
  <c r="L168" i="39"/>
  <c r="M168" i="39" s="1"/>
  <c r="N168" i="39" s="1"/>
  <c r="L167" i="39"/>
  <c r="M167" i="39" s="1"/>
  <c r="N167" i="39" s="1"/>
  <c r="L166" i="39"/>
  <c r="M166" i="39" s="1"/>
  <c r="N166" i="39" s="1"/>
  <c r="L165" i="39"/>
  <c r="M165" i="39" s="1"/>
  <c r="N165" i="39" s="1"/>
  <c r="L164" i="39"/>
  <c r="M164" i="39" s="1"/>
  <c r="N164" i="39" s="1"/>
  <c r="I172" i="39"/>
  <c r="J172" i="39" s="1"/>
  <c r="I171" i="39"/>
  <c r="J171" i="39" s="1"/>
  <c r="I170" i="39"/>
  <c r="J170" i="39" s="1"/>
  <c r="I169" i="39"/>
  <c r="J169" i="39" s="1"/>
  <c r="I168" i="39"/>
  <c r="J168" i="39" s="1"/>
  <c r="I167" i="39"/>
  <c r="J167" i="39" s="1"/>
  <c r="I166" i="39"/>
  <c r="J166" i="39" s="1"/>
  <c r="I165" i="39"/>
  <c r="J165" i="39" s="1"/>
  <c r="I164" i="39"/>
  <c r="J164" i="39" s="1"/>
  <c r="L163" i="39"/>
  <c r="M163" i="39" s="1"/>
  <c r="N163" i="39" s="1"/>
  <c r="I163" i="39"/>
  <c r="J163" i="39" s="1"/>
  <c r="P65" i="17" l="1"/>
  <c r="Q65" i="17"/>
  <c r="P68" i="17"/>
  <c r="Q68" i="17"/>
  <c r="R70" i="17"/>
  <c r="P66" i="17"/>
  <c r="Q66" i="17"/>
  <c r="P115" i="17"/>
  <c r="R115" i="17" s="1"/>
  <c r="Q115" i="17"/>
  <c r="R72" i="17"/>
  <c r="P166" i="39"/>
  <c r="Q166" i="39" s="1"/>
  <c r="P168" i="39"/>
  <c r="Q168" i="39" s="1"/>
  <c r="P163" i="39"/>
  <c r="Q163" i="39" s="1"/>
  <c r="P171" i="39"/>
  <c r="Q171" i="39" s="1"/>
  <c r="P164" i="39"/>
  <c r="Q164" i="39" s="1"/>
  <c r="P172" i="39"/>
  <c r="Q172" i="39" s="1"/>
  <c r="P167" i="39"/>
  <c r="Q167" i="39" s="1"/>
  <c r="P169" i="39"/>
  <c r="Q169" i="39" s="1"/>
  <c r="P170" i="39"/>
  <c r="Q170" i="39" s="1"/>
  <c r="P165" i="39"/>
  <c r="Q165" i="39" s="1"/>
  <c r="P67" i="17"/>
  <c r="R67" i="17" s="1"/>
  <c r="N119" i="42"/>
  <c r="O119" i="42" s="1"/>
  <c r="P119" i="42" s="1"/>
  <c r="L403" i="39"/>
  <c r="M403" i="39" s="1"/>
  <c r="N403" i="39" s="1"/>
  <c r="L402" i="39"/>
  <c r="M402" i="39" s="1"/>
  <c r="N402" i="39" s="1"/>
  <c r="I403" i="39"/>
  <c r="J403" i="39" s="1"/>
  <c r="I402" i="39"/>
  <c r="J402" i="39" s="1"/>
  <c r="L401" i="39"/>
  <c r="M401" i="39" s="1"/>
  <c r="N401" i="39" s="1"/>
  <c r="I401" i="39"/>
  <c r="J401" i="39" s="1"/>
  <c r="R66" i="17" l="1"/>
  <c r="R68" i="17"/>
  <c r="R65" i="17"/>
  <c r="P402" i="39"/>
  <c r="Q402" i="39" s="1"/>
  <c r="P401" i="39"/>
  <c r="Q401" i="39" s="1"/>
  <c r="P403" i="39"/>
  <c r="Q403" i="39" s="1"/>
  <c r="R119" i="42"/>
  <c r="S119" i="42" s="1"/>
  <c r="L447" i="39"/>
  <c r="M447" i="39" s="1"/>
  <c r="N447" i="39" s="1"/>
  <c r="I447" i="39"/>
  <c r="J447" i="39" s="1"/>
  <c r="L504" i="39"/>
  <c r="M504" i="39" s="1"/>
  <c r="N504" i="39" s="1"/>
  <c r="I504" i="39"/>
  <c r="J504" i="39" s="1"/>
  <c r="L321" i="39"/>
  <c r="M321" i="39" s="1"/>
  <c r="N321" i="39" s="1"/>
  <c r="L320" i="39"/>
  <c r="M320" i="39" s="1"/>
  <c r="N320" i="39" s="1"/>
  <c r="L319" i="39"/>
  <c r="M319" i="39" s="1"/>
  <c r="N319" i="39" s="1"/>
  <c r="I321" i="39"/>
  <c r="J321" i="39" s="1"/>
  <c r="I320" i="39"/>
  <c r="J320" i="39" s="1"/>
  <c r="I319" i="39"/>
  <c r="J319" i="39" s="1"/>
  <c r="L318" i="39"/>
  <c r="M318" i="39" s="1"/>
  <c r="N318" i="39" s="1"/>
  <c r="I318" i="39"/>
  <c r="J318" i="39" s="1"/>
  <c r="L317" i="39"/>
  <c r="M317" i="39" s="1"/>
  <c r="N317" i="39" s="1"/>
  <c r="L316" i="39"/>
  <c r="M316" i="39" s="1"/>
  <c r="N316" i="39" s="1"/>
  <c r="I317" i="39"/>
  <c r="J317" i="39" s="1"/>
  <c r="I316" i="39"/>
  <c r="J316" i="39" s="1"/>
  <c r="L114" i="17"/>
  <c r="J114" i="17"/>
  <c r="K114" i="17" s="1"/>
  <c r="R114" i="17" l="1"/>
  <c r="T119" i="42"/>
  <c r="R402" i="39"/>
  <c r="R403" i="39"/>
  <c r="R401" i="39"/>
  <c r="P318" i="39"/>
  <c r="Q318" i="39" s="1"/>
  <c r="P504" i="39"/>
  <c r="Q504" i="39" s="1"/>
  <c r="P319" i="39"/>
  <c r="Q319" i="39" s="1"/>
  <c r="P321" i="39"/>
  <c r="Q321" i="39" s="1"/>
  <c r="P320" i="39"/>
  <c r="Q320" i="39" s="1"/>
  <c r="P316" i="39"/>
  <c r="Q316" i="39" s="1"/>
  <c r="P317" i="39"/>
  <c r="Q317" i="39" s="1"/>
  <c r="P447" i="39"/>
  <c r="Q447" i="39" s="1"/>
  <c r="M114" i="17"/>
  <c r="N114" i="17" s="1"/>
  <c r="O114" i="17" s="1"/>
  <c r="Q114" i="17" l="1"/>
  <c r="R319" i="39"/>
  <c r="R316" i="39"/>
  <c r="R317" i="39"/>
  <c r="R320" i="39"/>
  <c r="R318" i="39"/>
  <c r="R447" i="39"/>
  <c r="R504" i="39"/>
  <c r="R321" i="39"/>
  <c r="P114" i="17"/>
  <c r="L503" i="39" l="1"/>
  <c r="M503" i="39" s="1"/>
  <c r="N503" i="39" s="1"/>
  <c r="I503" i="39"/>
  <c r="J503" i="39" s="1"/>
  <c r="L502" i="39"/>
  <c r="M502" i="39" s="1"/>
  <c r="N502" i="39" s="1"/>
  <c r="I502" i="39"/>
  <c r="J502" i="39" s="1"/>
  <c r="P502" i="39" l="1"/>
  <c r="Q502" i="39" s="1"/>
  <c r="P503" i="39"/>
  <c r="Q503" i="39" s="1"/>
  <c r="L315" i="39"/>
  <c r="M315" i="39" s="1"/>
  <c r="N315" i="39" s="1"/>
  <c r="I315" i="39"/>
  <c r="J315" i="39" s="1"/>
  <c r="L446" i="39"/>
  <c r="M446" i="39" s="1"/>
  <c r="N446" i="39" s="1"/>
  <c r="I446" i="39"/>
  <c r="J446" i="39" s="1"/>
  <c r="R503" i="39" l="1"/>
  <c r="R502" i="39"/>
  <c r="P315" i="39"/>
  <c r="Q315" i="39" s="1"/>
  <c r="P446" i="39"/>
  <c r="Q446" i="39" s="1"/>
  <c r="M191" i="17"/>
  <c r="M190" i="17"/>
  <c r="M186" i="17"/>
  <c r="M184" i="17"/>
  <c r="M325" i="17"/>
  <c r="M183" i="17"/>
  <c r="M182" i="17"/>
  <c r="M291" i="17"/>
  <c r="M181" i="17"/>
  <c r="M180" i="17"/>
  <c r="M179" i="17"/>
  <c r="M178" i="17"/>
  <c r="M177" i="17"/>
  <c r="M176" i="17"/>
  <c r="M175" i="17"/>
  <c r="M174" i="17"/>
  <c r="M326" i="17"/>
  <c r="M324" i="17"/>
  <c r="R446" i="39" l="1"/>
  <c r="R315" i="39"/>
  <c r="J168" i="17"/>
  <c r="K168" i="17" s="1"/>
  <c r="M159" i="42" l="1"/>
  <c r="B49" i="26" s="1"/>
  <c r="AC49" i="26" l="1"/>
  <c r="M113" i="17"/>
  <c r="N113" i="17" s="1"/>
  <c r="O113" i="17" s="1"/>
  <c r="J113" i="17"/>
  <c r="K113" i="17" s="1"/>
  <c r="P113" i="17" l="1"/>
  <c r="Q113" i="17"/>
  <c r="L445" i="39"/>
  <c r="M445" i="39" s="1"/>
  <c r="N445" i="39" s="1"/>
  <c r="I445" i="39"/>
  <c r="J445" i="39" s="1"/>
  <c r="L501" i="39"/>
  <c r="M501" i="39" s="1"/>
  <c r="N501" i="39" s="1"/>
  <c r="I501" i="39"/>
  <c r="J501" i="39" s="1"/>
  <c r="L313" i="39"/>
  <c r="M313" i="39" s="1"/>
  <c r="N313" i="39" s="1"/>
  <c r="I313" i="39"/>
  <c r="J313" i="39" s="1"/>
  <c r="L312" i="39"/>
  <c r="M312" i="39" s="1"/>
  <c r="N312" i="39" s="1"/>
  <c r="I312" i="39"/>
  <c r="J312" i="39" s="1"/>
  <c r="L314" i="39"/>
  <c r="M314" i="39" s="1"/>
  <c r="N314" i="39" s="1"/>
  <c r="I314" i="39"/>
  <c r="J314" i="39" s="1"/>
  <c r="N101" i="42"/>
  <c r="O101" i="42" s="1"/>
  <c r="P101" i="42" s="1"/>
  <c r="K101" i="42"/>
  <c r="L101" i="42" s="1"/>
  <c r="N150" i="42"/>
  <c r="O150" i="42" s="1"/>
  <c r="P150" i="42" s="1"/>
  <c r="K150" i="42"/>
  <c r="L150" i="42" s="1"/>
  <c r="M193" i="17"/>
  <c r="N193" i="17" s="1"/>
  <c r="O193" i="17" s="1"/>
  <c r="J193" i="17"/>
  <c r="K193" i="17" s="1"/>
  <c r="R193" i="17" l="1"/>
  <c r="Q193" i="17"/>
  <c r="P193" i="17"/>
  <c r="R113" i="17"/>
  <c r="P313" i="39"/>
  <c r="Q313" i="39" s="1"/>
  <c r="P501" i="39"/>
  <c r="Q501" i="39" s="1"/>
  <c r="P314" i="39"/>
  <c r="Q314" i="39" s="1"/>
  <c r="P445" i="39"/>
  <c r="Q445" i="39" s="1"/>
  <c r="P312" i="39"/>
  <c r="Q312" i="39" s="1"/>
  <c r="R150" i="42"/>
  <c r="T101" i="42"/>
  <c r="R101" i="42"/>
  <c r="K99" i="42"/>
  <c r="L99" i="42" s="1"/>
  <c r="K100" i="42"/>
  <c r="L100" i="42" s="1"/>
  <c r="N99" i="42"/>
  <c r="O99" i="42" s="1"/>
  <c r="P99" i="42" s="1"/>
  <c r="N100" i="42"/>
  <c r="O100" i="42" s="1"/>
  <c r="P100" i="42" s="1"/>
  <c r="K118" i="42"/>
  <c r="L118" i="42" s="1"/>
  <c r="N118" i="42"/>
  <c r="O118" i="42" s="1"/>
  <c r="P118" i="42" s="1"/>
  <c r="R501" i="39" l="1"/>
  <c r="R445" i="39"/>
  <c r="R312" i="39"/>
  <c r="R314" i="39"/>
  <c r="R313" i="39"/>
  <c r="R100" i="42"/>
  <c r="R99" i="42"/>
  <c r="T99" i="42"/>
  <c r="R118" i="42"/>
  <c r="T150" i="42"/>
  <c r="J150" i="17"/>
  <c r="K150" i="17" s="1"/>
  <c r="J112" i="17"/>
  <c r="K112" i="17" s="1"/>
  <c r="J64" i="17"/>
  <c r="K64" i="17" s="1"/>
  <c r="T118" i="42" l="1"/>
  <c r="T100" i="42"/>
  <c r="N117" i="42"/>
  <c r="O117" i="42" s="1"/>
  <c r="P117" i="42" s="1"/>
  <c r="K117" i="42"/>
  <c r="L117" i="42" s="1"/>
  <c r="N116" i="42"/>
  <c r="O116" i="42" s="1"/>
  <c r="P116" i="42" s="1"/>
  <c r="K116" i="42"/>
  <c r="L116" i="42" s="1"/>
  <c r="M115" i="42"/>
  <c r="L113" i="39"/>
  <c r="M113" i="39" s="1"/>
  <c r="N113" i="39" s="1"/>
  <c r="I113" i="39"/>
  <c r="J113" i="39" s="1"/>
  <c r="L537" i="39"/>
  <c r="M537" i="39" s="1"/>
  <c r="N537" i="39" s="1"/>
  <c r="I537" i="39"/>
  <c r="J537" i="39" s="1"/>
  <c r="L522" i="39"/>
  <c r="M522" i="39" s="1"/>
  <c r="N522" i="39" s="1"/>
  <c r="I522" i="39"/>
  <c r="J522" i="39" s="1"/>
  <c r="L523" i="39"/>
  <c r="M523" i="39" s="1"/>
  <c r="N523" i="39" s="1"/>
  <c r="I523" i="39"/>
  <c r="J523" i="39" s="1"/>
  <c r="L386" i="39"/>
  <c r="M386" i="39" s="1"/>
  <c r="N386" i="39" s="1"/>
  <c r="I386" i="39"/>
  <c r="J386" i="39" s="1"/>
  <c r="L385" i="39"/>
  <c r="M385" i="39" s="1"/>
  <c r="N385" i="39" s="1"/>
  <c r="I385" i="39"/>
  <c r="J385" i="39" s="1"/>
  <c r="L384" i="39"/>
  <c r="M384" i="39" s="1"/>
  <c r="N384" i="39" s="1"/>
  <c r="I384" i="39"/>
  <c r="J384" i="39" s="1"/>
  <c r="L383" i="39"/>
  <c r="M383" i="39" s="1"/>
  <c r="N383" i="39" s="1"/>
  <c r="I383" i="39"/>
  <c r="J383" i="39" s="1"/>
  <c r="L382" i="39"/>
  <c r="M382" i="39" s="1"/>
  <c r="N382" i="39" s="1"/>
  <c r="I382" i="39"/>
  <c r="J382" i="39" s="1"/>
  <c r="L381" i="39"/>
  <c r="M381" i="39" s="1"/>
  <c r="N381" i="39" s="1"/>
  <c r="I381" i="39"/>
  <c r="J381" i="39" s="1"/>
  <c r="Q537" i="39" l="1"/>
  <c r="O537" i="39"/>
  <c r="P537" i="39"/>
  <c r="P113" i="39"/>
  <c r="R117" i="42"/>
  <c r="R116" i="42"/>
  <c r="L149" i="17"/>
  <c r="L56" i="17"/>
  <c r="L55" i="17"/>
  <c r="L58" i="17"/>
  <c r="L57" i="17"/>
  <c r="L49" i="17"/>
  <c r="L48" i="17"/>
  <c r="L47" i="17"/>
  <c r="L147" i="17"/>
  <c r="M147" i="17" s="1"/>
  <c r="N147" i="17" s="1"/>
  <c r="O147" i="17" s="1"/>
  <c r="J147" i="17"/>
  <c r="K147" i="17" s="1"/>
  <c r="L59" i="17"/>
  <c r="L54" i="17"/>
  <c r="L61" i="17"/>
  <c r="M61" i="17" s="1"/>
  <c r="N61" i="17" s="1"/>
  <c r="O61" i="17" s="1"/>
  <c r="J61" i="17"/>
  <c r="K61" i="17" s="1"/>
  <c r="L60" i="17"/>
  <c r="M60" i="17" s="1"/>
  <c r="N60" i="17" s="1"/>
  <c r="O60" i="17" s="1"/>
  <c r="L63" i="17"/>
  <c r="M63" i="17" s="1"/>
  <c r="N63" i="17" s="1"/>
  <c r="O63" i="17" s="1"/>
  <c r="J63" i="17"/>
  <c r="K63" i="17" s="1"/>
  <c r="Q63" i="17" s="1"/>
  <c r="L62" i="17"/>
  <c r="M62" i="17" s="1"/>
  <c r="N62" i="17" s="1"/>
  <c r="O62" i="17" s="1"/>
  <c r="J62" i="17"/>
  <c r="K62" i="17" s="1"/>
  <c r="L52" i="17"/>
  <c r="L51" i="17"/>
  <c r="L146" i="17"/>
  <c r="L148" i="17"/>
  <c r="J60" i="17"/>
  <c r="K60" i="17" s="1"/>
  <c r="L189" i="17"/>
  <c r="M189" i="17" s="1"/>
  <c r="Q147" i="17" l="1"/>
  <c r="P147" i="17"/>
  <c r="R147" i="17" s="1"/>
  <c r="P60" i="17"/>
  <c r="Q60" i="17"/>
  <c r="P61" i="17"/>
  <c r="R61" i="17" s="1"/>
  <c r="Q61" i="17"/>
  <c r="Q62" i="17"/>
  <c r="T116" i="42"/>
  <c r="R113" i="39"/>
  <c r="R537" i="39"/>
  <c r="T117" i="42"/>
  <c r="P63" i="17"/>
  <c r="R63" i="17" s="1"/>
  <c r="P62" i="17"/>
  <c r="L444" i="39"/>
  <c r="M444" i="39" s="1"/>
  <c r="N444" i="39" s="1"/>
  <c r="I444" i="39"/>
  <c r="J444" i="39" s="1"/>
  <c r="L308" i="39"/>
  <c r="M308" i="39" s="1"/>
  <c r="N308" i="39" s="1"/>
  <c r="R62" i="17" l="1"/>
  <c r="R60" i="17"/>
  <c r="P444" i="39"/>
  <c r="Q444" i="39" s="1"/>
  <c r="I308" i="39"/>
  <c r="J308" i="39" s="1"/>
  <c r="L311" i="39"/>
  <c r="M311" i="39" s="1"/>
  <c r="N311" i="39" s="1"/>
  <c r="I311" i="39"/>
  <c r="J311" i="39" s="1"/>
  <c r="L500" i="39"/>
  <c r="M500" i="39" s="1"/>
  <c r="N500" i="39" s="1"/>
  <c r="I500" i="39"/>
  <c r="J500" i="39" s="1"/>
  <c r="L159" i="39"/>
  <c r="M159" i="39" s="1"/>
  <c r="N159" i="39" s="1"/>
  <c r="I159" i="39"/>
  <c r="J159" i="39" s="1"/>
  <c r="L162" i="39"/>
  <c r="M162" i="39" s="1"/>
  <c r="N162" i="39" s="1"/>
  <c r="I162" i="39"/>
  <c r="J162" i="39" s="1"/>
  <c r="L158" i="39"/>
  <c r="M158" i="39" s="1"/>
  <c r="N158" i="39" s="1"/>
  <c r="I158" i="39"/>
  <c r="J158" i="39" s="1"/>
  <c r="L160" i="39"/>
  <c r="M160" i="39" s="1"/>
  <c r="N160" i="39" s="1"/>
  <c r="I160" i="39"/>
  <c r="J160" i="39" s="1"/>
  <c r="L161" i="39"/>
  <c r="M161" i="39" s="1"/>
  <c r="N161" i="39" s="1"/>
  <c r="I161" i="39"/>
  <c r="J161" i="39" s="1"/>
  <c r="M59" i="17"/>
  <c r="N59" i="17" s="1"/>
  <c r="O59" i="17" s="1"/>
  <c r="J59" i="17"/>
  <c r="K59" i="17" s="1"/>
  <c r="Q59" i="17" s="1"/>
  <c r="M58" i="17"/>
  <c r="N58" i="17" s="1"/>
  <c r="O58" i="17" s="1"/>
  <c r="J58" i="17"/>
  <c r="K58" i="17" s="1"/>
  <c r="M56" i="17"/>
  <c r="N56" i="17" s="1"/>
  <c r="O56" i="17" s="1"/>
  <c r="J56" i="17"/>
  <c r="K56" i="17" s="1"/>
  <c r="Q56" i="17" s="1"/>
  <c r="M149" i="17"/>
  <c r="N149" i="17" s="1"/>
  <c r="O149" i="17" s="1"/>
  <c r="J149" i="17"/>
  <c r="K149" i="17" s="1"/>
  <c r="M262" i="17"/>
  <c r="N262" i="17" s="1"/>
  <c r="O262" i="17" s="1"/>
  <c r="J262" i="17"/>
  <c r="K262" i="17" s="1"/>
  <c r="Q58" i="17" l="1"/>
  <c r="Q149" i="17"/>
  <c r="P149" i="17"/>
  <c r="R149" i="17" s="1"/>
  <c r="R444" i="39"/>
  <c r="P162" i="39"/>
  <c r="Q162" i="39" s="1"/>
  <c r="P500" i="39"/>
  <c r="Q500" i="39" s="1"/>
  <c r="P158" i="39"/>
  <c r="Q158" i="39" s="1"/>
  <c r="P308" i="39"/>
  <c r="Q308" i="39" s="1"/>
  <c r="P161" i="39"/>
  <c r="Q161" i="39" s="1"/>
  <c r="P159" i="39"/>
  <c r="Q159" i="39" s="1"/>
  <c r="P160" i="39"/>
  <c r="Q160" i="39" s="1"/>
  <c r="P311" i="39"/>
  <c r="Q311" i="39" s="1"/>
  <c r="P56" i="17"/>
  <c r="R56" i="17" s="1"/>
  <c r="P58" i="17"/>
  <c r="R58" i="17" s="1"/>
  <c r="P59" i="17"/>
  <c r="R59" i="17" s="1"/>
  <c r="L380" i="39"/>
  <c r="M380" i="39" s="1"/>
  <c r="N380" i="39" s="1"/>
  <c r="I380" i="39"/>
  <c r="J380" i="39" s="1"/>
  <c r="L379" i="39"/>
  <c r="M379" i="39" s="1"/>
  <c r="N379" i="39" s="1"/>
  <c r="I379" i="39"/>
  <c r="J379" i="39" s="1"/>
  <c r="K400" i="39"/>
  <c r="I400" i="39"/>
  <c r="J400" i="39" s="1"/>
  <c r="M111" i="17"/>
  <c r="N111" i="17" s="1"/>
  <c r="O111" i="17" s="1"/>
  <c r="J111" i="17"/>
  <c r="K111" i="17" s="1"/>
  <c r="P111" i="17" l="1"/>
  <c r="Q111" i="17"/>
  <c r="R500" i="39"/>
  <c r="R311" i="39"/>
  <c r="R308" i="39"/>
  <c r="L400" i="39"/>
  <c r="M400" i="39" s="1"/>
  <c r="N400" i="39" s="1"/>
  <c r="N129" i="42"/>
  <c r="N130" i="42"/>
  <c r="O130" i="42" s="1"/>
  <c r="P130" i="42" s="1"/>
  <c r="N131" i="42"/>
  <c r="O131" i="42" s="1"/>
  <c r="P131" i="42" s="1"/>
  <c r="N132" i="42"/>
  <c r="O132" i="42" s="1"/>
  <c r="P132" i="42" s="1"/>
  <c r="N133" i="42"/>
  <c r="O133" i="42" s="1"/>
  <c r="P133" i="42" s="1"/>
  <c r="N134" i="42"/>
  <c r="O134" i="42" s="1"/>
  <c r="P134" i="42" s="1"/>
  <c r="N136" i="42"/>
  <c r="O136" i="42" s="1"/>
  <c r="P136" i="42" s="1"/>
  <c r="N137" i="42"/>
  <c r="O137" i="42" s="1"/>
  <c r="P137" i="42" s="1"/>
  <c r="N138" i="42"/>
  <c r="O138" i="42" s="1"/>
  <c r="P138" i="42" s="1"/>
  <c r="N139" i="42"/>
  <c r="N140" i="42"/>
  <c r="O140" i="42" s="1"/>
  <c r="P140" i="42" s="1"/>
  <c r="N141" i="42"/>
  <c r="O141" i="42" s="1"/>
  <c r="P141" i="42" s="1"/>
  <c r="N142" i="42"/>
  <c r="O142" i="42" s="1"/>
  <c r="P142" i="42" s="1"/>
  <c r="N143" i="42"/>
  <c r="O143" i="42" s="1"/>
  <c r="P143" i="42" s="1"/>
  <c r="N144" i="42"/>
  <c r="O144" i="42" s="1"/>
  <c r="P144" i="42" s="1"/>
  <c r="N145" i="42"/>
  <c r="O145" i="42" s="1"/>
  <c r="P145" i="42" s="1"/>
  <c r="N146" i="42"/>
  <c r="O146" i="42" s="1"/>
  <c r="P146" i="42" s="1"/>
  <c r="N147" i="42"/>
  <c r="O147" i="42" s="1"/>
  <c r="P147" i="42" s="1"/>
  <c r="N148" i="42"/>
  <c r="O148" i="42" s="1"/>
  <c r="N149" i="42"/>
  <c r="O149" i="42" s="1"/>
  <c r="P149" i="42" s="1"/>
  <c r="N113" i="42"/>
  <c r="O113" i="42" s="1"/>
  <c r="P113" i="42" s="1"/>
  <c r="N55" i="42"/>
  <c r="O55" i="42" s="1"/>
  <c r="P55" i="42" s="1"/>
  <c r="N58" i="42"/>
  <c r="O58" i="42" s="1"/>
  <c r="P58" i="42" s="1"/>
  <c r="N59" i="42"/>
  <c r="O59" i="42" s="1"/>
  <c r="P59" i="42" s="1"/>
  <c r="N60" i="42"/>
  <c r="O60" i="42" s="1"/>
  <c r="P60" i="42" s="1"/>
  <c r="N61" i="42"/>
  <c r="O61" i="42" s="1"/>
  <c r="P61" i="42" s="1"/>
  <c r="N64" i="42"/>
  <c r="O64" i="42" s="1"/>
  <c r="P64" i="42" s="1"/>
  <c r="N65" i="42"/>
  <c r="O65" i="42" s="1"/>
  <c r="P65" i="42" s="1"/>
  <c r="N66" i="42"/>
  <c r="O66" i="42" s="1"/>
  <c r="P66" i="42" s="1"/>
  <c r="N67" i="42"/>
  <c r="O67" i="42" s="1"/>
  <c r="P67" i="42" s="1"/>
  <c r="N68" i="42"/>
  <c r="O68" i="42" s="1"/>
  <c r="P68" i="42" s="1"/>
  <c r="N69" i="42"/>
  <c r="O69" i="42" s="1"/>
  <c r="P69" i="42" s="1"/>
  <c r="N70" i="42"/>
  <c r="O70" i="42" s="1"/>
  <c r="P70" i="42" s="1"/>
  <c r="N71" i="42"/>
  <c r="O71" i="42" s="1"/>
  <c r="P71" i="42" s="1"/>
  <c r="N72" i="42"/>
  <c r="O72" i="42" s="1"/>
  <c r="P72" i="42" s="1"/>
  <c r="N73" i="42"/>
  <c r="O73" i="42" s="1"/>
  <c r="P73" i="42" s="1"/>
  <c r="N74" i="42"/>
  <c r="O74" i="42" s="1"/>
  <c r="P74" i="42" s="1"/>
  <c r="N75" i="42"/>
  <c r="O75" i="42" s="1"/>
  <c r="P75" i="42" s="1"/>
  <c r="N76" i="42"/>
  <c r="O76" i="42" s="1"/>
  <c r="P76" i="42" s="1"/>
  <c r="N77" i="42"/>
  <c r="O77" i="42" s="1"/>
  <c r="P77" i="42" s="1"/>
  <c r="N78" i="42"/>
  <c r="O78" i="42" s="1"/>
  <c r="P78" i="42" s="1"/>
  <c r="N79" i="42"/>
  <c r="O79" i="42" s="1"/>
  <c r="P79" i="42" s="1"/>
  <c r="N80" i="42"/>
  <c r="O80" i="42" s="1"/>
  <c r="P80" i="42" s="1"/>
  <c r="N81" i="42"/>
  <c r="N86" i="42"/>
  <c r="O86" i="42" s="1"/>
  <c r="P86" i="42" s="1"/>
  <c r="N87" i="42"/>
  <c r="O87" i="42" s="1"/>
  <c r="P87" i="42" s="1"/>
  <c r="N88" i="42"/>
  <c r="O88" i="42" s="1"/>
  <c r="P88" i="42" s="1"/>
  <c r="N89" i="42"/>
  <c r="O89" i="42" s="1"/>
  <c r="P89" i="42" s="1"/>
  <c r="N91" i="42"/>
  <c r="O91" i="42" s="1"/>
  <c r="P91" i="42" s="1"/>
  <c r="N92" i="42"/>
  <c r="O92" i="42" s="1"/>
  <c r="P92" i="42" s="1"/>
  <c r="N93" i="42"/>
  <c r="O93" i="42" s="1"/>
  <c r="P93" i="42" s="1"/>
  <c r="N94" i="42"/>
  <c r="O94" i="42" s="1"/>
  <c r="P94" i="42" s="1"/>
  <c r="N97" i="42"/>
  <c r="O97" i="42" s="1"/>
  <c r="P97" i="42" s="1"/>
  <c r="N98" i="42"/>
  <c r="O98" i="42" s="1"/>
  <c r="P98" i="42" s="1"/>
  <c r="N115" i="42"/>
  <c r="O115" i="42" s="1"/>
  <c r="P115" i="42" s="1"/>
  <c r="N54" i="42"/>
  <c r="N30" i="42"/>
  <c r="N31" i="42"/>
  <c r="O31" i="42" s="1"/>
  <c r="P31" i="42" s="1"/>
  <c r="N32" i="42"/>
  <c r="O32" i="42" s="1"/>
  <c r="P32" i="42" s="1"/>
  <c r="N33" i="42"/>
  <c r="O33" i="42" s="1"/>
  <c r="P33" i="42" s="1"/>
  <c r="N34" i="42"/>
  <c r="O34" i="42" s="1"/>
  <c r="P34" i="42" s="1"/>
  <c r="N35" i="42"/>
  <c r="O35" i="42" s="1"/>
  <c r="P35" i="42" s="1"/>
  <c r="N36" i="42"/>
  <c r="O36" i="42" s="1"/>
  <c r="P36" i="42" s="1"/>
  <c r="N37" i="42"/>
  <c r="O37" i="42" s="1"/>
  <c r="N38" i="42"/>
  <c r="O38" i="42" s="1"/>
  <c r="P38" i="42" s="1"/>
  <c r="N39" i="42"/>
  <c r="O39" i="42" s="1"/>
  <c r="P39" i="42" s="1"/>
  <c r="N40" i="42"/>
  <c r="O40" i="42" s="1"/>
  <c r="P40" i="42" s="1"/>
  <c r="N41" i="42"/>
  <c r="O41" i="42" s="1"/>
  <c r="P41" i="42" s="1"/>
  <c r="N42" i="42"/>
  <c r="O42" i="42" s="1"/>
  <c r="P42" i="42" s="1"/>
  <c r="N43" i="42"/>
  <c r="O43" i="42" s="1"/>
  <c r="P43" i="42" s="1"/>
  <c r="N44" i="42"/>
  <c r="O44" i="42" s="1"/>
  <c r="P44" i="42" s="1"/>
  <c r="N45" i="42"/>
  <c r="O45" i="42" s="1"/>
  <c r="P45" i="42" s="1"/>
  <c r="N46" i="42"/>
  <c r="O46" i="42" s="1"/>
  <c r="P46" i="42" s="1"/>
  <c r="N47" i="42"/>
  <c r="O47" i="42" s="1"/>
  <c r="P47" i="42" s="1"/>
  <c r="N48" i="42"/>
  <c r="O48" i="42" s="1"/>
  <c r="P48" i="42" s="1"/>
  <c r="N29" i="42"/>
  <c r="R111" i="17" l="1"/>
  <c r="P400" i="39"/>
  <c r="Q400" i="39" s="1"/>
  <c r="N50" i="42"/>
  <c r="O30" i="42"/>
  <c r="D43" i="26"/>
  <c r="AE43" i="26" s="1"/>
  <c r="O129" i="42"/>
  <c r="O54" i="42"/>
  <c r="P54" i="42" s="1"/>
  <c r="O29" i="42"/>
  <c r="O50" i="42" s="1"/>
  <c r="P148" i="42"/>
  <c r="O139" i="42"/>
  <c r="P139" i="42" s="1"/>
  <c r="O81" i="42"/>
  <c r="P81" i="42" s="1"/>
  <c r="P37" i="42"/>
  <c r="N18" i="42"/>
  <c r="N156" i="42"/>
  <c r="N19" i="42"/>
  <c r="O19" i="42" s="1"/>
  <c r="P19" i="42" s="1"/>
  <c r="N157" i="42"/>
  <c r="O157" i="42" s="1"/>
  <c r="P157" i="42" s="1"/>
  <c r="N20" i="42"/>
  <c r="O20" i="42" s="1"/>
  <c r="P20" i="42" s="1"/>
  <c r="N21" i="42"/>
  <c r="O21" i="42" s="1"/>
  <c r="P21" i="42" s="1"/>
  <c r="N22" i="42"/>
  <c r="O22" i="42" s="1"/>
  <c r="P22" i="42" s="1"/>
  <c r="N23" i="42"/>
  <c r="O23" i="42" s="1"/>
  <c r="P23" i="42" s="1"/>
  <c r="N13" i="42"/>
  <c r="R11" i="42"/>
  <c r="L89" i="39"/>
  <c r="L90" i="39"/>
  <c r="L99" i="39"/>
  <c r="L102" i="39"/>
  <c r="L103" i="39"/>
  <c r="L104" i="39"/>
  <c r="L105" i="39"/>
  <c r="L109" i="39"/>
  <c r="L110" i="39"/>
  <c r="L111" i="39"/>
  <c r="L112" i="39"/>
  <c r="L117" i="39"/>
  <c r="L457" i="39"/>
  <c r="M457" i="39" s="1"/>
  <c r="N457" i="39" s="1"/>
  <c r="L458" i="39"/>
  <c r="M458" i="39" s="1"/>
  <c r="N458" i="39" s="1"/>
  <c r="L459" i="39"/>
  <c r="M459" i="39" s="1"/>
  <c r="N459" i="39" s="1"/>
  <c r="L460" i="39"/>
  <c r="M460" i="39" s="1"/>
  <c r="N460" i="39" s="1"/>
  <c r="L461" i="39"/>
  <c r="M461" i="39" s="1"/>
  <c r="N461" i="39" s="1"/>
  <c r="L462" i="39"/>
  <c r="M462" i="39" s="1"/>
  <c r="N462" i="39" s="1"/>
  <c r="L463" i="39"/>
  <c r="M463" i="39" s="1"/>
  <c r="N463" i="39" s="1"/>
  <c r="L464" i="39"/>
  <c r="M464" i="39" s="1"/>
  <c r="N464" i="39" s="1"/>
  <c r="L465" i="39"/>
  <c r="M465" i="39" s="1"/>
  <c r="N465" i="39" s="1"/>
  <c r="L466" i="39"/>
  <c r="M466" i="39" s="1"/>
  <c r="N466" i="39" s="1"/>
  <c r="L467" i="39"/>
  <c r="M467" i="39" s="1"/>
  <c r="N467" i="39" s="1"/>
  <c r="L468" i="39"/>
  <c r="M468" i="39" s="1"/>
  <c r="N468" i="39" s="1"/>
  <c r="L469" i="39"/>
  <c r="M469" i="39" s="1"/>
  <c r="N469" i="39" s="1"/>
  <c r="L470" i="39"/>
  <c r="M470" i="39" s="1"/>
  <c r="N470" i="39" s="1"/>
  <c r="L471" i="39"/>
  <c r="M471" i="39" s="1"/>
  <c r="N471" i="39" s="1"/>
  <c r="L472" i="39"/>
  <c r="M472" i="39" s="1"/>
  <c r="N472" i="39" s="1"/>
  <c r="L473" i="39"/>
  <c r="M473" i="39" s="1"/>
  <c r="N473" i="39" s="1"/>
  <c r="L474" i="39"/>
  <c r="M474" i="39" s="1"/>
  <c r="N474" i="39" s="1"/>
  <c r="L475" i="39"/>
  <c r="M475" i="39" s="1"/>
  <c r="N475" i="39" s="1"/>
  <c r="L476" i="39"/>
  <c r="M476" i="39" s="1"/>
  <c r="N476" i="39" s="1"/>
  <c r="L477" i="39"/>
  <c r="M477" i="39" s="1"/>
  <c r="N477" i="39" s="1"/>
  <c r="L478" i="39"/>
  <c r="M478" i="39" s="1"/>
  <c r="N478" i="39" s="1"/>
  <c r="L479" i="39"/>
  <c r="M479" i="39" s="1"/>
  <c r="N479" i="39" s="1"/>
  <c r="L480" i="39"/>
  <c r="M480" i="39" s="1"/>
  <c r="N480" i="39" s="1"/>
  <c r="L481" i="39"/>
  <c r="M481" i="39" s="1"/>
  <c r="N481" i="39" s="1"/>
  <c r="L532" i="39"/>
  <c r="M532" i="39" s="1"/>
  <c r="N532" i="39" s="1"/>
  <c r="L483" i="39"/>
  <c r="M483" i="39" s="1"/>
  <c r="N483" i="39" s="1"/>
  <c r="L533" i="39"/>
  <c r="M533" i="39" s="1"/>
  <c r="N533" i="39" s="1"/>
  <c r="L485" i="39"/>
  <c r="M485" i="39" s="1"/>
  <c r="N485" i="39" s="1"/>
  <c r="L486" i="39"/>
  <c r="M486" i="39" s="1"/>
  <c r="N486" i="39" s="1"/>
  <c r="L487" i="39"/>
  <c r="M487" i="39" s="1"/>
  <c r="N487" i="39" s="1"/>
  <c r="L488" i="39"/>
  <c r="M488" i="39" s="1"/>
  <c r="N488" i="39" s="1"/>
  <c r="L489" i="39"/>
  <c r="M489" i="39" s="1"/>
  <c r="N489" i="39" s="1"/>
  <c r="L490" i="39"/>
  <c r="M490" i="39" s="1"/>
  <c r="N490" i="39" s="1"/>
  <c r="L491" i="39"/>
  <c r="M491" i="39" s="1"/>
  <c r="N491" i="39" s="1"/>
  <c r="L492" i="39"/>
  <c r="M492" i="39" s="1"/>
  <c r="N492" i="39" s="1"/>
  <c r="L493" i="39"/>
  <c r="M493" i="39" s="1"/>
  <c r="N493" i="39" s="1"/>
  <c r="L494" i="39"/>
  <c r="M494" i="39" s="1"/>
  <c r="N494" i="39" s="1"/>
  <c r="L495" i="39"/>
  <c r="M495" i="39" s="1"/>
  <c r="N495" i="39" s="1"/>
  <c r="L496" i="39"/>
  <c r="M496" i="39" s="1"/>
  <c r="N496" i="39" s="1"/>
  <c r="L497" i="39"/>
  <c r="M497" i="39" s="1"/>
  <c r="N497" i="39" s="1"/>
  <c r="L498" i="39"/>
  <c r="M498" i="39" s="1"/>
  <c r="N498" i="39" s="1"/>
  <c r="L499" i="39"/>
  <c r="M499" i="39" s="1"/>
  <c r="N499" i="39" s="1"/>
  <c r="L416" i="39"/>
  <c r="M416" i="39" s="1"/>
  <c r="N416" i="39" s="1"/>
  <c r="L417" i="39"/>
  <c r="M417" i="39" s="1"/>
  <c r="N417" i="39" s="1"/>
  <c r="L418" i="39"/>
  <c r="M418" i="39" s="1"/>
  <c r="N418" i="39" s="1"/>
  <c r="L419" i="39"/>
  <c r="M419" i="39" s="1"/>
  <c r="N419" i="39" s="1"/>
  <c r="L420" i="39"/>
  <c r="M420" i="39" s="1"/>
  <c r="N420" i="39" s="1"/>
  <c r="L421" i="39"/>
  <c r="M421" i="39" s="1"/>
  <c r="N421" i="39" s="1"/>
  <c r="L422" i="39"/>
  <c r="M422" i="39" s="1"/>
  <c r="N422" i="39" s="1"/>
  <c r="L423" i="39"/>
  <c r="M423" i="39" s="1"/>
  <c r="N423" i="39" s="1"/>
  <c r="L424" i="39"/>
  <c r="M424" i="39" s="1"/>
  <c r="N424" i="39" s="1"/>
  <c r="L428" i="39"/>
  <c r="M428" i="39" s="1"/>
  <c r="N428" i="39" s="1"/>
  <c r="L429" i="39"/>
  <c r="M429" i="39" s="1"/>
  <c r="N429" i="39" s="1"/>
  <c r="L430" i="39"/>
  <c r="M430" i="39" s="1"/>
  <c r="N430" i="39" s="1"/>
  <c r="L432" i="39"/>
  <c r="M432" i="39" s="1"/>
  <c r="N432" i="39" s="1"/>
  <c r="L433" i="39"/>
  <c r="M433" i="39" s="1"/>
  <c r="N433" i="39" s="1"/>
  <c r="L434" i="39"/>
  <c r="M434" i="39" s="1"/>
  <c r="N434" i="39" s="1"/>
  <c r="L435" i="39"/>
  <c r="M435" i="39" s="1"/>
  <c r="N435" i="39" s="1"/>
  <c r="L436" i="39"/>
  <c r="M436" i="39" s="1"/>
  <c r="N436" i="39" s="1"/>
  <c r="L437" i="39"/>
  <c r="M437" i="39" s="1"/>
  <c r="N437" i="39" s="1"/>
  <c r="L438" i="39"/>
  <c r="M438" i="39" s="1"/>
  <c r="N438" i="39" s="1"/>
  <c r="L439" i="39"/>
  <c r="M439" i="39" s="1"/>
  <c r="N439" i="39" s="1"/>
  <c r="L440" i="39"/>
  <c r="M440" i="39" s="1"/>
  <c r="N440" i="39" s="1"/>
  <c r="L441" i="39"/>
  <c r="M441" i="39" s="1"/>
  <c r="N441" i="39" s="1"/>
  <c r="L442" i="39"/>
  <c r="M442" i="39" s="1"/>
  <c r="N442" i="39" s="1"/>
  <c r="L443" i="39"/>
  <c r="M443" i="39" s="1"/>
  <c r="N443" i="39" s="1"/>
  <c r="L337" i="39"/>
  <c r="L338" i="39"/>
  <c r="M338" i="39" s="1"/>
  <c r="N338" i="39" s="1"/>
  <c r="L339" i="39"/>
  <c r="M339" i="39" s="1"/>
  <c r="N339" i="39" s="1"/>
  <c r="L340" i="39"/>
  <c r="M340" i="39" s="1"/>
  <c r="N340" i="39" s="1"/>
  <c r="L341" i="39"/>
  <c r="M341" i="39" s="1"/>
  <c r="N341" i="39" s="1"/>
  <c r="L342" i="39"/>
  <c r="M342" i="39" s="1"/>
  <c r="N342" i="39" s="1"/>
  <c r="L343" i="39"/>
  <c r="M343" i="39" s="1"/>
  <c r="N343" i="39" s="1"/>
  <c r="L344" i="39"/>
  <c r="M344" i="39" s="1"/>
  <c r="N344" i="39" s="1"/>
  <c r="L345" i="39"/>
  <c r="M345" i="39" s="1"/>
  <c r="N345" i="39" s="1"/>
  <c r="L346" i="39"/>
  <c r="M346" i="39" s="1"/>
  <c r="N346" i="39" s="1"/>
  <c r="L347" i="39"/>
  <c r="M347" i="39" s="1"/>
  <c r="N347" i="39" s="1"/>
  <c r="L348" i="39"/>
  <c r="M348" i="39" s="1"/>
  <c r="N348" i="39" s="1"/>
  <c r="L349" i="39"/>
  <c r="M349" i="39" s="1"/>
  <c r="N349" i="39" s="1"/>
  <c r="L350" i="39"/>
  <c r="M350" i="39" s="1"/>
  <c r="N350" i="39" s="1"/>
  <c r="L351" i="39"/>
  <c r="M351" i="39" s="1"/>
  <c r="N351" i="39" s="1"/>
  <c r="L352" i="39"/>
  <c r="M352" i="39" s="1"/>
  <c r="N352" i="39" s="1"/>
  <c r="L353" i="39"/>
  <c r="M353" i="39" s="1"/>
  <c r="N353" i="39" s="1"/>
  <c r="L354" i="39"/>
  <c r="M354" i="39" s="1"/>
  <c r="N354" i="39" s="1"/>
  <c r="L355" i="39"/>
  <c r="M355" i="39" s="1"/>
  <c r="N355" i="39" s="1"/>
  <c r="L356" i="39"/>
  <c r="M356" i="39" s="1"/>
  <c r="N356" i="39" s="1"/>
  <c r="L357" i="39"/>
  <c r="M357" i="39" s="1"/>
  <c r="N357" i="39" s="1"/>
  <c r="L358" i="39"/>
  <c r="M358" i="39" s="1"/>
  <c r="N358" i="39" s="1"/>
  <c r="L360" i="39"/>
  <c r="M360" i="39" s="1"/>
  <c r="N360" i="39" s="1"/>
  <c r="L361" i="39"/>
  <c r="M361" i="39" s="1"/>
  <c r="N361" i="39" s="1"/>
  <c r="L362" i="39"/>
  <c r="M362" i="39" s="1"/>
  <c r="N362" i="39" s="1"/>
  <c r="L363" i="39"/>
  <c r="M363" i="39" s="1"/>
  <c r="N363" i="39" s="1"/>
  <c r="L364" i="39"/>
  <c r="M364" i="39" s="1"/>
  <c r="N364" i="39" s="1"/>
  <c r="L365" i="39"/>
  <c r="M365" i="39" s="1"/>
  <c r="N365" i="39" s="1"/>
  <c r="L366" i="39"/>
  <c r="M366" i="39" s="1"/>
  <c r="N366" i="39" s="1"/>
  <c r="L367" i="39"/>
  <c r="M367" i="39" s="1"/>
  <c r="N367" i="39" s="1"/>
  <c r="L368" i="39"/>
  <c r="M368" i="39" s="1"/>
  <c r="N368" i="39" s="1"/>
  <c r="L369" i="39"/>
  <c r="M369" i="39" s="1"/>
  <c r="N369" i="39" s="1"/>
  <c r="L370" i="39"/>
  <c r="M370" i="39" s="1"/>
  <c r="N370" i="39" s="1"/>
  <c r="L371" i="39"/>
  <c r="M371" i="39" s="1"/>
  <c r="N371" i="39" s="1"/>
  <c r="L372" i="39"/>
  <c r="M372" i="39" s="1"/>
  <c r="N372" i="39" s="1"/>
  <c r="L373" i="39"/>
  <c r="M373" i="39" s="1"/>
  <c r="N373" i="39" s="1"/>
  <c r="L374" i="39"/>
  <c r="M374" i="39" s="1"/>
  <c r="N374" i="39" s="1"/>
  <c r="L375" i="39"/>
  <c r="M375" i="39" s="1"/>
  <c r="N375" i="39" s="1"/>
  <c r="L376" i="39"/>
  <c r="M376" i="39" s="1"/>
  <c r="N376" i="39" s="1"/>
  <c r="L377" i="39"/>
  <c r="M377" i="39" s="1"/>
  <c r="N377" i="39" s="1"/>
  <c r="L378" i="39"/>
  <c r="M378" i="39" s="1"/>
  <c r="N378" i="39" s="1"/>
  <c r="L389" i="39"/>
  <c r="M389" i="39" s="1"/>
  <c r="N389" i="39" s="1"/>
  <c r="L390" i="39"/>
  <c r="M390" i="39" s="1"/>
  <c r="N390" i="39" s="1"/>
  <c r="L391" i="39"/>
  <c r="M391" i="39" s="1"/>
  <c r="N391" i="39" s="1"/>
  <c r="L392" i="39"/>
  <c r="M392" i="39" s="1"/>
  <c r="N392" i="39" s="1"/>
  <c r="L393" i="39"/>
  <c r="M393" i="39" s="1"/>
  <c r="N393" i="39" s="1"/>
  <c r="L394" i="39"/>
  <c r="M394" i="39" s="1"/>
  <c r="N394" i="39" s="1"/>
  <c r="L395" i="39"/>
  <c r="M395" i="39" s="1"/>
  <c r="N395" i="39" s="1"/>
  <c r="L396" i="39"/>
  <c r="M396" i="39" s="1"/>
  <c r="N396" i="39" s="1"/>
  <c r="L397" i="39"/>
  <c r="M397" i="39" s="1"/>
  <c r="N397" i="39" s="1"/>
  <c r="L398" i="39"/>
  <c r="M398" i="39" s="1"/>
  <c r="N398" i="39" s="1"/>
  <c r="L399" i="39"/>
  <c r="M399" i="39" s="1"/>
  <c r="N399" i="39" s="1"/>
  <c r="L194" i="39"/>
  <c r="L195" i="39"/>
  <c r="M195" i="39" s="1"/>
  <c r="N195" i="39" s="1"/>
  <c r="L196" i="39"/>
  <c r="M196" i="39" s="1"/>
  <c r="N196" i="39" s="1"/>
  <c r="L197" i="39"/>
  <c r="M197" i="39" s="1"/>
  <c r="N197" i="39" s="1"/>
  <c r="L198" i="39"/>
  <c r="M198" i="39" s="1"/>
  <c r="N198" i="39" s="1"/>
  <c r="L199" i="39"/>
  <c r="M199" i="39" s="1"/>
  <c r="N199" i="39" s="1"/>
  <c r="L200" i="39"/>
  <c r="M200" i="39" s="1"/>
  <c r="N200" i="39" s="1"/>
  <c r="L201" i="39"/>
  <c r="L202" i="39"/>
  <c r="M202" i="39" s="1"/>
  <c r="N202" i="39" s="1"/>
  <c r="L203" i="39"/>
  <c r="M203" i="39" s="1"/>
  <c r="N203" i="39" s="1"/>
  <c r="L204" i="39"/>
  <c r="L205" i="39"/>
  <c r="M205" i="39" s="1"/>
  <c r="N205" i="39" s="1"/>
  <c r="L206" i="39"/>
  <c r="M206" i="39" s="1"/>
  <c r="N206" i="39" s="1"/>
  <c r="L207" i="39"/>
  <c r="M207" i="39" s="1"/>
  <c r="N207" i="39" s="1"/>
  <c r="L208" i="39"/>
  <c r="M208" i="39" s="1"/>
  <c r="N208" i="39" s="1"/>
  <c r="L209" i="39"/>
  <c r="M209" i="39" s="1"/>
  <c r="N209" i="39" s="1"/>
  <c r="L210" i="39"/>
  <c r="M210" i="39" s="1"/>
  <c r="N210" i="39" s="1"/>
  <c r="L211" i="39"/>
  <c r="M211" i="39" s="1"/>
  <c r="N211" i="39" s="1"/>
  <c r="L212" i="39"/>
  <c r="M212" i="39" s="1"/>
  <c r="N212" i="39" s="1"/>
  <c r="L213" i="39"/>
  <c r="M213" i="39" s="1"/>
  <c r="N213" i="39" s="1"/>
  <c r="L214" i="39"/>
  <c r="M214" i="39" s="1"/>
  <c r="N214" i="39" s="1"/>
  <c r="L215" i="39"/>
  <c r="M215" i="39" s="1"/>
  <c r="N215" i="39" s="1"/>
  <c r="L216" i="39"/>
  <c r="M216" i="39" s="1"/>
  <c r="N216" i="39" s="1"/>
  <c r="L217" i="39"/>
  <c r="M217" i="39" s="1"/>
  <c r="N217" i="39" s="1"/>
  <c r="L218" i="39"/>
  <c r="M218" i="39" s="1"/>
  <c r="N218" i="39" s="1"/>
  <c r="L219" i="39"/>
  <c r="M219" i="39" s="1"/>
  <c r="N219" i="39" s="1"/>
  <c r="L220" i="39"/>
  <c r="M220" i="39" s="1"/>
  <c r="N220" i="39" s="1"/>
  <c r="L221" i="39"/>
  <c r="M221" i="39" s="1"/>
  <c r="N221" i="39" s="1"/>
  <c r="L222" i="39"/>
  <c r="M222" i="39" s="1"/>
  <c r="N222" i="39" s="1"/>
  <c r="L223" i="39"/>
  <c r="M223" i="39" s="1"/>
  <c r="N223" i="39" s="1"/>
  <c r="L224" i="39"/>
  <c r="M224" i="39" s="1"/>
  <c r="N224" i="39" s="1"/>
  <c r="L225" i="39"/>
  <c r="M225" i="39" s="1"/>
  <c r="N225" i="39" s="1"/>
  <c r="L226" i="39"/>
  <c r="M226" i="39" s="1"/>
  <c r="N226" i="39" s="1"/>
  <c r="L227" i="39"/>
  <c r="M227" i="39" s="1"/>
  <c r="N227" i="39" s="1"/>
  <c r="L228" i="39"/>
  <c r="M228" i="39" s="1"/>
  <c r="N228" i="39" s="1"/>
  <c r="L229" i="39"/>
  <c r="M229" i="39" s="1"/>
  <c r="N229" i="39" s="1"/>
  <c r="L230" i="39"/>
  <c r="M230" i="39" s="1"/>
  <c r="N230" i="39" s="1"/>
  <c r="L231" i="39"/>
  <c r="M231" i="39" s="1"/>
  <c r="N231" i="39" s="1"/>
  <c r="L232" i="39"/>
  <c r="M232" i="39" s="1"/>
  <c r="N232" i="39" s="1"/>
  <c r="L233" i="39"/>
  <c r="M233" i="39" s="1"/>
  <c r="N233" i="39" s="1"/>
  <c r="L234" i="39"/>
  <c r="M234" i="39" s="1"/>
  <c r="N234" i="39" s="1"/>
  <c r="L235" i="39"/>
  <c r="M235" i="39" s="1"/>
  <c r="N235" i="39" s="1"/>
  <c r="L236" i="39"/>
  <c r="M236" i="39" s="1"/>
  <c r="N236" i="39" s="1"/>
  <c r="L237" i="39"/>
  <c r="M237" i="39" s="1"/>
  <c r="N237" i="39" s="1"/>
  <c r="L238" i="39"/>
  <c r="M238" i="39" s="1"/>
  <c r="N238" i="39" s="1"/>
  <c r="L239" i="39"/>
  <c r="M239" i="39" s="1"/>
  <c r="N239" i="39" s="1"/>
  <c r="L240" i="39"/>
  <c r="M240" i="39" s="1"/>
  <c r="N240" i="39" s="1"/>
  <c r="L241" i="39"/>
  <c r="M241" i="39" s="1"/>
  <c r="N241" i="39" s="1"/>
  <c r="L242" i="39"/>
  <c r="M242" i="39" s="1"/>
  <c r="N242" i="39" s="1"/>
  <c r="L531" i="39"/>
  <c r="M531" i="39" s="1"/>
  <c r="N531" i="39" s="1"/>
  <c r="L534" i="39"/>
  <c r="M534" i="39" s="1"/>
  <c r="N534" i="39" s="1"/>
  <c r="L245" i="39"/>
  <c r="M245" i="39" s="1"/>
  <c r="N245" i="39" s="1"/>
  <c r="L246" i="39"/>
  <c r="M246" i="39" s="1"/>
  <c r="N246" i="39" s="1"/>
  <c r="L247" i="39"/>
  <c r="M247" i="39" s="1"/>
  <c r="N247" i="39" s="1"/>
  <c r="L248" i="39"/>
  <c r="M248" i="39" s="1"/>
  <c r="N248" i="39" s="1"/>
  <c r="L249" i="39"/>
  <c r="M249" i="39" s="1"/>
  <c r="N249" i="39" s="1"/>
  <c r="L252" i="39"/>
  <c r="M252" i="39" s="1"/>
  <c r="N252" i="39" s="1"/>
  <c r="L250" i="39"/>
  <c r="M250" i="39" s="1"/>
  <c r="N250" i="39" s="1"/>
  <c r="L251" i="39"/>
  <c r="M251" i="39" s="1"/>
  <c r="N251" i="39" s="1"/>
  <c r="L253" i="39"/>
  <c r="M253" i="39" s="1"/>
  <c r="N253" i="39" s="1"/>
  <c r="L254" i="39"/>
  <c r="M254" i="39" s="1"/>
  <c r="N254" i="39" s="1"/>
  <c r="L255" i="39"/>
  <c r="M255" i="39" s="1"/>
  <c r="N255" i="39" s="1"/>
  <c r="L256" i="39"/>
  <c r="M256" i="39" s="1"/>
  <c r="N256" i="39" s="1"/>
  <c r="L257" i="39"/>
  <c r="M257" i="39" s="1"/>
  <c r="N257" i="39" s="1"/>
  <c r="L259" i="39"/>
  <c r="M259" i="39" s="1"/>
  <c r="N259" i="39" s="1"/>
  <c r="L260" i="39"/>
  <c r="M260" i="39" s="1"/>
  <c r="N260" i="39" s="1"/>
  <c r="L535" i="39"/>
  <c r="M535" i="39" s="1"/>
  <c r="N535" i="39" s="1"/>
  <c r="L261" i="39"/>
  <c r="M261" i="39" s="1"/>
  <c r="N261" i="39" s="1"/>
  <c r="L263" i="39"/>
  <c r="M263" i="39" s="1"/>
  <c r="N263" i="39" s="1"/>
  <c r="L262" i="39"/>
  <c r="M262" i="39" s="1"/>
  <c r="N262" i="39" s="1"/>
  <c r="L264" i="39"/>
  <c r="L265" i="39"/>
  <c r="M265" i="39" s="1"/>
  <c r="N265" i="39" s="1"/>
  <c r="L270" i="39"/>
  <c r="M270" i="39" s="1"/>
  <c r="N270" i="39" s="1"/>
  <c r="L269" i="39"/>
  <c r="M269" i="39" s="1"/>
  <c r="N269" i="39" s="1"/>
  <c r="L268" i="39"/>
  <c r="M268" i="39" s="1"/>
  <c r="N268" i="39" s="1"/>
  <c r="L267" i="39"/>
  <c r="M267" i="39" s="1"/>
  <c r="N267" i="39" s="1"/>
  <c r="L272" i="39"/>
  <c r="M272" i="39" s="1"/>
  <c r="N272" i="39" s="1"/>
  <c r="L271" i="39"/>
  <c r="M271" i="39" s="1"/>
  <c r="N271" i="39" s="1"/>
  <c r="L273" i="39"/>
  <c r="M273" i="39" s="1"/>
  <c r="N273" i="39" s="1"/>
  <c r="L275" i="39"/>
  <c r="M275" i="39" s="1"/>
  <c r="N275" i="39" s="1"/>
  <c r="L274" i="39"/>
  <c r="M274" i="39" s="1"/>
  <c r="N274" i="39" s="1"/>
  <c r="L276" i="39"/>
  <c r="M276" i="39" s="1"/>
  <c r="N276" i="39" s="1"/>
  <c r="L277" i="39"/>
  <c r="M277" i="39" s="1"/>
  <c r="N277" i="39" s="1"/>
  <c r="L278" i="39"/>
  <c r="M278" i="39" s="1"/>
  <c r="N278" i="39" s="1"/>
  <c r="L282" i="39"/>
  <c r="M282" i="39" s="1"/>
  <c r="N282" i="39" s="1"/>
  <c r="L281" i="39"/>
  <c r="M281" i="39" s="1"/>
  <c r="N281" i="39" s="1"/>
  <c r="L280" i="39"/>
  <c r="M280" i="39" s="1"/>
  <c r="N280" i="39" s="1"/>
  <c r="L283" i="39"/>
  <c r="M283" i="39" s="1"/>
  <c r="N283" i="39" s="1"/>
  <c r="L284" i="39"/>
  <c r="M284" i="39" s="1"/>
  <c r="N284" i="39" s="1"/>
  <c r="L285" i="39"/>
  <c r="M285" i="39" s="1"/>
  <c r="N285" i="39" s="1"/>
  <c r="L286" i="39"/>
  <c r="M286" i="39" s="1"/>
  <c r="N286" i="39" s="1"/>
  <c r="L287" i="39"/>
  <c r="M287" i="39" s="1"/>
  <c r="N287" i="39" s="1"/>
  <c r="L288" i="39"/>
  <c r="M288" i="39" s="1"/>
  <c r="N288" i="39" s="1"/>
  <c r="L290" i="39"/>
  <c r="M290" i="39" s="1"/>
  <c r="N290" i="39" s="1"/>
  <c r="L289" i="39"/>
  <c r="M289" i="39" s="1"/>
  <c r="N289" i="39" s="1"/>
  <c r="L292" i="39"/>
  <c r="M292" i="39" s="1"/>
  <c r="N292" i="39" s="1"/>
  <c r="L291" i="39"/>
  <c r="M291" i="39" s="1"/>
  <c r="N291" i="39" s="1"/>
  <c r="L293" i="39"/>
  <c r="M293" i="39" s="1"/>
  <c r="N293" i="39" s="1"/>
  <c r="L294" i="39"/>
  <c r="M294" i="39" s="1"/>
  <c r="N294" i="39" s="1"/>
  <c r="L295" i="39"/>
  <c r="M295" i="39" s="1"/>
  <c r="N295" i="39" s="1"/>
  <c r="L296" i="39"/>
  <c r="M296" i="39" s="1"/>
  <c r="N296" i="39" s="1"/>
  <c r="L297" i="39"/>
  <c r="M297" i="39" s="1"/>
  <c r="N297" i="39" s="1"/>
  <c r="L298" i="39"/>
  <c r="M298" i="39" s="1"/>
  <c r="N298" i="39" s="1"/>
  <c r="L299" i="39"/>
  <c r="M299" i="39" s="1"/>
  <c r="N299" i="39" s="1"/>
  <c r="L301" i="39"/>
  <c r="M301" i="39" s="1"/>
  <c r="N301" i="39" s="1"/>
  <c r="L302" i="39"/>
  <c r="M302" i="39" s="1"/>
  <c r="N302" i="39" s="1"/>
  <c r="L300" i="39"/>
  <c r="M300" i="39" s="1"/>
  <c r="N300" i="39" s="1"/>
  <c r="L304" i="39"/>
  <c r="M304" i="39" s="1"/>
  <c r="N304" i="39" s="1"/>
  <c r="L306" i="39"/>
  <c r="M306" i="39" s="1"/>
  <c r="N306" i="39" s="1"/>
  <c r="L305" i="39"/>
  <c r="M305" i="39" s="1"/>
  <c r="N305" i="39" s="1"/>
  <c r="L303" i="39"/>
  <c r="M303" i="39" s="1"/>
  <c r="N303" i="39" s="1"/>
  <c r="L310" i="39"/>
  <c r="M310" i="39" s="1"/>
  <c r="N310" i="39" s="1"/>
  <c r="L309" i="39"/>
  <c r="M309" i="39" s="1"/>
  <c r="N309" i="39" s="1"/>
  <c r="L307" i="39"/>
  <c r="M307" i="39" s="1"/>
  <c r="N307" i="39" s="1"/>
  <c r="P11" i="39"/>
  <c r="M41" i="17"/>
  <c r="N41" i="17" s="1"/>
  <c r="O41" i="17" s="1"/>
  <c r="J41" i="17"/>
  <c r="K41" i="17" s="1"/>
  <c r="P41" i="17" l="1"/>
  <c r="R41" i="17"/>
  <c r="Q41" i="17"/>
  <c r="M112" i="39"/>
  <c r="N112" i="39" s="1"/>
  <c r="P112" i="39"/>
  <c r="M99" i="39"/>
  <c r="N99" i="39" s="1"/>
  <c r="P99" i="39"/>
  <c r="M111" i="39"/>
  <c r="N111" i="39" s="1"/>
  <c r="P111" i="39"/>
  <c r="M90" i="39"/>
  <c r="N90" i="39" s="1"/>
  <c r="P90" i="39"/>
  <c r="M110" i="39"/>
  <c r="N110" i="39" s="1"/>
  <c r="P110" i="39"/>
  <c r="M89" i="39"/>
  <c r="N89" i="39" s="1"/>
  <c r="P89" i="39"/>
  <c r="M109" i="39"/>
  <c r="N109" i="39" s="1"/>
  <c r="P109" i="39"/>
  <c r="M105" i="39"/>
  <c r="N105" i="39" s="1"/>
  <c r="P105" i="39"/>
  <c r="M104" i="39"/>
  <c r="N104" i="39" s="1"/>
  <c r="P104" i="39"/>
  <c r="M103" i="39"/>
  <c r="N103" i="39" s="1"/>
  <c r="P103" i="39"/>
  <c r="M117" i="39"/>
  <c r="N117" i="39" s="1"/>
  <c r="P117" i="39"/>
  <c r="M102" i="39"/>
  <c r="N102" i="39" s="1"/>
  <c r="P102" i="39"/>
  <c r="R400" i="39"/>
  <c r="N15" i="42"/>
  <c r="D45" i="26" s="1"/>
  <c r="AE45" i="26" s="1"/>
  <c r="AD45" i="26" s="1"/>
  <c r="O13" i="42"/>
  <c r="P13" i="42" s="1"/>
  <c r="N25" i="42"/>
  <c r="D47" i="26" s="1"/>
  <c r="N159" i="42"/>
  <c r="AE47" i="26"/>
  <c r="AD47" i="26" s="1"/>
  <c r="C47" i="26"/>
  <c r="L511" i="39"/>
  <c r="D31" i="26" s="1"/>
  <c r="AE31" i="26" s="1"/>
  <c r="P30" i="42"/>
  <c r="O18" i="42"/>
  <c r="O25" i="42" s="1"/>
  <c r="C45" i="26"/>
  <c r="P129" i="42"/>
  <c r="M511" i="39"/>
  <c r="M337" i="39"/>
  <c r="M194" i="39"/>
  <c r="O156" i="42"/>
  <c r="O159" i="42" s="1"/>
  <c r="D49" i="26"/>
  <c r="O15" i="42"/>
  <c r="P29" i="42"/>
  <c r="M264" i="39"/>
  <c r="N264" i="39" s="1"/>
  <c r="M204" i="39"/>
  <c r="N204" i="39" s="1"/>
  <c r="M201" i="39"/>
  <c r="N201" i="39" s="1"/>
  <c r="I497" i="39"/>
  <c r="J497" i="39" s="1"/>
  <c r="I498" i="39"/>
  <c r="J498" i="39" s="1"/>
  <c r="I499" i="39"/>
  <c r="J499" i="39" s="1"/>
  <c r="I442" i="39"/>
  <c r="J442" i="39" s="1"/>
  <c r="I443" i="39"/>
  <c r="J443" i="39" s="1"/>
  <c r="I306" i="39"/>
  <c r="J306" i="39" s="1"/>
  <c r="I305" i="39"/>
  <c r="J305" i="39" s="1"/>
  <c r="I303" i="39"/>
  <c r="J303" i="39" s="1"/>
  <c r="I310" i="39"/>
  <c r="J310" i="39" s="1"/>
  <c r="I309" i="39"/>
  <c r="J309" i="39" s="1"/>
  <c r="I307" i="39"/>
  <c r="J307" i="39" s="1"/>
  <c r="I304" i="39"/>
  <c r="J304" i="39" s="1"/>
  <c r="K115" i="42"/>
  <c r="L115" i="42" s="1"/>
  <c r="M53" i="17"/>
  <c r="N53" i="17" s="1"/>
  <c r="O53" i="17" s="1"/>
  <c r="M52" i="17"/>
  <c r="N52" i="17" s="1"/>
  <c r="O52" i="17" s="1"/>
  <c r="J52" i="17"/>
  <c r="K52" i="17" s="1"/>
  <c r="J53" i="17"/>
  <c r="K53" i="17" s="1"/>
  <c r="M50" i="17"/>
  <c r="N50" i="17" s="1"/>
  <c r="O50" i="17" s="1"/>
  <c r="J50" i="17"/>
  <c r="K50" i="17" s="1"/>
  <c r="M48" i="17"/>
  <c r="N48" i="17" s="1"/>
  <c r="O48" i="17" s="1"/>
  <c r="J48" i="17"/>
  <c r="K48" i="17" s="1"/>
  <c r="N190" i="17"/>
  <c r="O190" i="17" s="1"/>
  <c r="J190" i="17"/>
  <c r="K190" i="17" s="1"/>
  <c r="M146" i="17"/>
  <c r="N146" i="17" s="1"/>
  <c r="O146" i="17" s="1"/>
  <c r="J146" i="17"/>
  <c r="K146" i="17" s="1"/>
  <c r="M57" i="17"/>
  <c r="N57" i="17" s="1"/>
  <c r="O57" i="17" s="1"/>
  <c r="N189" i="17"/>
  <c r="O189" i="17" s="1"/>
  <c r="J57" i="17"/>
  <c r="K57" i="17" s="1"/>
  <c r="Q57" i="17" s="1"/>
  <c r="J189" i="17"/>
  <c r="K189" i="17" s="1"/>
  <c r="M55" i="17"/>
  <c r="N55" i="17" s="1"/>
  <c r="O55" i="17" s="1"/>
  <c r="J55" i="17"/>
  <c r="K55" i="17" s="1"/>
  <c r="Q55" i="17" s="1"/>
  <c r="M47" i="17"/>
  <c r="N47" i="17" s="1"/>
  <c r="O47" i="17" s="1"/>
  <c r="M49" i="17"/>
  <c r="N49" i="17" s="1"/>
  <c r="O49" i="17" s="1"/>
  <c r="M51" i="17"/>
  <c r="N51" i="17" s="1"/>
  <c r="O51" i="17" s="1"/>
  <c r="M148" i="17"/>
  <c r="N148" i="17" s="1"/>
  <c r="O148" i="17" s="1"/>
  <c r="M54" i="17"/>
  <c r="N54" i="17" s="1"/>
  <c r="O54" i="17" s="1"/>
  <c r="J54" i="17"/>
  <c r="K54" i="17" s="1"/>
  <c r="J148" i="17"/>
  <c r="K148" i="17" s="1"/>
  <c r="J51" i="17"/>
  <c r="K51" i="17" s="1"/>
  <c r="Q51" i="17" s="1"/>
  <c r="J49" i="17"/>
  <c r="K49" i="17" s="1"/>
  <c r="J47" i="17"/>
  <c r="K47" i="17" s="1"/>
  <c r="Q47" i="17" s="1"/>
  <c r="K75" i="43"/>
  <c r="K98" i="42"/>
  <c r="L98" i="42" s="1"/>
  <c r="L153" i="39"/>
  <c r="M153" i="39" s="1"/>
  <c r="N153" i="39" s="1"/>
  <c r="I153" i="39"/>
  <c r="J153" i="39" s="1"/>
  <c r="K511" i="39"/>
  <c r="B31" i="26" s="1"/>
  <c r="AC31" i="26" s="1"/>
  <c r="I399" i="39"/>
  <c r="J399" i="39" s="1"/>
  <c r="I441" i="39"/>
  <c r="J441" i="39" s="1"/>
  <c r="I397" i="39"/>
  <c r="J397" i="39" s="1"/>
  <c r="I396" i="39"/>
  <c r="J396" i="39" s="1"/>
  <c r="I395" i="39"/>
  <c r="J395" i="39" s="1"/>
  <c r="I394" i="39"/>
  <c r="J394" i="39" s="1"/>
  <c r="I393" i="39"/>
  <c r="J393" i="39" s="1"/>
  <c r="I439" i="39"/>
  <c r="J439" i="39" s="1"/>
  <c r="I440" i="39"/>
  <c r="J440" i="39" s="1"/>
  <c r="I299" i="39"/>
  <c r="J299" i="39" s="1"/>
  <c r="I302" i="39"/>
  <c r="J302" i="39" s="1"/>
  <c r="I301" i="39"/>
  <c r="J301" i="39" s="1"/>
  <c r="I300" i="39"/>
  <c r="J300" i="39" s="1"/>
  <c r="M44" i="17"/>
  <c r="N44" i="17" s="1"/>
  <c r="O44" i="17" s="1"/>
  <c r="M43" i="17"/>
  <c r="N43" i="17" s="1"/>
  <c r="O43" i="17" s="1"/>
  <c r="M42" i="17"/>
  <c r="N42" i="17" s="1"/>
  <c r="O42" i="17" s="1"/>
  <c r="J44" i="17"/>
  <c r="K44" i="17" s="1"/>
  <c r="Q44" i="17" s="1"/>
  <c r="J43" i="17"/>
  <c r="K43" i="17" s="1"/>
  <c r="J42" i="17"/>
  <c r="K42" i="17" s="1"/>
  <c r="J225" i="17"/>
  <c r="K225" i="17" s="1"/>
  <c r="N191" i="17"/>
  <c r="O191" i="17" s="1"/>
  <c r="M225" i="17"/>
  <c r="N225" i="17" s="1"/>
  <c r="O225" i="17" s="1"/>
  <c r="J191" i="17"/>
  <c r="K191" i="17" s="1"/>
  <c r="M332" i="17"/>
  <c r="N332" i="17" s="1"/>
  <c r="O332" i="17" s="1"/>
  <c r="J332" i="17"/>
  <c r="K332" i="17" s="1"/>
  <c r="M46" i="17"/>
  <c r="N46" i="17" s="1"/>
  <c r="O46" i="17" s="1"/>
  <c r="J46" i="17"/>
  <c r="K46" i="17" s="1"/>
  <c r="Q46" i="17" s="1"/>
  <c r="M45" i="17"/>
  <c r="N45" i="17" s="1"/>
  <c r="O45" i="17" s="1"/>
  <c r="J45" i="17"/>
  <c r="K45" i="17" s="1"/>
  <c r="AH214" i="44"/>
  <c r="AG214" i="44"/>
  <c r="AD214" i="44"/>
  <c r="S214" i="44"/>
  <c r="P214" i="44"/>
  <c r="Q214" i="44" s="1"/>
  <c r="K214" i="44"/>
  <c r="AF214" i="44" s="1"/>
  <c r="AH210" i="44"/>
  <c r="AD210" i="44"/>
  <c r="S210" i="44"/>
  <c r="P210" i="44"/>
  <c r="Q210" i="44" s="1"/>
  <c r="K210" i="44"/>
  <c r="AF210" i="44" s="1"/>
  <c r="AH209" i="44"/>
  <c r="AD209" i="44"/>
  <c r="S209" i="44"/>
  <c r="P209" i="44"/>
  <c r="Q209" i="44"/>
  <c r="K209" i="44"/>
  <c r="AF209" i="44" s="1"/>
  <c r="AH208" i="44"/>
  <c r="AD208" i="44"/>
  <c r="S208" i="44"/>
  <c r="P208" i="44"/>
  <c r="Q208" i="44" s="1"/>
  <c r="K208" i="44"/>
  <c r="AF208" i="44" s="1"/>
  <c r="AH207" i="44"/>
  <c r="AD207" i="44"/>
  <c r="S207" i="44"/>
  <c r="P207" i="44"/>
  <c r="Q207" i="44" s="1"/>
  <c r="K207" i="44"/>
  <c r="AF207" i="44" s="1"/>
  <c r="AH206" i="44"/>
  <c r="AD206" i="44"/>
  <c r="S206" i="44"/>
  <c r="P206" i="44"/>
  <c r="Q206" i="44" s="1"/>
  <c r="K206" i="44"/>
  <c r="AF206" i="44" s="1"/>
  <c r="AH205" i="44"/>
  <c r="AD205" i="44"/>
  <c r="S205" i="44"/>
  <c r="P205" i="44"/>
  <c r="Q205" i="44" s="1"/>
  <c r="K205" i="44"/>
  <c r="AF205" i="44" s="1"/>
  <c r="AH204" i="44"/>
  <c r="AD204" i="44"/>
  <c r="S204" i="44"/>
  <c r="P204" i="44"/>
  <c r="Q204" i="44" s="1"/>
  <c r="K204" i="44"/>
  <c r="AF204" i="44" s="1"/>
  <c r="AH203" i="44"/>
  <c r="AD203" i="44"/>
  <c r="S203" i="44"/>
  <c r="P203" i="44"/>
  <c r="Q203" i="44"/>
  <c r="K203" i="44"/>
  <c r="AF203" i="44" s="1"/>
  <c r="AH202" i="44"/>
  <c r="AD202" i="44"/>
  <c r="S202" i="44"/>
  <c r="P202" i="44"/>
  <c r="Q202" i="44" s="1"/>
  <c r="K202" i="44"/>
  <c r="AF202" i="44" s="1"/>
  <c r="AH201" i="44"/>
  <c r="AD201" i="44"/>
  <c r="S201" i="44"/>
  <c r="P201" i="44"/>
  <c r="Q201" i="44" s="1"/>
  <c r="K201" i="44"/>
  <c r="AF201" i="44" s="1"/>
  <c r="AH200" i="44"/>
  <c r="AD200" i="44"/>
  <c r="S200" i="44"/>
  <c r="P200" i="44"/>
  <c r="Q200" i="44" s="1"/>
  <c r="K200" i="44"/>
  <c r="AF200" i="44" s="1"/>
  <c r="AH199" i="44"/>
  <c r="AD199" i="44"/>
  <c r="S199" i="44"/>
  <c r="P199" i="44"/>
  <c r="Q199" i="44" s="1"/>
  <c r="K199" i="44"/>
  <c r="AF199" i="44" s="1"/>
  <c r="AH198" i="44"/>
  <c r="AD198" i="44"/>
  <c r="S198" i="44"/>
  <c r="P198" i="44"/>
  <c r="Q198" i="44" s="1"/>
  <c r="K198" i="44"/>
  <c r="AF198" i="44" s="1"/>
  <c r="AH197" i="44"/>
  <c r="AD197" i="44"/>
  <c r="S197" i="44"/>
  <c r="P197" i="44"/>
  <c r="Q197" i="44" s="1"/>
  <c r="K197" i="44"/>
  <c r="AF197" i="44"/>
  <c r="AH196" i="44"/>
  <c r="AD196" i="44"/>
  <c r="S196" i="44"/>
  <c r="P196" i="44"/>
  <c r="Q196" i="44" s="1"/>
  <c r="K196" i="44"/>
  <c r="AF196" i="44" s="1"/>
  <c r="AH195" i="44"/>
  <c r="AD195" i="44"/>
  <c r="S195" i="44"/>
  <c r="P195" i="44"/>
  <c r="Q195" i="44" s="1"/>
  <c r="K195" i="44"/>
  <c r="AF195" i="44" s="1"/>
  <c r="AH194" i="44"/>
  <c r="AD194" i="44"/>
  <c r="S194" i="44"/>
  <c r="P194" i="44"/>
  <c r="Q194" i="44" s="1"/>
  <c r="K194" i="44"/>
  <c r="AF194" i="44" s="1"/>
  <c r="AH193" i="44"/>
  <c r="AD193" i="44"/>
  <c r="S193" i="44"/>
  <c r="P193" i="44"/>
  <c r="Q193" i="44" s="1"/>
  <c r="K193" i="44"/>
  <c r="AF193" i="44"/>
  <c r="AH192" i="44"/>
  <c r="AD192" i="44"/>
  <c r="S192" i="44"/>
  <c r="P192" i="44"/>
  <c r="Q192" i="44" s="1"/>
  <c r="K192" i="44"/>
  <c r="AF192" i="44" s="1"/>
  <c r="AH191" i="44"/>
  <c r="AD191" i="44"/>
  <c r="S191" i="44"/>
  <c r="P191" i="44"/>
  <c r="Q191" i="44" s="1"/>
  <c r="K191" i="44"/>
  <c r="AF191" i="44" s="1"/>
  <c r="AH190" i="44"/>
  <c r="AD190" i="44"/>
  <c r="S190" i="44"/>
  <c r="P190" i="44"/>
  <c r="Q190" i="44" s="1"/>
  <c r="K190" i="44"/>
  <c r="AF190" i="44" s="1"/>
  <c r="AH189" i="44"/>
  <c r="AD189" i="44"/>
  <c r="S189" i="44"/>
  <c r="P189" i="44"/>
  <c r="Q189" i="44" s="1"/>
  <c r="K189" i="44"/>
  <c r="AF189" i="44" s="1"/>
  <c r="AH188" i="44"/>
  <c r="AD188" i="44"/>
  <c r="S188" i="44"/>
  <c r="P188" i="44"/>
  <c r="Q188" i="44" s="1"/>
  <c r="K188" i="44"/>
  <c r="AF188" i="44" s="1"/>
  <c r="AH187" i="44"/>
  <c r="AD187" i="44"/>
  <c r="S187" i="44"/>
  <c r="P187" i="44"/>
  <c r="Q187" i="44" s="1"/>
  <c r="K187" i="44"/>
  <c r="AF187" i="44"/>
  <c r="AH186" i="44"/>
  <c r="AD186" i="44"/>
  <c r="S186" i="44"/>
  <c r="P186" i="44"/>
  <c r="Q186" i="44" s="1"/>
  <c r="K186" i="44"/>
  <c r="AF186" i="44" s="1"/>
  <c r="AH185" i="44"/>
  <c r="AD185" i="44"/>
  <c r="S185" i="44"/>
  <c r="P185" i="44"/>
  <c r="Q185" i="44" s="1"/>
  <c r="K185" i="44"/>
  <c r="AF185" i="44" s="1"/>
  <c r="AH184" i="44"/>
  <c r="AD184" i="44"/>
  <c r="S184" i="44"/>
  <c r="P184" i="44"/>
  <c r="Q184" i="44" s="1"/>
  <c r="K184" i="44"/>
  <c r="AF184" i="44" s="1"/>
  <c r="AH183" i="44"/>
  <c r="AD183" i="44"/>
  <c r="S183" i="44"/>
  <c r="P183" i="44"/>
  <c r="Q183" i="44" s="1"/>
  <c r="K183" i="44"/>
  <c r="AF183" i="44" s="1"/>
  <c r="AH182" i="44"/>
  <c r="AD182" i="44"/>
  <c r="S182" i="44"/>
  <c r="P182" i="44"/>
  <c r="Q182" i="44" s="1"/>
  <c r="K182" i="44"/>
  <c r="AF182" i="44" s="1"/>
  <c r="AH181" i="44"/>
  <c r="AD181" i="44"/>
  <c r="S181" i="44"/>
  <c r="P181" i="44"/>
  <c r="Q181" i="44" s="1"/>
  <c r="K181" i="44"/>
  <c r="AF181" i="44" s="1"/>
  <c r="AH180" i="44"/>
  <c r="AD180" i="44"/>
  <c r="S180" i="44"/>
  <c r="P180" i="44"/>
  <c r="Q180" i="44" s="1"/>
  <c r="K180" i="44"/>
  <c r="AF180" i="44" s="1"/>
  <c r="AH179" i="44"/>
  <c r="AD179" i="44"/>
  <c r="S179" i="44"/>
  <c r="P179" i="44"/>
  <c r="Q179" i="44" s="1"/>
  <c r="K179" i="44"/>
  <c r="AF179" i="44"/>
  <c r="AH176" i="44"/>
  <c r="AD176" i="44"/>
  <c r="S176" i="44"/>
  <c r="P176" i="44"/>
  <c r="Q176" i="44" s="1"/>
  <c r="K176" i="44"/>
  <c r="AF176" i="44" s="1"/>
  <c r="AQ155" i="44"/>
  <c r="AO155" i="44"/>
  <c r="AM155" i="44"/>
  <c r="AK155" i="44"/>
  <c r="AH153" i="44"/>
  <c r="AD153" i="44"/>
  <c r="S153" i="44"/>
  <c r="P153" i="44"/>
  <c r="Q153" i="44" s="1"/>
  <c r="K153" i="44"/>
  <c r="AF153" i="44" s="1"/>
  <c r="AH152" i="44"/>
  <c r="AD152" i="44"/>
  <c r="S152" i="44"/>
  <c r="P152" i="44"/>
  <c r="Q152" i="44" s="1"/>
  <c r="K152" i="44"/>
  <c r="AF152" i="44"/>
  <c r="AH151" i="44"/>
  <c r="AD151" i="44"/>
  <c r="S151" i="44"/>
  <c r="P151" i="44"/>
  <c r="Q151" i="44" s="1"/>
  <c r="K151" i="44"/>
  <c r="AF151" i="44" s="1"/>
  <c r="AH150" i="44"/>
  <c r="AD150" i="44"/>
  <c r="S150" i="44"/>
  <c r="P150" i="44"/>
  <c r="Q150" i="44" s="1"/>
  <c r="K150" i="44"/>
  <c r="AF150" i="44" s="1"/>
  <c r="AH149" i="44"/>
  <c r="AD149" i="44"/>
  <c r="S149" i="44"/>
  <c r="P149" i="44"/>
  <c r="Q149" i="44" s="1"/>
  <c r="K149" i="44"/>
  <c r="AF149" i="44" s="1"/>
  <c r="AH148" i="44"/>
  <c r="AD148" i="44"/>
  <c r="S148" i="44"/>
  <c r="P148" i="44"/>
  <c r="Q148" i="44" s="1"/>
  <c r="K148" i="44"/>
  <c r="AF148" i="44"/>
  <c r="AH147" i="44"/>
  <c r="AD147" i="44"/>
  <c r="S147" i="44"/>
  <c r="P147" i="44"/>
  <c r="Q147" i="44" s="1"/>
  <c r="K147" i="44"/>
  <c r="AF147" i="44" s="1"/>
  <c r="AH146" i="44"/>
  <c r="AD146" i="44"/>
  <c r="S146" i="44"/>
  <c r="P146" i="44"/>
  <c r="Q146" i="44" s="1"/>
  <c r="K146" i="44"/>
  <c r="AF146" i="44" s="1"/>
  <c r="AH145" i="44"/>
  <c r="AD145" i="44"/>
  <c r="S145" i="44"/>
  <c r="P145" i="44"/>
  <c r="Q145" i="44" s="1"/>
  <c r="K145" i="44"/>
  <c r="AF145" i="44" s="1"/>
  <c r="AH144" i="44"/>
  <c r="AD144" i="44"/>
  <c r="S144" i="44"/>
  <c r="P144" i="44"/>
  <c r="Q144" i="44" s="1"/>
  <c r="K144" i="44"/>
  <c r="AF144" i="44" s="1"/>
  <c r="AH143" i="44"/>
  <c r="AD143" i="44"/>
  <c r="S143" i="44"/>
  <c r="P143" i="44"/>
  <c r="Q143" i="44" s="1"/>
  <c r="K143" i="44"/>
  <c r="AF143" i="44" s="1"/>
  <c r="AH142" i="44"/>
  <c r="AD142" i="44"/>
  <c r="S142" i="44"/>
  <c r="P142" i="44"/>
  <c r="Q142" i="44" s="1"/>
  <c r="K142" i="44"/>
  <c r="AF142" i="44" s="1"/>
  <c r="AH141" i="44"/>
  <c r="AD141" i="44"/>
  <c r="S141" i="44"/>
  <c r="P141" i="44"/>
  <c r="Q141" i="44" s="1"/>
  <c r="K141" i="44"/>
  <c r="AF141" i="44" s="1"/>
  <c r="AH140" i="44"/>
  <c r="AD140" i="44"/>
  <c r="S140" i="44"/>
  <c r="P140" i="44"/>
  <c r="Q140" i="44" s="1"/>
  <c r="K140" i="44"/>
  <c r="AF140" i="44" s="1"/>
  <c r="AH139" i="44"/>
  <c r="AD139" i="44"/>
  <c r="S139" i="44"/>
  <c r="P139" i="44"/>
  <c r="Q139" i="44" s="1"/>
  <c r="K139" i="44"/>
  <c r="AF139" i="44" s="1"/>
  <c r="AH138" i="44"/>
  <c r="AD138" i="44"/>
  <c r="S138" i="44"/>
  <c r="P138" i="44"/>
  <c r="Q138" i="44" s="1"/>
  <c r="K138" i="44"/>
  <c r="AF138" i="44" s="1"/>
  <c r="AH137" i="44"/>
  <c r="AD137" i="44"/>
  <c r="S137" i="44"/>
  <c r="P137" i="44"/>
  <c r="Q137" i="44" s="1"/>
  <c r="K137" i="44"/>
  <c r="AF137" i="44" s="1"/>
  <c r="AH136" i="44"/>
  <c r="AD136" i="44"/>
  <c r="S136" i="44"/>
  <c r="N136" i="44"/>
  <c r="N155" i="44" s="1"/>
  <c r="K136" i="44"/>
  <c r="AF136" i="44" s="1"/>
  <c r="AH135" i="44"/>
  <c r="AD135" i="44"/>
  <c r="S135" i="44"/>
  <c r="P135" i="44"/>
  <c r="Q135" i="44" s="1"/>
  <c r="K135" i="44"/>
  <c r="AF135" i="44" s="1"/>
  <c r="AH134" i="44"/>
  <c r="AD134" i="44"/>
  <c r="S134" i="44"/>
  <c r="P134" i="44"/>
  <c r="Q134" i="44" s="1"/>
  <c r="K134" i="44"/>
  <c r="AF134" i="44" s="1"/>
  <c r="AH133" i="44"/>
  <c r="AD133" i="44"/>
  <c r="S133" i="44"/>
  <c r="P133" i="44"/>
  <c r="Q133" i="44" s="1"/>
  <c r="K133" i="44"/>
  <c r="AF133" i="44" s="1"/>
  <c r="AH132" i="44"/>
  <c r="AD132" i="44"/>
  <c r="S132" i="44"/>
  <c r="P132" i="44"/>
  <c r="Q132" i="44" s="1"/>
  <c r="K132" i="44"/>
  <c r="AF132" i="44" s="1"/>
  <c r="AH131" i="44"/>
  <c r="AD131" i="44"/>
  <c r="S131" i="44"/>
  <c r="P131" i="44"/>
  <c r="Q131" i="44" s="1"/>
  <c r="K131" i="44"/>
  <c r="AF131" i="44" s="1"/>
  <c r="AH130" i="44"/>
  <c r="AD130" i="44"/>
  <c r="S130" i="44"/>
  <c r="P130" i="44"/>
  <c r="Q130" i="44" s="1"/>
  <c r="K130" i="44"/>
  <c r="AF130" i="44" s="1"/>
  <c r="AH129" i="44"/>
  <c r="AD129" i="44"/>
  <c r="S129" i="44"/>
  <c r="P129" i="44"/>
  <c r="Q129" i="44" s="1"/>
  <c r="K129" i="44"/>
  <c r="AF129" i="44"/>
  <c r="AH128" i="44"/>
  <c r="AD128" i="44"/>
  <c r="S128" i="44"/>
  <c r="P128" i="44"/>
  <c r="Q128" i="44" s="1"/>
  <c r="K128" i="44"/>
  <c r="AF128" i="44" s="1"/>
  <c r="AH127" i="44"/>
  <c r="AD127" i="44"/>
  <c r="S127" i="44"/>
  <c r="P127" i="44"/>
  <c r="Q127" i="44" s="1"/>
  <c r="K127" i="44"/>
  <c r="AF127" i="44" s="1"/>
  <c r="AH126" i="44"/>
  <c r="AD126" i="44"/>
  <c r="S126" i="44"/>
  <c r="P126" i="44"/>
  <c r="Q126" i="44" s="1"/>
  <c r="K126" i="44"/>
  <c r="AF126" i="44" s="1"/>
  <c r="AH125" i="44"/>
  <c r="AD125" i="44"/>
  <c r="S125" i="44"/>
  <c r="P125" i="44"/>
  <c r="Q125" i="44" s="1"/>
  <c r="K125" i="44"/>
  <c r="AF125" i="44" s="1"/>
  <c r="AH124" i="44"/>
  <c r="AD124" i="44"/>
  <c r="S124" i="44"/>
  <c r="P124" i="44"/>
  <c r="Q124" i="44" s="1"/>
  <c r="K124" i="44"/>
  <c r="AF124" i="44" s="1"/>
  <c r="AQ119" i="44"/>
  <c r="AO119" i="44"/>
  <c r="AM119" i="44"/>
  <c r="AK119" i="44"/>
  <c r="AH117" i="44"/>
  <c r="AG117" i="44"/>
  <c r="AD117" i="44"/>
  <c r="S117" i="44"/>
  <c r="N117" i="44"/>
  <c r="P117" i="44" s="1"/>
  <c r="Q117" i="44" s="1"/>
  <c r="K117" i="44"/>
  <c r="AF117" i="44" s="1"/>
  <c r="AH116" i="44"/>
  <c r="AG116" i="44"/>
  <c r="AD116" i="44"/>
  <c r="S116" i="44"/>
  <c r="P116" i="44"/>
  <c r="Q116" i="44" s="1"/>
  <c r="K116" i="44"/>
  <c r="AF116" i="44" s="1"/>
  <c r="AH115" i="44"/>
  <c r="AG115" i="44"/>
  <c r="AD115" i="44"/>
  <c r="S115" i="44"/>
  <c r="P115" i="44"/>
  <c r="Q115" i="44" s="1"/>
  <c r="K115" i="44"/>
  <c r="AF115" i="44" s="1"/>
  <c r="AH114" i="44"/>
  <c r="AD114" i="44"/>
  <c r="S114" i="44"/>
  <c r="P114" i="44"/>
  <c r="Q114" i="44" s="1"/>
  <c r="K114" i="44"/>
  <c r="AF114" i="44" s="1"/>
  <c r="AH113" i="44"/>
  <c r="AD113" i="44"/>
  <c r="S113" i="44"/>
  <c r="P113" i="44"/>
  <c r="K113" i="44"/>
  <c r="AF113" i="44" s="1"/>
  <c r="AH112" i="44"/>
  <c r="AD112" i="44"/>
  <c r="S112" i="44"/>
  <c r="P112" i="44"/>
  <c r="M165" i="42" s="1"/>
  <c r="K112" i="44"/>
  <c r="AF112" i="44" s="1"/>
  <c r="AQ107" i="44"/>
  <c r="AO107" i="44"/>
  <c r="AM107" i="44"/>
  <c r="AK107" i="44"/>
  <c r="AH105" i="44"/>
  <c r="AD105" i="44"/>
  <c r="S105" i="44"/>
  <c r="P105" i="44"/>
  <c r="Q105" i="44" s="1"/>
  <c r="K105" i="44"/>
  <c r="AF105" i="44" s="1"/>
  <c r="AH104" i="44"/>
  <c r="AD104" i="44"/>
  <c r="S104" i="44"/>
  <c r="N104" i="44"/>
  <c r="P104" i="44" s="1"/>
  <c r="K104" i="44"/>
  <c r="AF104" i="44" s="1"/>
  <c r="AH103" i="44"/>
  <c r="AD103" i="44"/>
  <c r="S103" i="44"/>
  <c r="N103" i="44"/>
  <c r="P103" i="44" s="1"/>
  <c r="Q103" i="44" s="1"/>
  <c r="K103" i="44"/>
  <c r="AF103" i="44" s="1"/>
  <c r="AH102" i="44"/>
  <c r="AD102" i="44"/>
  <c r="S102" i="44"/>
  <c r="P102" i="44"/>
  <c r="Q102" i="44" s="1"/>
  <c r="K102" i="44"/>
  <c r="AF102" i="44" s="1"/>
  <c r="AH101" i="44"/>
  <c r="AD101" i="44"/>
  <c r="S101" i="44"/>
  <c r="P101" i="44"/>
  <c r="Q101" i="44" s="1"/>
  <c r="K101" i="44"/>
  <c r="AF101" i="44" s="1"/>
  <c r="AH100" i="44"/>
  <c r="AD100" i="44"/>
  <c r="S100" i="44"/>
  <c r="P100" i="44"/>
  <c r="Q100" i="44" s="1"/>
  <c r="K100" i="44"/>
  <c r="AF100" i="44" s="1"/>
  <c r="AH99" i="44"/>
  <c r="AD99" i="44"/>
  <c r="S99" i="44"/>
  <c r="P99" i="44"/>
  <c r="Q99" i="44" s="1"/>
  <c r="K99" i="44"/>
  <c r="AF99" i="44" s="1"/>
  <c r="AH98" i="44"/>
  <c r="AD98" i="44"/>
  <c r="S98" i="44"/>
  <c r="P98" i="44"/>
  <c r="Q98" i="44" s="1"/>
  <c r="K98" i="44"/>
  <c r="AF98" i="44" s="1"/>
  <c r="AH97" i="44"/>
  <c r="AD97" i="44"/>
  <c r="S97" i="44"/>
  <c r="N97" i="44"/>
  <c r="P97" i="44" s="1"/>
  <c r="Q97" i="44" s="1"/>
  <c r="K97" i="44"/>
  <c r="AF97" i="44" s="1"/>
  <c r="AH96" i="44"/>
  <c r="AD96" i="44"/>
  <c r="S96" i="44"/>
  <c r="P96" i="44"/>
  <c r="Q96" i="44" s="1"/>
  <c r="K96" i="44"/>
  <c r="AF96" i="44" s="1"/>
  <c r="AH95" i="44"/>
  <c r="AD95" i="44"/>
  <c r="S95" i="44"/>
  <c r="P95" i="44"/>
  <c r="Q95" i="44" s="1"/>
  <c r="K95" i="44"/>
  <c r="AF95" i="44" s="1"/>
  <c r="AH94" i="44"/>
  <c r="AD94" i="44"/>
  <c r="S94" i="44"/>
  <c r="P94" i="44"/>
  <c r="Q94" i="44" s="1"/>
  <c r="K94" i="44"/>
  <c r="AF94" i="44" s="1"/>
  <c r="AH93" i="44"/>
  <c r="AD93" i="44"/>
  <c r="S93" i="44"/>
  <c r="P93" i="44"/>
  <c r="Q93" i="44" s="1"/>
  <c r="K93" i="44"/>
  <c r="AF93" i="44"/>
  <c r="AH92" i="44"/>
  <c r="AD92" i="44"/>
  <c r="S92" i="44"/>
  <c r="P92" i="44"/>
  <c r="Q92" i="44" s="1"/>
  <c r="K92" i="44"/>
  <c r="AF92" i="44" s="1"/>
  <c r="AH91" i="44"/>
  <c r="AG91" i="44"/>
  <c r="AD91" i="44"/>
  <c r="S91" i="44"/>
  <c r="P91" i="44"/>
  <c r="M82" i="42" s="1"/>
  <c r="K91" i="44"/>
  <c r="AF91" i="44" s="1"/>
  <c r="AH90" i="44"/>
  <c r="AD90" i="44"/>
  <c r="S90" i="44"/>
  <c r="P90" i="44"/>
  <c r="Q90" i="44" s="1"/>
  <c r="K90" i="44"/>
  <c r="AF90" i="44" s="1"/>
  <c r="AH89" i="44"/>
  <c r="AD89" i="44"/>
  <c r="S89" i="44"/>
  <c r="P89" i="44"/>
  <c r="Q89" i="44" s="1"/>
  <c r="K89" i="44"/>
  <c r="AF89" i="44" s="1"/>
  <c r="AH88" i="44"/>
  <c r="AD88" i="44"/>
  <c r="S88" i="44"/>
  <c r="P88" i="44"/>
  <c r="Q88" i="44" s="1"/>
  <c r="K88" i="44"/>
  <c r="AF88" i="44" s="1"/>
  <c r="AH87" i="44"/>
  <c r="AD87" i="44"/>
  <c r="S87" i="44"/>
  <c r="P87" i="44"/>
  <c r="Q87" i="44" s="1"/>
  <c r="K87" i="44"/>
  <c r="AF87" i="44" s="1"/>
  <c r="AH86" i="44"/>
  <c r="AD86" i="44"/>
  <c r="S86" i="44"/>
  <c r="P86" i="44"/>
  <c r="Q86" i="44" s="1"/>
  <c r="K86" i="44"/>
  <c r="AF86" i="44" s="1"/>
  <c r="AH85" i="44"/>
  <c r="AD85" i="44"/>
  <c r="S85" i="44"/>
  <c r="P85" i="44"/>
  <c r="Q85" i="44" s="1"/>
  <c r="K85" i="44"/>
  <c r="AF85" i="44" s="1"/>
  <c r="AH84" i="44"/>
  <c r="AD84" i="44"/>
  <c r="S84" i="44"/>
  <c r="P84" i="44"/>
  <c r="Q84" i="44" s="1"/>
  <c r="K84" i="44"/>
  <c r="AF84" i="44" s="1"/>
  <c r="AH83" i="44"/>
  <c r="AD83" i="44"/>
  <c r="S83" i="44"/>
  <c r="P83" i="44"/>
  <c r="Q83" i="44" s="1"/>
  <c r="K83" i="44"/>
  <c r="AF83" i="44" s="1"/>
  <c r="AH82" i="44"/>
  <c r="AD82" i="44"/>
  <c r="S82" i="44"/>
  <c r="P82" i="44"/>
  <c r="Q82" i="44" s="1"/>
  <c r="K82" i="44"/>
  <c r="AF82" i="44" s="1"/>
  <c r="AH81" i="44"/>
  <c r="AD81" i="44"/>
  <c r="S81" i="44"/>
  <c r="P81" i="44"/>
  <c r="Q81" i="44" s="1"/>
  <c r="K81" i="44"/>
  <c r="AF81" i="44" s="1"/>
  <c r="AH80" i="44"/>
  <c r="AD80" i="44"/>
  <c r="S80" i="44"/>
  <c r="P80" i="44"/>
  <c r="Q80" i="44" s="1"/>
  <c r="K80" i="44"/>
  <c r="AF80" i="44" s="1"/>
  <c r="AH79" i="44"/>
  <c r="AD79" i="44"/>
  <c r="S79" i="44"/>
  <c r="P79" i="44"/>
  <c r="Q79" i="44" s="1"/>
  <c r="K79" i="44"/>
  <c r="AF79" i="44" s="1"/>
  <c r="AH78" i="44"/>
  <c r="AD78" i="44"/>
  <c r="S78" i="44"/>
  <c r="P78" i="44"/>
  <c r="Q78" i="44" s="1"/>
  <c r="K78" i="44"/>
  <c r="AF78" i="44" s="1"/>
  <c r="AH77" i="44"/>
  <c r="AD77" i="44"/>
  <c r="S77" i="44"/>
  <c r="P77" i="44"/>
  <c r="Q77" i="44" s="1"/>
  <c r="K77" i="44"/>
  <c r="AF77" i="44" s="1"/>
  <c r="AH76" i="44"/>
  <c r="AD76" i="44"/>
  <c r="S76" i="44"/>
  <c r="P76" i="44"/>
  <c r="Q76" i="44" s="1"/>
  <c r="K76" i="44"/>
  <c r="AF76" i="44" s="1"/>
  <c r="AH75" i="44"/>
  <c r="AD75" i="44"/>
  <c r="S75" i="44"/>
  <c r="P75" i="44"/>
  <c r="Q75" i="44" s="1"/>
  <c r="K75" i="44"/>
  <c r="AF75" i="44" s="1"/>
  <c r="AH74" i="44"/>
  <c r="AD74" i="44"/>
  <c r="S74" i="44"/>
  <c r="P74" i="44"/>
  <c r="Q74" i="44" s="1"/>
  <c r="K74" i="44"/>
  <c r="AF74" i="44" s="1"/>
  <c r="AH73" i="44"/>
  <c r="AD73" i="44"/>
  <c r="S73" i="44"/>
  <c r="P73" i="44"/>
  <c r="Q73" i="44" s="1"/>
  <c r="K73" i="44"/>
  <c r="AF73" i="44" s="1"/>
  <c r="AH72" i="44"/>
  <c r="AD72" i="44"/>
  <c r="S72" i="44"/>
  <c r="P72" i="44"/>
  <c r="Q72" i="44" s="1"/>
  <c r="K72" i="44"/>
  <c r="AF72" i="44" s="1"/>
  <c r="AH71" i="44"/>
  <c r="AD71" i="44"/>
  <c r="S71" i="44"/>
  <c r="P71" i="44"/>
  <c r="Q71" i="44" s="1"/>
  <c r="K71" i="44"/>
  <c r="AF71" i="44" s="1"/>
  <c r="AH70" i="44"/>
  <c r="AD70" i="44"/>
  <c r="S70" i="44"/>
  <c r="P70" i="44"/>
  <c r="Q70" i="44" s="1"/>
  <c r="K70" i="44"/>
  <c r="AF70" i="44" s="1"/>
  <c r="AH69" i="44"/>
  <c r="AD69" i="44"/>
  <c r="S69" i="44"/>
  <c r="P69" i="44"/>
  <c r="Q69" i="44" s="1"/>
  <c r="K69" i="44"/>
  <c r="AF69" i="44" s="1"/>
  <c r="AH68" i="44"/>
  <c r="AD68" i="44"/>
  <c r="S68" i="44"/>
  <c r="P68" i="44"/>
  <c r="Q68" i="44" s="1"/>
  <c r="K68" i="44"/>
  <c r="AF68" i="44" s="1"/>
  <c r="AH67" i="44"/>
  <c r="AD67" i="44"/>
  <c r="S67" i="44"/>
  <c r="P67" i="44"/>
  <c r="Q67" i="44" s="1"/>
  <c r="K67" i="44"/>
  <c r="AF67" i="44" s="1"/>
  <c r="AH66" i="44"/>
  <c r="AD66" i="44"/>
  <c r="S66" i="44"/>
  <c r="P66" i="44"/>
  <c r="Q66" i="44" s="1"/>
  <c r="K66" i="44"/>
  <c r="AF66" i="44" s="1"/>
  <c r="AH65" i="44"/>
  <c r="AD65" i="44"/>
  <c r="S65" i="44"/>
  <c r="P65" i="44"/>
  <c r="Q65" i="44" s="1"/>
  <c r="K65" i="44"/>
  <c r="AF65" i="44" s="1"/>
  <c r="AH64" i="44"/>
  <c r="AD64" i="44"/>
  <c r="S64" i="44"/>
  <c r="P64" i="44"/>
  <c r="Q64" i="44" s="1"/>
  <c r="K64" i="44"/>
  <c r="AF64" i="44" s="1"/>
  <c r="AH63" i="44"/>
  <c r="AD63" i="44"/>
  <c r="S63" i="44"/>
  <c r="P63" i="44"/>
  <c r="M62" i="42" s="1"/>
  <c r="N62" i="42" s="1"/>
  <c r="O62" i="42" s="1"/>
  <c r="P62" i="42" s="1"/>
  <c r="K63" i="44"/>
  <c r="AF63" i="44" s="1"/>
  <c r="AH62" i="44"/>
  <c r="AD62" i="44"/>
  <c r="S62" i="44"/>
  <c r="P62" i="44"/>
  <c r="Q62" i="44" s="1"/>
  <c r="K62" i="44"/>
  <c r="AF62" i="44" s="1"/>
  <c r="AH61" i="44"/>
  <c r="AD61" i="44"/>
  <c r="S61" i="44"/>
  <c r="P61" i="44"/>
  <c r="Q61" i="44" s="1"/>
  <c r="K61" i="44"/>
  <c r="AF61" i="44" s="1"/>
  <c r="AH60" i="44"/>
  <c r="AD60" i="44"/>
  <c r="S60" i="44"/>
  <c r="P60" i="44"/>
  <c r="Q60" i="44" s="1"/>
  <c r="K60" i="44"/>
  <c r="AF60" i="44" s="1"/>
  <c r="AH59" i="44"/>
  <c r="AD59" i="44"/>
  <c r="S59" i="44"/>
  <c r="P59" i="44"/>
  <c r="Q59" i="44" s="1"/>
  <c r="K59" i="44"/>
  <c r="AF59" i="44" s="1"/>
  <c r="AH58" i="44"/>
  <c r="AD58" i="44"/>
  <c r="S58" i="44"/>
  <c r="P58" i="44"/>
  <c r="Q58" i="44" s="1"/>
  <c r="K58" i="44"/>
  <c r="AF58" i="44" s="1"/>
  <c r="AH57" i="44"/>
  <c r="AD57" i="44"/>
  <c r="S57" i="44"/>
  <c r="P57" i="44"/>
  <c r="Q57" i="44" s="1"/>
  <c r="K57" i="44"/>
  <c r="AF57" i="44" s="1"/>
  <c r="AH56" i="44"/>
  <c r="AD56" i="44"/>
  <c r="S56" i="44"/>
  <c r="P56" i="44"/>
  <c r="Q56" i="44" s="1"/>
  <c r="K56" i="44"/>
  <c r="AF56" i="44" s="1"/>
  <c r="AH55" i="44"/>
  <c r="AD55" i="44"/>
  <c r="S55" i="44"/>
  <c r="P55" i="44"/>
  <c r="M56" i="42" s="1"/>
  <c r="N56" i="42" s="1"/>
  <c r="K55" i="44"/>
  <c r="AF55" i="44" s="1"/>
  <c r="AH54" i="44"/>
  <c r="AD54" i="44"/>
  <c r="S54" i="44"/>
  <c r="P54" i="44"/>
  <c r="Q54" i="44" s="1"/>
  <c r="K54" i="44"/>
  <c r="AF54" i="44" s="1"/>
  <c r="AH53" i="44"/>
  <c r="AD53" i="44"/>
  <c r="S53" i="44"/>
  <c r="P53" i="44"/>
  <c r="Q53" i="44" s="1"/>
  <c r="K53" i="44"/>
  <c r="AF53" i="44" s="1"/>
  <c r="AQ48" i="44"/>
  <c r="AO48" i="44"/>
  <c r="AM48" i="44"/>
  <c r="AK48" i="44"/>
  <c r="O48" i="44"/>
  <c r="N48" i="44"/>
  <c r="AH46" i="44"/>
  <c r="AD46" i="44"/>
  <c r="S46" i="44"/>
  <c r="P46" i="44"/>
  <c r="Q46" i="44" s="1"/>
  <c r="K46" i="44"/>
  <c r="AF46" i="44" s="1"/>
  <c r="AH45" i="44"/>
  <c r="AD45" i="44"/>
  <c r="S45" i="44"/>
  <c r="P45" i="44"/>
  <c r="Q45" i="44" s="1"/>
  <c r="K45" i="44"/>
  <c r="AF45" i="44" s="1"/>
  <c r="AH44" i="44"/>
  <c r="AD44" i="44"/>
  <c r="S44" i="44"/>
  <c r="P44" i="44"/>
  <c r="Q44" i="44" s="1"/>
  <c r="K44" i="44"/>
  <c r="AF44" i="44" s="1"/>
  <c r="AH43" i="44"/>
  <c r="AD43" i="44"/>
  <c r="S43" i="44"/>
  <c r="P43" i="44"/>
  <c r="Q43" i="44" s="1"/>
  <c r="K43" i="44"/>
  <c r="AF43" i="44" s="1"/>
  <c r="AH42" i="44"/>
  <c r="AD42" i="44"/>
  <c r="S42" i="44"/>
  <c r="P42" i="44"/>
  <c r="Q42" i="44" s="1"/>
  <c r="K42" i="44"/>
  <c r="AF42" i="44" s="1"/>
  <c r="AH41" i="44"/>
  <c r="AD41" i="44"/>
  <c r="S41" i="44"/>
  <c r="P41" i="44"/>
  <c r="Q41" i="44" s="1"/>
  <c r="K41" i="44"/>
  <c r="AF41" i="44" s="1"/>
  <c r="AH40" i="44"/>
  <c r="AD40" i="44"/>
  <c r="S40" i="44"/>
  <c r="P40" i="44"/>
  <c r="Q40" i="44" s="1"/>
  <c r="K40" i="44"/>
  <c r="AF40" i="44" s="1"/>
  <c r="AH39" i="44"/>
  <c r="AD39" i="44"/>
  <c r="S39" i="44"/>
  <c r="P39" i="44"/>
  <c r="Q39" i="44" s="1"/>
  <c r="K39" i="44"/>
  <c r="AF39" i="44" s="1"/>
  <c r="AH38" i="44"/>
  <c r="AD38" i="44"/>
  <c r="S38" i="44"/>
  <c r="P38" i="44"/>
  <c r="Q38" i="44" s="1"/>
  <c r="K38" i="44"/>
  <c r="AF38" i="44" s="1"/>
  <c r="AH37" i="44"/>
  <c r="AD37" i="44"/>
  <c r="S37" i="44"/>
  <c r="P37" i="44"/>
  <c r="Q37" i="44" s="1"/>
  <c r="K37" i="44"/>
  <c r="AF37" i="44" s="1"/>
  <c r="AH36" i="44"/>
  <c r="AD36" i="44"/>
  <c r="S36" i="44"/>
  <c r="P36" i="44"/>
  <c r="Q36" i="44" s="1"/>
  <c r="K36" i="44"/>
  <c r="AF36" i="44" s="1"/>
  <c r="AH35" i="44"/>
  <c r="AD35" i="44"/>
  <c r="S35" i="44"/>
  <c r="P35" i="44"/>
  <c r="Q35" i="44" s="1"/>
  <c r="K35" i="44"/>
  <c r="AF35" i="44" s="1"/>
  <c r="AH34" i="44"/>
  <c r="AD34" i="44"/>
  <c r="S34" i="44"/>
  <c r="P34" i="44"/>
  <c r="Q34" i="44" s="1"/>
  <c r="K34" i="44"/>
  <c r="AF34" i="44" s="1"/>
  <c r="AH33" i="44"/>
  <c r="AD33" i="44"/>
  <c r="S33" i="44"/>
  <c r="P33" i="44"/>
  <c r="Q33" i="44" s="1"/>
  <c r="K33" i="44"/>
  <c r="AF33" i="44" s="1"/>
  <c r="AH32" i="44"/>
  <c r="AD32" i="44"/>
  <c r="S32" i="44"/>
  <c r="P32" i="44"/>
  <c r="Q32" i="44" s="1"/>
  <c r="K32" i="44"/>
  <c r="AF32" i="44" s="1"/>
  <c r="AH31" i="44"/>
  <c r="AD31" i="44"/>
  <c r="S31" i="44"/>
  <c r="P31" i="44"/>
  <c r="Q31" i="44" s="1"/>
  <c r="K31" i="44"/>
  <c r="AF31" i="44" s="1"/>
  <c r="AH30" i="44"/>
  <c r="AD30" i="44"/>
  <c r="S30" i="44"/>
  <c r="P30" i="44"/>
  <c r="Q30" i="44" s="1"/>
  <c r="K30" i="44"/>
  <c r="AF30" i="44" s="1"/>
  <c r="AH29" i="44"/>
  <c r="AD29" i="44"/>
  <c r="S29" i="44"/>
  <c r="Q29" i="44"/>
  <c r="P29" i="44"/>
  <c r="K29" i="44"/>
  <c r="AF29" i="44" s="1"/>
  <c r="AH28" i="44"/>
  <c r="AD28" i="44"/>
  <c r="S28" i="44"/>
  <c r="P28" i="44"/>
  <c r="Q28" i="44" s="1"/>
  <c r="K28" i="44"/>
  <c r="AF28" i="44" s="1"/>
  <c r="AH27" i="44"/>
  <c r="AD27" i="44"/>
  <c r="S27" i="44"/>
  <c r="P27" i="44"/>
  <c r="Q27" i="44" s="1"/>
  <c r="K27" i="44"/>
  <c r="AF27" i="44" s="1"/>
  <c r="AQ22" i="44"/>
  <c r="AO22" i="44"/>
  <c r="AM22" i="44"/>
  <c r="AM158" i="44" s="1"/>
  <c r="AK22" i="44"/>
  <c r="Z22" i="44"/>
  <c r="W22" i="44"/>
  <c r="U22" i="44"/>
  <c r="T22" i="44"/>
  <c r="S22" i="44"/>
  <c r="O22" i="44"/>
  <c r="N22" i="44"/>
  <c r="M22" i="44"/>
  <c r="AH20" i="44"/>
  <c r="AD20" i="44"/>
  <c r="S20" i="44"/>
  <c r="P20" i="44"/>
  <c r="Q20" i="44" s="1"/>
  <c r="K20" i="44"/>
  <c r="AF20" i="44" s="1"/>
  <c r="AH19" i="44"/>
  <c r="AD19" i="44"/>
  <c r="S19" i="44"/>
  <c r="P19" i="44"/>
  <c r="Q19" i="44" s="1"/>
  <c r="K19" i="44"/>
  <c r="AF19" i="44" s="1"/>
  <c r="AH18" i="44"/>
  <c r="AD18" i="44"/>
  <c r="S18" i="44"/>
  <c r="P18" i="44"/>
  <c r="Q18" i="44" s="1"/>
  <c r="K18" i="44"/>
  <c r="AF18" i="44" s="1"/>
  <c r="AH17" i="44"/>
  <c r="AD17" i="44"/>
  <c r="S17" i="44"/>
  <c r="P17" i="44"/>
  <c r="Q17" i="44" s="1"/>
  <c r="K17" i="44"/>
  <c r="AF17" i="44" s="1"/>
  <c r="AH16" i="44"/>
  <c r="AD16" i="44"/>
  <c r="S16" i="44"/>
  <c r="P16" i="44"/>
  <c r="Q16" i="44" s="1"/>
  <c r="K16" i="44"/>
  <c r="AF16" i="44" s="1"/>
  <c r="AH15" i="44"/>
  <c r="AD15" i="44"/>
  <c r="S15" i="44"/>
  <c r="P15" i="44"/>
  <c r="Q15" i="44" s="1"/>
  <c r="K15" i="44"/>
  <c r="AF15" i="44" s="1"/>
  <c r="AH14" i="44"/>
  <c r="AD14" i="44"/>
  <c r="S14" i="44"/>
  <c r="P14" i="44"/>
  <c r="Q14" i="44" s="1"/>
  <c r="K14" i="44"/>
  <c r="AF14" i="44" s="1"/>
  <c r="AH13" i="44"/>
  <c r="AD13" i="44"/>
  <c r="S13" i="44"/>
  <c r="P13" i="44"/>
  <c r="Q13" i="44" s="1"/>
  <c r="K13" i="44"/>
  <c r="AF13" i="44" s="1"/>
  <c r="AH12" i="44"/>
  <c r="AD12" i="44"/>
  <c r="S12" i="44"/>
  <c r="P12" i="44"/>
  <c r="Q12" i="44" s="1"/>
  <c r="K12" i="44"/>
  <c r="AF12" i="44" s="1"/>
  <c r="X11" i="44"/>
  <c r="AA11" i="44" s="1"/>
  <c r="P4" i="44"/>
  <c r="P3" i="44"/>
  <c r="P2" i="44"/>
  <c r="Q112" i="44"/>
  <c r="AJ117" i="44"/>
  <c r="AP117" i="44" s="1"/>
  <c r="AN117" i="44"/>
  <c r="N325" i="17"/>
  <c r="O325" i="17" s="1"/>
  <c r="M261" i="17"/>
  <c r="N261" i="17" s="1"/>
  <c r="O261" i="17" s="1"/>
  <c r="M218" i="17"/>
  <c r="N218" i="17" s="1"/>
  <c r="O218" i="17" s="1"/>
  <c r="M267" i="17"/>
  <c r="N267" i="17" s="1"/>
  <c r="O267" i="17" s="1"/>
  <c r="J209" i="17"/>
  <c r="I210" i="17" s="1"/>
  <c r="J210" i="17" s="1"/>
  <c r="K210" i="17" s="1"/>
  <c r="J223" i="17"/>
  <c r="J240" i="17"/>
  <c r="J295" i="17"/>
  <c r="K295" i="17" s="1"/>
  <c r="J299" i="17"/>
  <c r="K299" i="17" s="1"/>
  <c r="J219" i="17"/>
  <c r="J302" i="17"/>
  <c r="I303" i="17" s="1"/>
  <c r="J287" i="17"/>
  <c r="K287" i="17" s="1"/>
  <c r="J289" i="17"/>
  <c r="I290" i="17" s="1"/>
  <c r="J290" i="17" s="1"/>
  <c r="K290" i="17" s="1"/>
  <c r="J318" i="17"/>
  <c r="J320" i="17"/>
  <c r="K320" i="17" s="1"/>
  <c r="J304" i="17"/>
  <c r="K304" i="17" s="1"/>
  <c r="J128" i="17"/>
  <c r="K128" i="17" s="1"/>
  <c r="J297" i="17"/>
  <c r="I298" i="17" s="1"/>
  <c r="J298" i="17" s="1"/>
  <c r="K298" i="17" s="1"/>
  <c r="J132" i="17"/>
  <c r="K132" i="17" s="1"/>
  <c r="J301" i="17"/>
  <c r="K301" i="17" s="1"/>
  <c r="J221" i="17"/>
  <c r="K221" i="17" s="1"/>
  <c r="J134" i="17"/>
  <c r="K134" i="17" s="1"/>
  <c r="J136" i="17"/>
  <c r="K136" i="17" s="1"/>
  <c r="J138" i="17"/>
  <c r="K138" i="17" s="1"/>
  <c r="J142" i="17"/>
  <c r="K142" i="17" s="1"/>
  <c r="J143" i="17"/>
  <c r="K143" i="17" s="1"/>
  <c r="J144" i="17"/>
  <c r="K144" i="17" s="1"/>
  <c r="J145" i="17"/>
  <c r="K145" i="17" s="1"/>
  <c r="J211" i="17"/>
  <c r="M301" i="17"/>
  <c r="N301" i="17" s="1"/>
  <c r="O301" i="17" s="1"/>
  <c r="M221" i="17"/>
  <c r="N221" i="17" s="1"/>
  <c r="O221" i="17" s="1"/>
  <c r="M138" i="17"/>
  <c r="N138" i="17" s="1"/>
  <c r="O138" i="17" s="1"/>
  <c r="M144" i="17"/>
  <c r="N144" i="17" s="1"/>
  <c r="O144" i="17" s="1"/>
  <c r="J226" i="17"/>
  <c r="J228" i="17"/>
  <c r="J85" i="17"/>
  <c r="K85" i="17" s="1"/>
  <c r="J87" i="17"/>
  <c r="K87" i="17" s="1"/>
  <c r="J333" i="17"/>
  <c r="I334" i="17" s="1"/>
  <c r="J334" i="17" s="1"/>
  <c r="K334" i="17" s="1"/>
  <c r="J89" i="17"/>
  <c r="K89" i="17" s="1"/>
  <c r="J91" i="17"/>
  <c r="K91" i="17" s="1"/>
  <c r="J93" i="17"/>
  <c r="K93" i="17" s="1"/>
  <c r="J95" i="17"/>
  <c r="J96" i="17" s="1"/>
  <c r="K96" i="17" s="1"/>
  <c r="J97" i="17"/>
  <c r="K97" i="17" s="1"/>
  <c r="J308" i="17"/>
  <c r="K308" i="17" s="1"/>
  <c r="J309" i="17"/>
  <c r="K309" i="17" s="1"/>
  <c r="J235" i="17"/>
  <c r="K235" i="17" s="1"/>
  <c r="J236" i="17"/>
  <c r="K236" i="17" s="1"/>
  <c r="J99" i="17"/>
  <c r="K99" i="17" s="1"/>
  <c r="J237" i="17"/>
  <c r="K237" i="17" s="1"/>
  <c r="J327" i="17"/>
  <c r="K327" i="17" s="1"/>
  <c r="J100" i="17"/>
  <c r="K100" i="17" s="1"/>
  <c r="J101" i="17"/>
  <c r="K101" i="17" s="1"/>
  <c r="J102" i="17"/>
  <c r="K102" i="17" s="1"/>
  <c r="J103" i="17"/>
  <c r="K103" i="17" s="1"/>
  <c r="J104" i="17"/>
  <c r="K104" i="17" s="1"/>
  <c r="J105" i="17"/>
  <c r="K105" i="17" s="1"/>
  <c r="J310" i="17"/>
  <c r="K310" i="17" s="1"/>
  <c r="J106" i="17"/>
  <c r="K106" i="17" s="1"/>
  <c r="J107" i="17"/>
  <c r="K107" i="17" s="1"/>
  <c r="J108" i="17"/>
  <c r="K108" i="17" s="1"/>
  <c r="J109" i="17"/>
  <c r="K109" i="17" s="1"/>
  <c r="J110" i="17"/>
  <c r="K110" i="17" s="1"/>
  <c r="J233" i="17"/>
  <c r="M308" i="17"/>
  <c r="N308" i="17" s="1"/>
  <c r="O308" i="17" s="1"/>
  <c r="M309" i="17"/>
  <c r="N309" i="17" s="1"/>
  <c r="O309" i="17" s="1"/>
  <c r="M235" i="17"/>
  <c r="N235" i="17" s="1"/>
  <c r="O235" i="17" s="1"/>
  <c r="M236" i="17"/>
  <c r="N236" i="17" s="1"/>
  <c r="O236" i="17" s="1"/>
  <c r="M237" i="17"/>
  <c r="N237" i="17" s="1"/>
  <c r="O237" i="17" s="1"/>
  <c r="M327" i="17"/>
  <c r="N327" i="17" s="1"/>
  <c r="O327" i="17" s="1"/>
  <c r="M100" i="17"/>
  <c r="N100" i="17" s="1"/>
  <c r="O100" i="17" s="1"/>
  <c r="M101" i="17"/>
  <c r="N101" i="17" s="1"/>
  <c r="O101" i="17" s="1"/>
  <c r="M102" i="17"/>
  <c r="N102" i="17" s="1"/>
  <c r="O102" i="17" s="1"/>
  <c r="M103" i="17"/>
  <c r="N103" i="17" s="1"/>
  <c r="O103" i="17" s="1"/>
  <c r="M104" i="17"/>
  <c r="N104" i="17" s="1"/>
  <c r="O104" i="17" s="1"/>
  <c r="M105" i="17"/>
  <c r="N105" i="17" s="1"/>
  <c r="O105" i="17" s="1"/>
  <c r="M310" i="17"/>
  <c r="N310" i="17" s="1"/>
  <c r="O310" i="17" s="1"/>
  <c r="M106" i="17"/>
  <c r="N106" i="17" s="1"/>
  <c r="O106" i="17" s="1"/>
  <c r="M108" i="17"/>
  <c r="N108" i="17" s="1"/>
  <c r="O108" i="17" s="1"/>
  <c r="M109" i="17"/>
  <c r="N109" i="17" s="1"/>
  <c r="O109" i="17" s="1"/>
  <c r="M110" i="17"/>
  <c r="N110" i="17" s="1"/>
  <c r="O110" i="17" s="1"/>
  <c r="J213" i="17"/>
  <c r="J215" i="17"/>
  <c r="K215" i="17" s="1"/>
  <c r="J13" i="17"/>
  <c r="K13" i="17" s="1"/>
  <c r="J263" i="17"/>
  <c r="J326" i="17"/>
  <c r="J245" i="17"/>
  <c r="J247" i="17"/>
  <c r="J176" i="17"/>
  <c r="K176" i="17" s="1"/>
  <c r="J177" i="17"/>
  <c r="J268" i="17"/>
  <c r="J311" i="17"/>
  <c r="K311" i="17" s="1"/>
  <c r="J178" i="17"/>
  <c r="J279" i="17"/>
  <c r="J179" i="17"/>
  <c r="K179" i="17" s="1"/>
  <c r="J281" i="17"/>
  <c r="I282" i="17" s="1"/>
  <c r="J282" i="17" s="1"/>
  <c r="K282" i="17" s="1"/>
  <c r="J180" i="17"/>
  <c r="K180" i="17" s="1"/>
  <c r="J283" i="17"/>
  <c r="J285" i="17"/>
  <c r="K285" i="17" s="1"/>
  <c r="J271" i="17"/>
  <c r="J291" i="17"/>
  <c r="K291" i="17" s="1"/>
  <c r="J242" i="17"/>
  <c r="J181" i="17"/>
  <c r="K181" i="17" s="1"/>
  <c r="J322" i="17"/>
  <c r="K322" i="17" s="1"/>
  <c r="J17" i="17"/>
  <c r="K17" i="17" s="1"/>
  <c r="J19" i="17"/>
  <c r="K19" i="17" s="1"/>
  <c r="J21" i="17"/>
  <c r="J22" i="17" s="1"/>
  <c r="K22" i="17" s="1"/>
  <c r="J230" i="17"/>
  <c r="J164" i="17"/>
  <c r="J277" i="17"/>
  <c r="K277" i="17" s="1"/>
  <c r="J162" i="17"/>
  <c r="K162" i="17" s="1"/>
  <c r="J270" i="17"/>
  <c r="K270" i="17" s="1"/>
  <c r="J23" i="17"/>
  <c r="K23" i="17" s="1"/>
  <c r="J222" i="17"/>
  <c r="K222" i="17" s="1"/>
  <c r="J25" i="17"/>
  <c r="K25" i="17" s="1"/>
  <c r="J26" i="17"/>
  <c r="K26" i="17" s="1"/>
  <c r="J28" i="17"/>
  <c r="J30" i="17"/>
  <c r="K30" i="17" s="1"/>
  <c r="J32" i="17"/>
  <c r="K32" i="17" s="1"/>
  <c r="J166" i="17"/>
  <c r="J167" i="17" s="1"/>
  <c r="K167" i="17" s="1"/>
  <c r="J33" i="17"/>
  <c r="K33" i="17" s="1"/>
  <c r="J35" i="17"/>
  <c r="K35" i="17" s="1"/>
  <c r="J137" i="17"/>
  <c r="K137" i="17" s="1"/>
  <c r="J186" i="17"/>
  <c r="K186" i="17" s="1"/>
  <c r="J187" i="17"/>
  <c r="K187" i="17" s="1"/>
  <c r="J328" i="17"/>
  <c r="K328" i="17" s="1"/>
  <c r="J159" i="17"/>
  <c r="K159" i="17" s="1"/>
  <c r="J139" i="17"/>
  <c r="K139" i="17" s="1"/>
  <c r="J140" i="17"/>
  <c r="K140" i="17" s="1"/>
  <c r="J141" i="17"/>
  <c r="K141" i="17" s="1"/>
  <c r="J36" i="17"/>
  <c r="K36" i="17" s="1"/>
  <c r="J37" i="17"/>
  <c r="K37" i="17" s="1"/>
  <c r="J276" i="17"/>
  <c r="K276" i="17" s="1"/>
  <c r="J232" i="17"/>
  <c r="K232" i="17" s="1"/>
  <c r="J38" i="17"/>
  <c r="K38" i="17" s="1"/>
  <c r="Q38" i="17" s="1"/>
  <c r="J244" i="17"/>
  <c r="K244" i="17" s="1"/>
  <c r="J39" i="17"/>
  <c r="K39" i="17" s="1"/>
  <c r="J40" i="17"/>
  <c r="K40" i="17" s="1"/>
  <c r="Q40" i="17" s="1"/>
  <c r="M270" i="17"/>
  <c r="N270" i="17" s="1"/>
  <c r="O270" i="17" s="1"/>
  <c r="M222" i="17"/>
  <c r="N222" i="17" s="1"/>
  <c r="O222" i="17" s="1"/>
  <c r="M25" i="17"/>
  <c r="N25" i="17" s="1"/>
  <c r="O25" i="17" s="1"/>
  <c r="N186" i="17"/>
  <c r="O186" i="17" s="1"/>
  <c r="M187" i="17"/>
  <c r="N187" i="17" s="1"/>
  <c r="O187" i="17" s="1"/>
  <c r="M328" i="17"/>
  <c r="N328" i="17" s="1"/>
  <c r="O328" i="17" s="1"/>
  <c r="M159" i="17"/>
  <c r="M139" i="17"/>
  <c r="N139" i="17" s="1"/>
  <c r="O139" i="17" s="1"/>
  <c r="M140" i="17"/>
  <c r="N140" i="17" s="1"/>
  <c r="O140" i="17" s="1"/>
  <c r="M36" i="17"/>
  <c r="N36" i="17" s="1"/>
  <c r="O36" i="17" s="1"/>
  <c r="M37" i="17"/>
  <c r="N37" i="17" s="1"/>
  <c r="O37" i="17" s="1"/>
  <c r="M276" i="17"/>
  <c r="N276" i="17" s="1"/>
  <c r="O276" i="17" s="1"/>
  <c r="M38" i="17"/>
  <c r="N38" i="17" s="1"/>
  <c r="O38" i="17" s="1"/>
  <c r="M244" i="17"/>
  <c r="N244" i="17" s="1"/>
  <c r="O244" i="17" s="1"/>
  <c r="M40" i="17"/>
  <c r="N40" i="17" s="1"/>
  <c r="O40" i="17" s="1"/>
  <c r="J238" i="17"/>
  <c r="AH277" i="43"/>
  <c r="AG277" i="43"/>
  <c r="AE277" i="43"/>
  <c r="AD277" i="43"/>
  <c r="S277" i="43"/>
  <c r="P277" i="43"/>
  <c r="Q277" i="43" s="1"/>
  <c r="K277" i="43"/>
  <c r="AF277" i="43" s="1"/>
  <c r="AH272" i="43"/>
  <c r="AG272" i="43"/>
  <c r="AE272" i="43"/>
  <c r="AD272" i="43"/>
  <c r="S272" i="43"/>
  <c r="P272" i="43"/>
  <c r="Q272" i="43"/>
  <c r="K272" i="43"/>
  <c r="AF272" i="43" s="1"/>
  <c r="AH271" i="43"/>
  <c r="AG271" i="43"/>
  <c r="AE271" i="43"/>
  <c r="AD271" i="43"/>
  <c r="S271" i="43"/>
  <c r="P271" i="43"/>
  <c r="Q271" i="43" s="1"/>
  <c r="K271" i="43"/>
  <c r="AF271" i="43" s="1"/>
  <c r="AH270" i="43"/>
  <c r="AG270" i="43"/>
  <c r="AE270" i="43"/>
  <c r="AD270" i="43"/>
  <c r="S270" i="43"/>
  <c r="P270" i="43"/>
  <c r="Q270" i="43"/>
  <c r="K270" i="43"/>
  <c r="AF270" i="43" s="1"/>
  <c r="AH269" i="43"/>
  <c r="AG269" i="43"/>
  <c r="AE269" i="43"/>
  <c r="AD269" i="43"/>
  <c r="X269" i="43" s="1"/>
  <c r="Y269" i="43" s="1"/>
  <c r="AA269" i="43" s="1"/>
  <c r="S269" i="43"/>
  <c r="P269" i="43"/>
  <c r="Q269" i="43" s="1"/>
  <c r="K269" i="43"/>
  <c r="AF269" i="43" s="1"/>
  <c r="AH268" i="43"/>
  <c r="AG268" i="43"/>
  <c r="AE268" i="43"/>
  <c r="AD268" i="43"/>
  <c r="S268" i="43"/>
  <c r="P268" i="43"/>
  <c r="K268" i="43"/>
  <c r="AF268" i="43" s="1"/>
  <c r="R268" i="43" s="1"/>
  <c r="V268" i="43" s="1"/>
  <c r="AH267" i="43"/>
  <c r="AG267" i="43"/>
  <c r="AE267" i="43"/>
  <c r="AD267" i="43"/>
  <c r="S267" i="43"/>
  <c r="P267" i="43"/>
  <c r="Q267" i="43" s="1"/>
  <c r="R267" i="43" s="1"/>
  <c r="K267" i="43"/>
  <c r="AF267" i="43" s="1"/>
  <c r="AH266" i="43"/>
  <c r="AG266" i="43"/>
  <c r="AE266" i="43"/>
  <c r="AD266" i="43"/>
  <c r="S266" i="43"/>
  <c r="P266" i="43"/>
  <c r="Q266" i="43" s="1"/>
  <c r="K266" i="43"/>
  <c r="AF266" i="43" s="1"/>
  <c r="AH265" i="43"/>
  <c r="AG265" i="43"/>
  <c r="AE265" i="43"/>
  <c r="AD265" i="43"/>
  <c r="S265" i="43"/>
  <c r="P265" i="43"/>
  <c r="Q265" i="43" s="1"/>
  <c r="K265" i="43"/>
  <c r="AF265" i="43" s="1"/>
  <c r="AH262" i="43"/>
  <c r="AG262" i="43"/>
  <c r="AE262" i="43"/>
  <c r="AD262" i="43"/>
  <c r="X262" i="43" s="1"/>
  <c r="Y262" i="43" s="1"/>
  <c r="AA262" i="43" s="1"/>
  <c r="S262" i="43"/>
  <c r="P262" i="43"/>
  <c r="Q262" i="43" s="1"/>
  <c r="K262" i="43"/>
  <c r="AF262" i="43" s="1"/>
  <c r="AH261" i="43"/>
  <c r="AG261" i="43"/>
  <c r="AE261" i="43"/>
  <c r="AD261" i="43"/>
  <c r="S261" i="43"/>
  <c r="P261" i="43"/>
  <c r="Q261" i="43" s="1"/>
  <c r="K261" i="43"/>
  <c r="AF261" i="43" s="1"/>
  <c r="AH260" i="43"/>
  <c r="AG260" i="43"/>
  <c r="AE260" i="43"/>
  <c r="R260" i="43" s="1"/>
  <c r="AD260" i="43"/>
  <c r="S260" i="43"/>
  <c r="P260" i="43"/>
  <c r="Q260" i="43" s="1"/>
  <c r="K260" i="43"/>
  <c r="AF260" i="43" s="1"/>
  <c r="AH259" i="43"/>
  <c r="AG259" i="43"/>
  <c r="AF259" i="43"/>
  <c r="AE259" i="43"/>
  <c r="AD259" i="43"/>
  <c r="S259" i="43"/>
  <c r="N259" i="43"/>
  <c r="P259" i="43" s="1"/>
  <c r="Q259" i="43" s="1"/>
  <c r="K259" i="43"/>
  <c r="AH258" i="43"/>
  <c r="AG258" i="43"/>
  <c r="AE258" i="43"/>
  <c r="AD258" i="43"/>
  <c r="S258" i="43"/>
  <c r="P258" i="43"/>
  <c r="Q258" i="43" s="1"/>
  <c r="K258" i="43"/>
  <c r="AF258" i="43" s="1"/>
  <c r="AH257" i="43"/>
  <c r="AG257" i="43"/>
  <c r="AE257" i="43"/>
  <c r="AD257" i="43"/>
  <c r="S257" i="43"/>
  <c r="P257" i="43"/>
  <c r="Q257" i="43"/>
  <c r="K257" i="43"/>
  <c r="AF257" i="43" s="1"/>
  <c r="AH256" i="43"/>
  <c r="AG256" i="43"/>
  <c r="AE256" i="43"/>
  <c r="AD256" i="43"/>
  <c r="S256" i="43"/>
  <c r="P256" i="43"/>
  <c r="Q256" i="43" s="1"/>
  <c r="K256" i="43"/>
  <c r="AF256" i="43" s="1"/>
  <c r="AH255" i="43"/>
  <c r="AG255" i="43"/>
  <c r="AE255" i="43"/>
  <c r="AD255" i="43"/>
  <c r="S255" i="43"/>
  <c r="P255" i="43"/>
  <c r="Q255" i="43" s="1"/>
  <c r="K255" i="43"/>
  <c r="AF255" i="43" s="1"/>
  <c r="AH254" i="43"/>
  <c r="AG254" i="43"/>
  <c r="AE254" i="43"/>
  <c r="AD254" i="43"/>
  <c r="S254" i="43"/>
  <c r="P254" i="43"/>
  <c r="Q254" i="43" s="1"/>
  <c r="K254" i="43"/>
  <c r="AF254" i="43" s="1"/>
  <c r="AH253" i="43"/>
  <c r="AG253" i="43"/>
  <c r="R253" i="43" s="1"/>
  <c r="V253" i="43" s="1"/>
  <c r="AE253" i="43"/>
  <c r="AD253" i="43"/>
  <c r="S253" i="43"/>
  <c r="P253" i="43"/>
  <c r="Q253" i="43" s="1"/>
  <c r="K253" i="43"/>
  <c r="AF253" i="43" s="1"/>
  <c r="AH252" i="43"/>
  <c r="AG252" i="43"/>
  <c r="AE252" i="43"/>
  <c r="AD252" i="43"/>
  <c r="S252" i="43"/>
  <c r="P252" i="43"/>
  <c r="Q252" i="43" s="1"/>
  <c r="K252" i="43"/>
  <c r="AF252" i="43"/>
  <c r="AH251" i="43"/>
  <c r="AG251" i="43"/>
  <c r="AE251" i="43"/>
  <c r="AD251" i="43"/>
  <c r="S251" i="43"/>
  <c r="P251" i="43"/>
  <c r="Q251" i="43" s="1"/>
  <c r="K251" i="43"/>
  <c r="AF251" i="43"/>
  <c r="AH250" i="43"/>
  <c r="AG250" i="43"/>
  <c r="AE250" i="43"/>
  <c r="AD250" i="43"/>
  <c r="S250" i="43"/>
  <c r="P250" i="43"/>
  <c r="Q250" i="43" s="1"/>
  <c r="K250" i="43"/>
  <c r="AF250" i="43" s="1"/>
  <c r="AH249" i="43"/>
  <c r="AG249" i="43"/>
  <c r="AE249" i="43"/>
  <c r="AD249" i="43"/>
  <c r="R249" i="43" s="1"/>
  <c r="V249" i="43" s="1"/>
  <c r="S249" i="43"/>
  <c r="N249" i="43"/>
  <c r="P249" i="43" s="1"/>
  <c r="Q249" i="43" s="1"/>
  <c r="K249" i="43"/>
  <c r="AF249" i="43" s="1"/>
  <c r="AH248" i="43"/>
  <c r="AG248" i="43"/>
  <c r="AE248" i="43"/>
  <c r="AD248" i="43"/>
  <c r="S248" i="43"/>
  <c r="P248" i="43"/>
  <c r="Q248" i="43" s="1"/>
  <c r="K248" i="43"/>
  <c r="AF248" i="43" s="1"/>
  <c r="AH247" i="43"/>
  <c r="AG247" i="43"/>
  <c r="AE247" i="43"/>
  <c r="AD247" i="43"/>
  <c r="S247" i="43"/>
  <c r="P247" i="43"/>
  <c r="Q247" i="43" s="1"/>
  <c r="K247" i="43"/>
  <c r="AF247" i="43" s="1"/>
  <c r="AH246" i="43"/>
  <c r="AG246" i="43"/>
  <c r="AE246" i="43"/>
  <c r="AD246" i="43"/>
  <c r="S246" i="43"/>
  <c r="P246" i="43"/>
  <c r="Q246" i="43" s="1"/>
  <c r="K246" i="43"/>
  <c r="AF246" i="43" s="1"/>
  <c r="R246" i="43" s="1"/>
  <c r="T246" i="43" s="1"/>
  <c r="AH245" i="43"/>
  <c r="AG245" i="43"/>
  <c r="AE245" i="43"/>
  <c r="AD245" i="43"/>
  <c r="S245" i="43"/>
  <c r="P245" i="43"/>
  <c r="Q245" i="43" s="1"/>
  <c r="K245" i="43"/>
  <c r="AF245" i="43" s="1"/>
  <c r="AH239" i="43"/>
  <c r="AG239" i="43"/>
  <c r="AE239" i="43"/>
  <c r="AD239" i="43"/>
  <c r="S239" i="43"/>
  <c r="P239" i="43"/>
  <c r="Q239" i="43" s="1"/>
  <c r="K239" i="43"/>
  <c r="AF239" i="43" s="1"/>
  <c r="AH238" i="43"/>
  <c r="AG238" i="43"/>
  <c r="R238" i="43" s="1"/>
  <c r="AE238" i="43"/>
  <c r="AD238" i="43"/>
  <c r="S238" i="43"/>
  <c r="P238" i="43"/>
  <c r="Q238" i="43"/>
  <c r="K238" i="43"/>
  <c r="AF238" i="43" s="1"/>
  <c r="AH237" i="43"/>
  <c r="AG237" i="43"/>
  <c r="R237" i="43" s="1"/>
  <c r="AE237" i="43"/>
  <c r="AD237" i="43"/>
  <c r="S237" i="43"/>
  <c r="P237" i="43"/>
  <c r="Q237" i="43"/>
  <c r="K237" i="43"/>
  <c r="AF237" i="43" s="1"/>
  <c r="AH236" i="43"/>
  <c r="AG236" i="43"/>
  <c r="R236" i="43" s="1"/>
  <c r="V236" i="43" s="1"/>
  <c r="AE236" i="43"/>
  <c r="AD236" i="43"/>
  <c r="S236" i="43"/>
  <c r="P236" i="43"/>
  <c r="Q236" i="43" s="1"/>
  <c r="K236" i="43"/>
  <c r="AF236" i="43" s="1"/>
  <c r="AH235" i="43"/>
  <c r="AG235" i="43"/>
  <c r="AE235" i="43"/>
  <c r="AD235" i="43"/>
  <c r="S235" i="43"/>
  <c r="P235" i="43"/>
  <c r="Q235" i="43"/>
  <c r="K235" i="43"/>
  <c r="AF235" i="43" s="1"/>
  <c r="AH234" i="43"/>
  <c r="AG234" i="43"/>
  <c r="AE234" i="43"/>
  <c r="X234" i="43" s="1"/>
  <c r="Y234" i="43" s="1"/>
  <c r="AA234" i="43" s="1"/>
  <c r="AD234" i="43"/>
  <c r="S234" i="43"/>
  <c r="P234" i="43"/>
  <c r="Q234" i="43" s="1"/>
  <c r="K234" i="43"/>
  <c r="AF234" i="43" s="1"/>
  <c r="AH233" i="43"/>
  <c r="AG233" i="43"/>
  <c r="AE233" i="43"/>
  <c r="AD233" i="43"/>
  <c r="X233" i="43" s="1"/>
  <c r="Y233" i="43" s="1"/>
  <c r="AA233" i="43" s="1"/>
  <c r="S233" i="43"/>
  <c r="P233" i="43"/>
  <c r="Q233" i="43" s="1"/>
  <c r="K233" i="43"/>
  <c r="AF233" i="43"/>
  <c r="AH232" i="43"/>
  <c r="AG232" i="43"/>
  <c r="AE232" i="43"/>
  <c r="AD232" i="43"/>
  <c r="S232" i="43"/>
  <c r="P232" i="43"/>
  <c r="Q232" i="43" s="1"/>
  <c r="K232" i="43"/>
  <c r="AF232" i="43"/>
  <c r="AH227" i="43"/>
  <c r="AG227" i="43"/>
  <c r="AE227" i="43"/>
  <c r="AD227" i="43"/>
  <c r="S227" i="43"/>
  <c r="P227" i="43"/>
  <c r="Q227" i="43" s="1"/>
  <c r="K227" i="43"/>
  <c r="AF227" i="43" s="1"/>
  <c r="AH226" i="43"/>
  <c r="AG226" i="43"/>
  <c r="R226" i="43" s="1"/>
  <c r="AE226" i="43"/>
  <c r="AD226" i="43"/>
  <c r="S226" i="43"/>
  <c r="T226" i="43" s="1"/>
  <c r="P226" i="43"/>
  <c r="Q226" i="43" s="1"/>
  <c r="K226" i="43"/>
  <c r="AF226" i="43" s="1"/>
  <c r="AH225" i="43"/>
  <c r="AG225" i="43"/>
  <c r="AE225" i="43"/>
  <c r="R225" i="43" s="1"/>
  <c r="V225" i="43" s="1"/>
  <c r="AD225" i="43"/>
  <c r="S225" i="43"/>
  <c r="P225" i="43"/>
  <c r="Q225" i="43" s="1"/>
  <c r="K225" i="43"/>
  <c r="AF225" i="43" s="1"/>
  <c r="AH224" i="43"/>
  <c r="AG224" i="43"/>
  <c r="AE224" i="43"/>
  <c r="AD224" i="43"/>
  <c r="S224" i="43"/>
  <c r="P224" i="43"/>
  <c r="Q224" i="43" s="1"/>
  <c r="K224" i="43"/>
  <c r="AF224" i="43" s="1"/>
  <c r="AH223" i="43"/>
  <c r="AG223" i="43"/>
  <c r="AE223" i="43"/>
  <c r="AD223" i="43"/>
  <c r="S223" i="43"/>
  <c r="P223" i="43"/>
  <c r="Q223" i="43" s="1"/>
  <c r="K223" i="43"/>
  <c r="AF223" i="43" s="1"/>
  <c r="AH222" i="43"/>
  <c r="AG222" i="43"/>
  <c r="AE222" i="43"/>
  <c r="AD222" i="43"/>
  <c r="R222" i="43" s="1"/>
  <c r="S222" i="43"/>
  <c r="P222" i="43"/>
  <c r="Q222" i="43" s="1"/>
  <c r="K222" i="43"/>
  <c r="AF222" i="43" s="1"/>
  <c r="AH221" i="43"/>
  <c r="AG221" i="43"/>
  <c r="AE221" i="43"/>
  <c r="AD221" i="43"/>
  <c r="S221" i="43"/>
  <c r="P221" i="43"/>
  <c r="Q221" i="43" s="1"/>
  <c r="K221" i="43"/>
  <c r="AF221" i="43" s="1"/>
  <c r="AH220" i="43"/>
  <c r="AG220" i="43"/>
  <c r="AE220" i="43"/>
  <c r="AD220" i="43"/>
  <c r="S220" i="43"/>
  <c r="P220" i="43"/>
  <c r="K220" i="43"/>
  <c r="AF220" i="43" s="1"/>
  <c r="R220" i="43" s="1"/>
  <c r="AH219" i="43"/>
  <c r="AG219" i="43"/>
  <c r="AE219" i="43"/>
  <c r="AD219" i="43"/>
  <c r="S219" i="43"/>
  <c r="P219" i="43"/>
  <c r="K219" i="43"/>
  <c r="AF219" i="43" s="1"/>
  <c r="AH218" i="43"/>
  <c r="AG218" i="43"/>
  <c r="AE218" i="43"/>
  <c r="AD218" i="43"/>
  <c r="S218" i="43"/>
  <c r="P218" i="43"/>
  <c r="Q218" i="43" s="1"/>
  <c r="K218" i="43"/>
  <c r="AF218" i="43" s="1"/>
  <c r="AH217" i="43"/>
  <c r="AG217" i="43"/>
  <c r="X217" i="43" s="1"/>
  <c r="Y217" i="43" s="1"/>
  <c r="AA217" i="43" s="1"/>
  <c r="AE217" i="43"/>
  <c r="AD217" i="43"/>
  <c r="S217" i="43"/>
  <c r="P217" i="43"/>
  <c r="Q217" i="43" s="1"/>
  <c r="K217" i="43"/>
  <c r="AF217" i="43" s="1"/>
  <c r="AH214" i="43"/>
  <c r="AG214" i="43"/>
  <c r="AE214" i="43"/>
  <c r="AD214" i="43"/>
  <c r="S214" i="43"/>
  <c r="P214" i="43"/>
  <c r="Q214" i="43" s="1"/>
  <c r="K214" i="43"/>
  <c r="AF214" i="43" s="1"/>
  <c r="AH211" i="43"/>
  <c r="AG211" i="43"/>
  <c r="AE211" i="43"/>
  <c r="AD211" i="43"/>
  <c r="X211" i="43" s="1"/>
  <c r="Y211" i="43" s="1"/>
  <c r="AA211" i="43" s="1"/>
  <c r="S211" i="43"/>
  <c r="P211" i="43"/>
  <c r="Q211" i="43"/>
  <c r="K211" i="43"/>
  <c r="AF211" i="43"/>
  <c r="AH210" i="43"/>
  <c r="AG210" i="43"/>
  <c r="AE210" i="43"/>
  <c r="AD210" i="43"/>
  <c r="S210" i="43"/>
  <c r="P210" i="43"/>
  <c r="Q210" i="43" s="1"/>
  <c r="K210" i="43"/>
  <c r="AF210" i="43" s="1"/>
  <c r="AH209" i="43"/>
  <c r="AG209" i="43"/>
  <c r="AE209" i="43"/>
  <c r="AD209" i="43"/>
  <c r="R209" i="43" s="1"/>
  <c r="S209" i="43"/>
  <c r="P209" i="43"/>
  <c r="Q209" i="43" s="1"/>
  <c r="K209" i="43"/>
  <c r="AF209" i="43" s="1"/>
  <c r="AH208" i="43"/>
  <c r="AG208" i="43"/>
  <c r="AE208" i="43"/>
  <c r="AD208" i="43"/>
  <c r="S208" i="43"/>
  <c r="P208" i="43"/>
  <c r="Q208" i="43" s="1"/>
  <c r="K208" i="43"/>
  <c r="AF208" i="43"/>
  <c r="AH207" i="43"/>
  <c r="AG207" i="43"/>
  <c r="AE207" i="43"/>
  <c r="AD207" i="43"/>
  <c r="S207" i="43"/>
  <c r="T207" i="43" s="1"/>
  <c r="P207" i="43"/>
  <c r="Q207" i="43" s="1"/>
  <c r="K207" i="43"/>
  <c r="AF207" i="43" s="1"/>
  <c r="AH203" i="43"/>
  <c r="AG203" i="43"/>
  <c r="AE203" i="43"/>
  <c r="AD203" i="43"/>
  <c r="S203" i="43"/>
  <c r="P203" i="43"/>
  <c r="Q203" i="43" s="1"/>
  <c r="K203" i="43"/>
  <c r="AF203" i="43" s="1"/>
  <c r="AH185" i="43"/>
  <c r="AG185" i="43"/>
  <c r="AE185" i="43"/>
  <c r="AD185" i="43"/>
  <c r="S185" i="43"/>
  <c r="N185" i="43"/>
  <c r="K185" i="43"/>
  <c r="AF185" i="43" s="1"/>
  <c r="AH184" i="43"/>
  <c r="AG184" i="43"/>
  <c r="AE184" i="43"/>
  <c r="AD184" i="43"/>
  <c r="S184" i="43"/>
  <c r="N184" i="43"/>
  <c r="P184" i="43" s="1"/>
  <c r="Q184" i="43" s="1"/>
  <c r="K184" i="43"/>
  <c r="AF184" i="43" s="1"/>
  <c r="AH183" i="43"/>
  <c r="AG183" i="43"/>
  <c r="AE183" i="43"/>
  <c r="AD183" i="43"/>
  <c r="S183" i="43"/>
  <c r="P183" i="43"/>
  <c r="K183" i="43"/>
  <c r="AF183" i="43" s="1"/>
  <c r="AP183" i="43" s="1"/>
  <c r="AH182" i="43"/>
  <c r="AG182" i="43"/>
  <c r="AE182" i="43"/>
  <c r="AD182" i="43"/>
  <c r="S182" i="43"/>
  <c r="P182" i="43"/>
  <c r="K182" i="43"/>
  <c r="AF182" i="43" s="1"/>
  <c r="AH181" i="43"/>
  <c r="AG181" i="43"/>
  <c r="R181" i="43" s="1"/>
  <c r="AE181" i="43"/>
  <c r="AD181" i="43"/>
  <c r="S181" i="43"/>
  <c r="P181" i="43"/>
  <c r="K181" i="43"/>
  <c r="AF181" i="43" s="1"/>
  <c r="AH180" i="43"/>
  <c r="AG180" i="43"/>
  <c r="AE180" i="43"/>
  <c r="AD180" i="43"/>
  <c r="S180" i="43"/>
  <c r="P180" i="43"/>
  <c r="K180" i="43"/>
  <c r="AF180" i="43" s="1"/>
  <c r="AH179" i="43"/>
  <c r="AG179" i="43"/>
  <c r="AE179" i="43"/>
  <c r="AD179" i="43"/>
  <c r="R179" i="43" s="1"/>
  <c r="S179" i="43"/>
  <c r="P179" i="43"/>
  <c r="Q179" i="43" s="1"/>
  <c r="K179" i="43"/>
  <c r="AF179" i="43"/>
  <c r="AH178" i="43"/>
  <c r="AG178" i="43"/>
  <c r="AE178" i="43"/>
  <c r="R178" i="43" s="1"/>
  <c r="V178" i="43" s="1"/>
  <c r="AD178" i="43"/>
  <c r="S178" i="43"/>
  <c r="P178" i="43"/>
  <c r="K178" i="43"/>
  <c r="AF178" i="43" s="1"/>
  <c r="AH177" i="43"/>
  <c r="AG177" i="43"/>
  <c r="AE177" i="43"/>
  <c r="AD177" i="43"/>
  <c r="S177" i="43"/>
  <c r="P177" i="43"/>
  <c r="K177" i="43"/>
  <c r="AF177" i="43" s="1"/>
  <c r="AH176" i="43"/>
  <c r="AG176" i="43"/>
  <c r="AE176" i="43"/>
  <c r="AD176" i="43"/>
  <c r="S176" i="43"/>
  <c r="V176" i="43" s="1"/>
  <c r="P176" i="43"/>
  <c r="K176" i="43"/>
  <c r="AF176" i="43" s="1"/>
  <c r="AH175" i="43"/>
  <c r="AG175" i="43"/>
  <c r="AE175" i="43"/>
  <c r="AD175" i="43"/>
  <c r="S175" i="43"/>
  <c r="N175" i="43"/>
  <c r="P175" i="43" s="1"/>
  <c r="K175" i="43"/>
  <c r="AF175" i="43" s="1"/>
  <c r="AH174" i="43"/>
  <c r="AG174" i="43"/>
  <c r="AE174" i="43"/>
  <c r="AD174" i="43"/>
  <c r="S174" i="43"/>
  <c r="P174" i="43"/>
  <c r="K174" i="43"/>
  <c r="AF174" i="43" s="1"/>
  <c r="X174" i="43" s="1"/>
  <c r="Y174" i="43" s="1"/>
  <c r="AA174" i="43" s="1"/>
  <c r="AH173" i="43"/>
  <c r="AG173" i="43"/>
  <c r="AE173" i="43"/>
  <c r="AD173" i="43"/>
  <c r="S173" i="43"/>
  <c r="P173" i="43"/>
  <c r="K173" i="43"/>
  <c r="AF173" i="43" s="1"/>
  <c r="AH172" i="43"/>
  <c r="AG172" i="43"/>
  <c r="AE172" i="43"/>
  <c r="R172" i="43" s="1"/>
  <c r="AD172" i="43"/>
  <c r="S172" i="43"/>
  <c r="P172" i="43"/>
  <c r="K172" i="43"/>
  <c r="AF172" i="43" s="1"/>
  <c r="AH171" i="43"/>
  <c r="AG171" i="43"/>
  <c r="AJ171" i="43" s="1"/>
  <c r="AE171" i="43"/>
  <c r="AD171" i="43"/>
  <c r="S171" i="43"/>
  <c r="P171" i="43"/>
  <c r="K171" i="43"/>
  <c r="AF171" i="43" s="1"/>
  <c r="AH170" i="43"/>
  <c r="AG170" i="43"/>
  <c r="AE170" i="43"/>
  <c r="X170" i="43" s="1"/>
  <c r="Y170" i="43" s="1"/>
  <c r="AA170" i="43" s="1"/>
  <c r="AD170" i="43"/>
  <c r="S170" i="43"/>
  <c r="P170" i="43"/>
  <c r="K170" i="43"/>
  <c r="AF170" i="43" s="1"/>
  <c r="AH169" i="43"/>
  <c r="AG169" i="43"/>
  <c r="AE169" i="43"/>
  <c r="AD169" i="43"/>
  <c r="R169" i="43" s="1"/>
  <c r="S169" i="43"/>
  <c r="P169" i="43"/>
  <c r="K169" i="43"/>
  <c r="AF169" i="43" s="1"/>
  <c r="AH162" i="43"/>
  <c r="AG162" i="43"/>
  <c r="AE162" i="43"/>
  <c r="AD162" i="43"/>
  <c r="S162" i="43"/>
  <c r="N162" i="43"/>
  <c r="K162" i="43"/>
  <c r="AF162" i="43" s="1"/>
  <c r="AH161" i="43"/>
  <c r="AG161" i="43"/>
  <c r="AE161" i="43"/>
  <c r="AD161" i="43"/>
  <c r="S161" i="43"/>
  <c r="N161" i="43"/>
  <c r="P161" i="43" s="1"/>
  <c r="Q161" i="43" s="1"/>
  <c r="K161" i="43"/>
  <c r="AF161" i="43" s="1"/>
  <c r="AH160" i="43"/>
  <c r="AG160" i="43"/>
  <c r="AE160" i="43"/>
  <c r="AD160" i="43"/>
  <c r="S160" i="43"/>
  <c r="P160" i="43"/>
  <c r="Q160" i="43" s="1"/>
  <c r="K160" i="43"/>
  <c r="AF160" i="43" s="1"/>
  <c r="AH159" i="43"/>
  <c r="AG159" i="43"/>
  <c r="AE159" i="43"/>
  <c r="AD159" i="43"/>
  <c r="S159" i="43"/>
  <c r="P159" i="43"/>
  <c r="Q159" i="43" s="1"/>
  <c r="K159" i="43"/>
  <c r="AF159" i="43" s="1"/>
  <c r="AP159" i="43" s="1"/>
  <c r="AH158" i="43"/>
  <c r="AG158" i="43"/>
  <c r="AE158" i="43"/>
  <c r="AD158" i="43"/>
  <c r="S158" i="43"/>
  <c r="P158" i="43"/>
  <c r="K158" i="43"/>
  <c r="AF158" i="43" s="1"/>
  <c r="AH157" i="43"/>
  <c r="AG157" i="43"/>
  <c r="AE157" i="43"/>
  <c r="AD157" i="43"/>
  <c r="S157" i="43"/>
  <c r="P157" i="43"/>
  <c r="L265" i="17" s="1"/>
  <c r="K157" i="43"/>
  <c r="AF157" i="43" s="1"/>
  <c r="AP157" i="43" s="1"/>
  <c r="AH156" i="43"/>
  <c r="AG156" i="43"/>
  <c r="AF156" i="43"/>
  <c r="AE156" i="43"/>
  <c r="AD156" i="43"/>
  <c r="S156" i="43"/>
  <c r="P156" i="43"/>
  <c r="K156" i="43"/>
  <c r="AC151" i="43"/>
  <c r="AB151" i="43"/>
  <c r="AA151" i="43"/>
  <c r="V151" i="43"/>
  <c r="R151" i="43"/>
  <c r="Q151" i="43"/>
  <c r="P151" i="43"/>
  <c r="N151" i="43"/>
  <c r="AH143" i="43"/>
  <c r="AG143" i="43"/>
  <c r="AE143" i="43"/>
  <c r="AD143" i="43"/>
  <c r="S143" i="43"/>
  <c r="N143" i="43"/>
  <c r="P143" i="43" s="1"/>
  <c r="Q143" i="43" s="1"/>
  <c r="K143" i="43"/>
  <c r="AF143" i="43" s="1"/>
  <c r="AH142" i="43"/>
  <c r="AG142" i="43"/>
  <c r="AE142" i="43"/>
  <c r="AD142" i="43"/>
  <c r="S142" i="43"/>
  <c r="P142" i="43"/>
  <c r="Q142" i="43"/>
  <c r="K142" i="43"/>
  <c r="AF142" i="43" s="1"/>
  <c r="AH141" i="43"/>
  <c r="AG141" i="43"/>
  <c r="AE141" i="43"/>
  <c r="AD141" i="43"/>
  <c r="S141" i="43"/>
  <c r="N141" i="43"/>
  <c r="P141" i="43" s="1"/>
  <c r="Q141" i="43" s="1"/>
  <c r="K141" i="43"/>
  <c r="AF141" i="43" s="1"/>
  <c r="AH140" i="43"/>
  <c r="AG140" i="43"/>
  <c r="AE140" i="43"/>
  <c r="AD140" i="43"/>
  <c r="S140" i="43"/>
  <c r="N140" i="43"/>
  <c r="P140" i="43" s="1"/>
  <c r="Q140" i="43" s="1"/>
  <c r="K140" i="43"/>
  <c r="AF140" i="43" s="1"/>
  <c r="AH139" i="43"/>
  <c r="AG139" i="43"/>
  <c r="AE139" i="43"/>
  <c r="AD139" i="43"/>
  <c r="X139" i="43" s="1"/>
  <c r="Y139" i="43" s="1"/>
  <c r="AA139" i="43" s="1"/>
  <c r="S139" i="43"/>
  <c r="P139" i="43"/>
  <c r="Q139" i="43" s="1"/>
  <c r="K139" i="43"/>
  <c r="AF139" i="43" s="1"/>
  <c r="AH138" i="43"/>
  <c r="AG138" i="43"/>
  <c r="AE138" i="43"/>
  <c r="AD138" i="43"/>
  <c r="S138" i="43"/>
  <c r="N138" i="43"/>
  <c r="K138" i="43"/>
  <c r="AF138" i="43" s="1"/>
  <c r="AH137" i="43"/>
  <c r="AG137" i="43"/>
  <c r="AE137" i="43"/>
  <c r="AD137" i="43"/>
  <c r="S137" i="43"/>
  <c r="P137" i="43"/>
  <c r="K137" i="43"/>
  <c r="AF137" i="43" s="1"/>
  <c r="AH136" i="43"/>
  <c r="AG136" i="43"/>
  <c r="AE136" i="43"/>
  <c r="AD136" i="43"/>
  <c r="S136" i="43"/>
  <c r="P136" i="43"/>
  <c r="Q136" i="43" s="1"/>
  <c r="K136" i="43"/>
  <c r="AF136" i="43" s="1"/>
  <c r="AH135" i="43"/>
  <c r="AG135" i="43"/>
  <c r="AE135" i="43"/>
  <c r="AD135" i="43"/>
  <c r="S135" i="43"/>
  <c r="P135" i="43"/>
  <c r="Q135" i="43" s="1"/>
  <c r="K135" i="43"/>
  <c r="AF135" i="43" s="1"/>
  <c r="AH134" i="43"/>
  <c r="AG134" i="43"/>
  <c r="AE134" i="43"/>
  <c r="AD134" i="43"/>
  <c r="S134" i="43"/>
  <c r="P134" i="43"/>
  <c r="L132" i="17" s="1"/>
  <c r="K134" i="43"/>
  <c r="AF134" i="43" s="1"/>
  <c r="AH133" i="43"/>
  <c r="AG133" i="43"/>
  <c r="AE133" i="43"/>
  <c r="AD133" i="43"/>
  <c r="S133" i="43"/>
  <c r="P133" i="43"/>
  <c r="L297" i="17" s="1"/>
  <c r="L298" i="17" s="1"/>
  <c r="M298" i="17" s="1"/>
  <c r="K133" i="43"/>
  <c r="AF133" i="43" s="1"/>
  <c r="AH132" i="43"/>
  <c r="AG132" i="43"/>
  <c r="AE132" i="43"/>
  <c r="AD132" i="43"/>
  <c r="S132" i="43"/>
  <c r="P132" i="43"/>
  <c r="K132" i="43"/>
  <c r="AF132" i="43" s="1"/>
  <c r="AH131" i="43"/>
  <c r="AG131" i="43"/>
  <c r="AE131" i="43"/>
  <c r="AD131" i="43"/>
  <c r="S131" i="43"/>
  <c r="P131" i="43"/>
  <c r="L304" i="17" s="1"/>
  <c r="L305" i="17" s="1"/>
  <c r="M305" i="17" s="1"/>
  <c r="K131" i="43"/>
  <c r="AF131" i="43" s="1"/>
  <c r="AH130" i="43"/>
  <c r="AG130" i="43"/>
  <c r="AE130" i="43"/>
  <c r="X130" i="43" s="1"/>
  <c r="Y130" i="43" s="1"/>
  <c r="AA130" i="43" s="1"/>
  <c r="AD130" i="43"/>
  <c r="S130" i="43"/>
  <c r="P130" i="43"/>
  <c r="L320" i="17" s="1"/>
  <c r="K130" i="43"/>
  <c r="AF130" i="43" s="1"/>
  <c r="AH129" i="43"/>
  <c r="AG129" i="43"/>
  <c r="AE129" i="43"/>
  <c r="AD129" i="43"/>
  <c r="R129" i="43" s="1"/>
  <c r="S129" i="43"/>
  <c r="P129" i="43"/>
  <c r="L318" i="17" s="1"/>
  <c r="M318" i="17" s="1"/>
  <c r="N318" i="17" s="1"/>
  <c r="O318" i="17" s="1"/>
  <c r="K129" i="43"/>
  <c r="AF129" i="43" s="1"/>
  <c r="AP129" i="43" s="1"/>
  <c r="AH128" i="43"/>
  <c r="AG128" i="43"/>
  <c r="AE128" i="43"/>
  <c r="AD128" i="43"/>
  <c r="S128" i="43"/>
  <c r="T128" i="43" s="1"/>
  <c r="P128" i="43"/>
  <c r="L289" i="17" s="1"/>
  <c r="L290" i="17" s="1"/>
  <c r="M290" i="17" s="1"/>
  <c r="K128" i="43"/>
  <c r="AF128" i="43" s="1"/>
  <c r="AH127" i="43"/>
  <c r="AG127" i="43"/>
  <c r="AE127" i="43"/>
  <c r="AD127" i="43"/>
  <c r="S127" i="43"/>
  <c r="P127" i="43"/>
  <c r="L287" i="17" s="1"/>
  <c r="M287" i="17" s="1"/>
  <c r="N287" i="17" s="1"/>
  <c r="O287" i="17" s="1"/>
  <c r="K127" i="43"/>
  <c r="AF127" i="43" s="1"/>
  <c r="AH126" i="43"/>
  <c r="AG126" i="43"/>
  <c r="AE126" i="43"/>
  <c r="AD126" i="43"/>
  <c r="S126" i="43"/>
  <c r="P126" i="43"/>
  <c r="L302" i="17" s="1"/>
  <c r="L303" i="17" s="1"/>
  <c r="M303" i="17" s="1"/>
  <c r="K126" i="43"/>
  <c r="AF126" i="43" s="1"/>
  <c r="AH125" i="43"/>
  <c r="AG125" i="43"/>
  <c r="AE125" i="43"/>
  <c r="AD125" i="43"/>
  <c r="S125" i="43"/>
  <c r="P125" i="43"/>
  <c r="L219" i="17" s="1"/>
  <c r="K125" i="43"/>
  <c r="AF125" i="43" s="1"/>
  <c r="AH124" i="43"/>
  <c r="AG124" i="43"/>
  <c r="AE124" i="43"/>
  <c r="AD124" i="43"/>
  <c r="S124" i="43"/>
  <c r="P124" i="43"/>
  <c r="L299" i="17" s="1"/>
  <c r="K124" i="43"/>
  <c r="AF124" i="43"/>
  <c r="AH123" i="43"/>
  <c r="AG123" i="43"/>
  <c r="AE123" i="43"/>
  <c r="AD123" i="43"/>
  <c r="S123" i="43"/>
  <c r="P123" i="43"/>
  <c r="L295" i="17" s="1"/>
  <c r="K123" i="43"/>
  <c r="AF123" i="43" s="1"/>
  <c r="AH122" i="43"/>
  <c r="AG122" i="43"/>
  <c r="X122" i="43" s="1"/>
  <c r="Y122" i="43" s="1"/>
  <c r="AA122" i="43" s="1"/>
  <c r="AE122" i="43"/>
  <c r="AD122" i="43"/>
  <c r="S122" i="43"/>
  <c r="P122" i="43"/>
  <c r="L240" i="17" s="1"/>
  <c r="M240" i="17" s="1"/>
  <c r="N240" i="17" s="1"/>
  <c r="O240" i="17" s="1"/>
  <c r="K122" i="43"/>
  <c r="AF122" i="43" s="1"/>
  <c r="AH121" i="43"/>
  <c r="AG121" i="43"/>
  <c r="AE121" i="43"/>
  <c r="X121" i="43" s="1"/>
  <c r="Y121" i="43" s="1"/>
  <c r="AA121" i="43" s="1"/>
  <c r="AD121" i="43"/>
  <c r="S121" i="43"/>
  <c r="P121" i="43"/>
  <c r="K121" i="43"/>
  <c r="AF121" i="43" s="1"/>
  <c r="AH120" i="43"/>
  <c r="AG120" i="43"/>
  <c r="AE120" i="43"/>
  <c r="AD120" i="43"/>
  <c r="S120" i="43"/>
  <c r="P120" i="43"/>
  <c r="L209" i="17" s="1"/>
  <c r="K120" i="43"/>
  <c r="AF120" i="43" s="1"/>
  <c r="AH119" i="43"/>
  <c r="AG119" i="43"/>
  <c r="AE119" i="43"/>
  <c r="AD119" i="43"/>
  <c r="S119" i="43"/>
  <c r="P119" i="43"/>
  <c r="K119" i="43"/>
  <c r="AF119" i="43" s="1"/>
  <c r="AH112" i="43"/>
  <c r="AG112" i="43"/>
  <c r="AE112" i="43"/>
  <c r="AD112" i="43"/>
  <c r="S112" i="43"/>
  <c r="P112" i="43"/>
  <c r="Q112" i="43" s="1"/>
  <c r="K112" i="43"/>
  <c r="AF112" i="43" s="1"/>
  <c r="AH111" i="43"/>
  <c r="AG111" i="43"/>
  <c r="AE111" i="43"/>
  <c r="AD111" i="43"/>
  <c r="S111" i="43"/>
  <c r="P111" i="43"/>
  <c r="Q111" i="43" s="1"/>
  <c r="K111" i="43"/>
  <c r="AF111" i="43" s="1"/>
  <c r="AH110" i="43"/>
  <c r="AG110" i="43"/>
  <c r="AE110" i="43"/>
  <c r="AD110" i="43"/>
  <c r="S110" i="43"/>
  <c r="P110" i="43"/>
  <c r="Q110" i="43" s="1"/>
  <c r="K110" i="43"/>
  <c r="AF110" i="43" s="1"/>
  <c r="AH109" i="43"/>
  <c r="AG109" i="43"/>
  <c r="AE109" i="43"/>
  <c r="AD109" i="43"/>
  <c r="S109" i="43"/>
  <c r="N109" i="43"/>
  <c r="P109" i="43" s="1"/>
  <c r="K109" i="43"/>
  <c r="AF109" i="43" s="1"/>
  <c r="AH108" i="43"/>
  <c r="AG108" i="43"/>
  <c r="AE108" i="43"/>
  <c r="AD108" i="43"/>
  <c r="S108" i="43"/>
  <c r="P108" i="43"/>
  <c r="Q108" i="43" s="1"/>
  <c r="K108" i="43"/>
  <c r="AF108" i="43" s="1"/>
  <c r="AH107" i="43"/>
  <c r="AG107" i="43"/>
  <c r="AN107" i="43" s="1"/>
  <c r="AE107" i="43"/>
  <c r="AD107" i="43"/>
  <c r="S107" i="43"/>
  <c r="P107" i="43"/>
  <c r="Q107" i="43" s="1"/>
  <c r="K107" i="43"/>
  <c r="AF107" i="43" s="1"/>
  <c r="AH106" i="43"/>
  <c r="AG106" i="43"/>
  <c r="AE106" i="43"/>
  <c r="AD106" i="43"/>
  <c r="S106" i="43"/>
  <c r="P106" i="43"/>
  <c r="Q106" i="43" s="1"/>
  <c r="K106" i="43"/>
  <c r="AF106" i="43" s="1"/>
  <c r="AH105" i="43"/>
  <c r="AG105" i="43"/>
  <c r="AE105" i="43"/>
  <c r="AD105" i="43"/>
  <c r="S105" i="43"/>
  <c r="P105" i="43"/>
  <c r="Q105" i="43" s="1"/>
  <c r="K105" i="43"/>
  <c r="AF105" i="43" s="1"/>
  <c r="AH104" i="43"/>
  <c r="AG104" i="43"/>
  <c r="AE104" i="43"/>
  <c r="AD104" i="43"/>
  <c r="S104" i="43"/>
  <c r="P104" i="43"/>
  <c r="Q104" i="43" s="1"/>
  <c r="K104" i="43"/>
  <c r="AF104" i="43" s="1"/>
  <c r="AH103" i="43"/>
  <c r="AG103" i="43"/>
  <c r="AE103" i="43"/>
  <c r="AD103" i="43"/>
  <c r="R103" i="43" s="1"/>
  <c r="V103" i="43" s="1"/>
  <c r="AL103" i="43" s="1"/>
  <c r="S103" i="43"/>
  <c r="P103" i="43"/>
  <c r="Q103" i="43" s="1"/>
  <c r="K103" i="43"/>
  <c r="AF103" i="43" s="1"/>
  <c r="AH102" i="43"/>
  <c r="AG102" i="43"/>
  <c r="AE102" i="43"/>
  <c r="AD102" i="43"/>
  <c r="S102" i="43"/>
  <c r="P102" i="43"/>
  <c r="K102" i="43"/>
  <c r="AF102" i="43" s="1"/>
  <c r="AN102" i="43" s="1"/>
  <c r="AH101" i="43"/>
  <c r="AG101" i="43"/>
  <c r="AE101" i="43"/>
  <c r="AD101" i="43"/>
  <c r="S101" i="43"/>
  <c r="P101" i="43"/>
  <c r="Q101" i="43" s="1"/>
  <c r="K101" i="43"/>
  <c r="AF101" i="43" s="1"/>
  <c r="AH100" i="43"/>
  <c r="AG100" i="43"/>
  <c r="AE100" i="43"/>
  <c r="AD100" i="43"/>
  <c r="S100" i="43"/>
  <c r="P100" i="43"/>
  <c r="Q100" i="43" s="1"/>
  <c r="K100" i="43"/>
  <c r="AF100" i="43" s="1"/>
  <c r="AJ100" i="43" s="1"/>
  <c r="AH99" i="43"/>
  <c r="AG99" i="43"/>
  <c r="AE99" i="43"/>
  <c r="AD99" i="43"/>
  <c r="S99" i="43"/>
  <c r="P99" i="43"/>
  <c r="Q99" i="43" s="1"/>
  <c r="K99" i="43"/>
  <c r="AF99" i="43" s="1"/>
  <c r="AH98" i="43"/>
  <c r="AG98" i="43"/>
  <c r="AE98" i="43"/>
  <c r="AD98" i="43"/>
  <c r="S98" i="43"/>
  <c r="N98" i="43"/>
  <c r="P98" i="43" s="1"/>
  <c r="Q98" i="43" s="1"/>
  <c r="K98" i="43"/>
  <c r="AF98" i="43" s="1"/>
  <c r="AH97" i="43"/>
  <c r="AG97" i="43"/>
  <c r="AJ97" i="43" s="1"/>
  <c r="AE97" i="43"/>
  <c r="AD97" i="43"/>
  <c r="S97" i="43"/>
  <c r="P97" i="43"/>
  <c r="Q97" i="43" s="1"/>
  <c r="K97" i="43"/>
  <c r="AF97" i="43" s="1"/>
  <c r="AH96" i="43"/>
  <c r="AG96" i="43"/>
  <c r="AE96" i="43"/>
  <c r="AD96" i="43"/>
  <c r="S96" i="43"/>
  <c r="P96" i="43"/>
  <c r="Q96" i="43" s="1"/>
  <c r="K96" i="43"/>
  <c r="AF96" i="43" s="1"/>
  <c r="AH95" i="43"/>
  <c r="AG95" i="43"/>
  <c r="AE95" i="43"/>
  <c r="AD95" i="43"/>
  <c r="S95" i="43"/>
  <c r="P95" i="43"/>
  <c r="K95" i="43"/>
  <c r="AF95" i="43" s="1"/>
  <c r="AP95" i="43" s="1"/>
  <c r="AH94" i="43"/>
  <c r="AG94" i="43"/>
  <c r="AE94" i="43"/>
  <c r="AD94" i="43"/>
  <c r="X94" i="43" s="1"/>
  <c r="Y94" i="43" s="1"/>
  <c r="AA94" i="43" s="1"/>
  <c r="S94" i="43"/>
  <c r="P94" i="43"/>
  <c r="Q94" i="43" s="1"/>
  <c r="K94" i="43"/>
  <c r="AF94" i="43" s="1"/>
  <c r="AH93" i="43"/>
  <c r="AG93" i="43"/>
  <c r="AE93" i="43"/>
  <c r="AD93" i="43"/>
  <c r="S93" i="43"/>
  <c r="P93" i="43"/>
  <c r="K93" i="43"/>
  <c r="AF93" i="43" s="1"/>
  <c r="AH92" i="43"/>
  <c r="AG92" i="43"/>
  <c r="AE92" i="43"/>
  <c r="AD92" i="43"/>
  <c r="S92" i="43"/>
  <c r="P92" i="43"/>
  <c r="K92" i="43"/>
  <c r="AF92" i="43" s="1"/>
  <c r="AH91" i="43"/>
  <c r="AG91" i="43"/>
  <c r="AE91" i="43"/>
  <c r="AD91" i="43"/>
  <c r="S91" i="43"/>
  <c r="P91" i="43"/>
  <c r="L93" i="17" s="1"/>
  <c r="L94" i="17" s="1"/>
  <c r="M94" i="17" s="1"/>
  <c r="K91" i="43"/>
  <c r="AF91" i="43" s="1"/>
  <c r="X91" i="43" s="1"/>
  <c r="Y91" i="43" s="1"/>
  <c r="AA91" i="43" s="1"/>
  <c r="AH90" i="43"/>
  <c r="AG90" i="43"/>
  <c r="AE90" i="43"/>
  <c r="AD90" i="43"/>
  <c r="S90" i="43"/>
  <c r="P90" i="43"/>
  <c r="K90" i="43"/>
  <c r="AF90" i="43" s="1"/>
  <c r="AH89" i="43"/>
  <c r="AG89" i="43"/>
  <c r="AE89" i="43"/>
  <c r="AD89" i="43"/>
  <c r="S89" i="43"/>
  <c r="P89" i="43"/>
  <c r="L89" i="17" s="1"/>
  <c r="K89" i="43"/>
  <c r="AF89" i="43" s="1"/>
  <c r="AH88" i="43"/>
  <c r="AG88" i="43"/>
  <c r="AE88" i="43"/>
  <c r="AD88" i="43"/>
  <c r="S88" i="43"/>
  <c r="P88" i="43"/>
  <c r="M334" i="17" s="1"/>
  <c r="K88" i="43"/>
  <c r="AF88" i="43" s="1"/>
  <c r="AP88" i="43" s="1"/>
  <c r="AH87" i="43"/>
  <c r="AG87" i="43"/>
  <c r="AE87" i="43"/>
  <c r="AD87" i="43"/>
  <c r="S87" i="43"/>
  <c r="P87" i="43"/>
  <c r="Q87" i="43"/>
  <c r="K87" i="43"/>
  <c r="AF87" i="43" s="1"/>
  <c r="AH86" i="43"/>
  <c r="AG86" i="43"/>
  <c r="R86" i="43" s="1"/>
  <c r="AE86" i="43"/>
  <c r="AD86" i="43"/>
  <c r="S86" i="43"/>
  <c r="P86" i="43"/>
  <c r="K86" i="43"/>
  <c r="AF86" i="43" s="1"/>
  <c r="AH85" i="43"/>
  <c r="AG85" i="43"/>
  <c r="AE85" i="43"/>
  <c r="AD85" i="43"/>
  <c r="S85" i="43"/>
  <c r="P85" i="43"/>
  <c r="L85" i="17" s="1"/>
  <c r="K85" i="43"/>
  <c r="AF85" i="43" s="1"/>
  <c r="AH84" i="43"/>
  <c r="AG84" i="43"/>
  <c r="AE84" i="43"/>
  <c r="AD84" i="43"/>
  <c r="X84" i="43" s="1"/>
  <c r="Y84" i="43" s="1"/>
  <c r="AA84" i="43" s="1"/>
  <c r="S84" i="43"/>
  <c r="P84" i="43"/>
  <c r="K84" i="43"/>
  <c r="AF84" i="43" s="1"/>
  <c r="AH83" i="43"/>
  <c r="AG83" i="43"/>
  <c r="AE83" i="43"/>
  <c r="AD83" i="43"/>
  <c r="S83" i="43"/>
  <c r="P83" i="43"/>
  <c r="L226" i="17" s="1"/>
  <c r="K83" i="43"/>
  <c r="AF83" i="43" s="1"/>
  <c r="AH82" i="43"/>
  <c r="AG82" i="43"/>
  <c r="AE82" i="43"/>
  <c r="AD82" i="43"/>
  <c r="S82" i="43"/>
  <c r="P82" i="43"/>
  <c r="L233" i="17" s="1"/>
  <c r="K82" i="43"/>
  <c r="AF82" i="43" s="1"/>
  <c r="AH75" i="43"/>
  <c r="AG75" i="43"/>
  <c r="AF75" i="43"/>
  <c r="AE75" i="43"/>
  <c r="AD75" i="43"/>
  <c r="S75" i="43"/>
  <c r="P75" i="43"/>
  <c r="Q75" i="43" s="1"/>
  <c r="R75" i="43" s="1"/>
  <c r="AH74" i="43"/>
  <c r="AG74" i="43"/>
  <c r="AE74" i="43"/>
  <c r="AD74" i="43"/>
  <c r="S74" i="43"/>
  <c r="P74" i="43"/>
  <c r="Q74" i="43" s="1"/>
  <c r="K74" i="43"/>
  <c r="AF74" i="43" s="1"/>
  <c r="AH73" i="43"/>
  <c r="AG73" i="43"/>
  <c r="AE73" i="43"/>
  <c r="AD73" i="43"/>
  <c r="S73" i="43"/>
  <c r="N73" i="43"/>
  <c r="P73" i="43" s="1"/>
  <c r="Q73" i="43" s="1"/>
  <c r="K73" i="43"/>
  <c r="AF73" i="43" s="1"/>
  <c r="AH72" i="43"/>
  <c r="AG72" i="43"/>
  <c r="AN72" i="43" s="1"/>
  <c r="AE72" i="43"/>
  <c r="AD72" i="43"/>
  <c r="S72" i="43"/>
  <c r="P72" i="43"/>
  <c r="Q72" i="43" s="1"/>
  <c r="K72" i="43"/>
  <c r="AF72" i="43" s="1"/>
  <c r="AH71" i="43"/>
  <c r="AG71" i="43"/>
  <c r="AE71" i="43"/>
  <c r="X71" i="43" s="1"/>
  <c r="Y71" i="43" s="1"/>
  <c r="AA71" i="43" s="1"/>
  <c r="AD71" i="43"/>
  <c r="S71" i="43"/>
  <c r="P71" i="43"/>
  <c r="Q71" i="43" s="1"/>
  <c r="K71" i="43"/>
  <c r="AF71" i="43" s="1"/>
  <c r="AH70" i="43"/>
  <c r="AG70" i="43"/>
  <c r="AE70" i="43"/>
  <c r="AD70" i="43"/>
  <c r="S70" i="43"/>
  <c r="P70" i="43"/>
  <c r="Q70" i="43" s="1"/>
  <c r="K70" i="43"/>
  <c r="AF70" i="43" s="1"/>
  <c r="AH69" i="43"/>
  <c r="AG69" i="43"/>
  <c r="AE69" i="43"/>
  <c r="AD69" i="43"/>
  <c r="S69" i="43"/>
  <c r="N69" i="43"/>
  <c r="P69" i="43" s="1"/>
  <c r="Q69" i="43" s="1"/>
  <c r="K69" i="43"/>
  <c r="AF69" i="43" s="1"/>
  <c r="AH68" i="43"/>
  <c r="AG68" i="43"/>
  <c r="AE68" i="43"/>
  <c r="AD68" i="43"/>
  <c r="S68" i="43"/>
  <c r="P68" i="43"/>
  <c r="K68" i="43"/>
  <c r="AF68" i="43" s="1"/>
  <c r="AH67" i="43"/>
  <c r="AG67" i="43"/>
  <c r="AE67" i="43"/>
  <c r="AD67" i="43"/>
  <c r="S67" i="43"/>
  <c r="P67" i="43"/>
  <c r="Q67" i="43" s="1"/>
  <c r="R67" i="43" s="1"/>
  <c r="T67" i="43" s="1"/>
  <c r="K67" i="43"/>
  <c r="AF67" i="43" s="1"/>
  <c r="AH66" i="43"/>
  <c r="AG66" i="43"/>
  <c r="AE66" i="43"/>
  <c r="AD66" i="43"/>
  <c r="S66" i="43"/>
  <c r="P66" i="43"/>
  <c r="Q66" i="43" s="1"/>
  <c r="K66" i="43"/>
  <c r="AF66" i="43" s="1"/>
  <c r="AH65" i="43"/>
  <c r="AG65" i="43"/>
  <c r="AE65" i="43"/>
  <c r="AD65" i="43"/>
  <c r="S65" i="43"/>
  <c r="N65" i="43"/>
  <c r="P65" i="43" s="1"/>
  <c r="Q65" i="43" s="1"/>
  <c r="K65" i="43"/>
  <c r="AF65" i="43" s="1"/>
  <c r="AH64" i="43"/>
  <c r="AG64" i="43"/>
  <c r="AE64" i="43"/>
  <c r="AD64" i="43"/>
  <c r="S64" i="43"/>
  <c r="P64" i="43"/>
  <c r="Q64" i="43" s="1"/>
  <c r="K64" i="43"/>
  <c r="AF64" i="43" s="1"/>
  <c r="X64" i="43" s="1"/>
  <c r="Y64" i="43" s="1"/>
  <c r="AA64" i="43" s="1"/>
  <c r="AH63" i="43"/>
  <c r="AG63" i="43"/>
  <c r="AE63" i="43"/>
  <c r="AD63" i="43"/>
  <c r="S63" i="43"/>
  <c r="P63" i="43"/>
  <c r="Q63" i="43" s="1"/>
  <c r="K63" i="43"/>
  <c r="AF63" i="43" s="1"/>
  <c r="AN63" i="43" s="1"/>
  <c r="AH62" i="43"/>
  <c r="AG62" i="43"/>
  <c r="X62" i="43" s="1"/>
  <c r="Y62" i="43" s="1"/>
  <c r="AA62" i="43" s="1"/>
  <c r="AE62" i="43"/>
  <c r="AD62" i="43"/>
  <c r="S62" i="43"/>
  <c r="P62" i="43"/>
  <c r="Q62" i="43" s="1"/>
  <c r="K62" i="43"/>
  <c r="AF62" i="43" s="1"/>
  <c r="AH61" i="43"/>
  <c r="AG61" i="43"/>
  <c r="AE61" i="43"/>
  <c r="X61" i="43" s="1"/>
  <c r="Y61" i="43" s="1"/>
  <c r="AA61" i="43" s="1"/>
  <c r="AD61" i="43"/>
  <c r="S61" i="43"/>
  <c r="P61" i="43"/>
  <c r="Q61" i="43" s="1"/>
  <c r="K61" i="43"/>
  <c r="AF61" i="43" s="1"/>
  <c r="AH60" i="43"/>
  <c r="AG60" i="43"/>
  <c r="AE60" i="43"/>
  <c r="AD60" i="43"/>
  <c r="S60" i="43"/>
  <c r="P60" i="43"/>
  <c r="Q60" i="43" s="1"/>
  <c r="K60" i="43"/>
  <c r="AF60" i="43" s="1"/>
  <c r="AH59" i="43"/>
  <c r="AG59" i="43"/>
  <c r="AE59" i="43"/>
  <c r="AD59" i="43"/>
  <c r="S59" i="43"/>
  <c r="P59" i="43"/>
  <c r="Q59" i="43" s="1"/>
  <c r="K59" i="43"/>
  <c r="AF59" i="43" s="1"/>
  <c r="AJ59" i="43" s="1"/>
  <c r="AH58" i="43"/>
  <c r="AG58" i="43"/>
  <c r="AE58" i="43"/>
  <c r="AD58" i="43"/>
  <c r="R58" i="43" s="1"/>
  <c r="S58" i="43"/>
  <c r="N58" i="43"/>
  <c r="P58" i="43" s="1"/>
  <c r="Q58" i="43" s="1"/>
  <c r="K58" i="43"/>
  <c r="AF58" i="43" s="1"/>
  <c r="AH57" i="43"/>
  <c r="AG57" i="43"/>
  <c r="AE57" i="43"/>
  <c r="AD57" i="43"/>
  <c r="S57" i="43"/>
  <c r="N57" i="43"/>
  <c r="P57" i="43" s="1"/>
  <c r="Q57" i="43" s="1"/>
  <c r="K57" i="43"/>
  <c r="AF57" i="43" s="1"/>
  <c r="AH56" i="43"/>
  <c r="AG56" i="43"/>
  <c r="AE56" i="43"/>
  <c r="AD56" i="43"/>
  <c r="S56" i="43"/>
  <c r="P56" i="43"/>
  <c r="L33" i="17" s="1"/>
  <c r="K56" i="43"/>
  <c r="AF56" i="43" s="1"/>
  <c r="AH55" i="43"/>
  <c r="AG55" i="43"/>
  <c r="AE55" i="43"/>
  <c r="AD55" i="43"/>
  <c r="S55" i="43"/>
  <c r="P55" i="43"/>
  <c r="L166" i="17" s="1"/>
  <c r="K55" i="43"/>
  <c r="AF55" i="43" s="1"/>
  <c r="AH54" i="43"/>
  <c r="AG54" i="43"/>
  <c r="AE54" i="43"/>
  <c r="AD54" i="43"/>
  <c r="S54" i="43"/>
  <c r="N54" i="43"/>
  <c r="K54" i="43"/>
  <c r="AF54" i="43" s="1"/>
  <c r="AP54" i="43" s="1"/>
  <c r="AH53" i="43"/>
  <c r="AG53" i="43"/>
  <c r="AE53" i="43"/>
  <c r="AD53" i="43"/>
  <c r="S53" i="43"/>
  <c r="P53" i="43"/>
  <c r="K53" i="43"/>
  <c r="AF53" i="43" s="1"/>
  <c r="AH52" i="43"/>
  <c r="AG52" i="43"/>
  <c r="AE52" i="43"/>
  <c r="AD52" i="43"/>
  <c r="S52" i="43"/>
  <c r="P52" i="43"/>
  <c r="L28" i="17" s="1"/>
  <c r="L29" i="17" s="1"/>
  <c r="M29" i="17" s="1"/>
  <c r="K52" i="43"/>
  <c r="AF52" i="43" s="1"/>
  <c r="AH51" i="43"/>
  <c r="AG51" i="43"/>
  <c r="R51" i="43" s="1"/>
  <c r="AE51" i="43"/>
  <c r="AD51" i="43"/>
  <c r="S51" i="43"/>
  <c r="P51" i="43"/>
  <c r="K51" i="43"/>
  <c r="AF51" i="43" s="1"/>
  <c r="AH50" i="43"/>
  <c r="AG50" i="43"/>
  <c r="AE50" i="43"/>
  <c r="AD50" i="43"/>
  <c r="S50" i="43"/>
  <c r="P50" i="43"/>
  <c r="Q50" i="43" s="1"/>
  <c r="K50" i="43"/>
  <c r="AF50" i="43" s="1"/>
  <c r="AH49" i="43"/>
  <c r="AG49" i="43"/>
  <c r="AE49" i="43"/>
  <c r="AD49" i="43"/>
  <c r="X49" i="43" s="1"/>
  <c r="Y49" i="43" s="1"/>
  <c r="AA49" i="43" s="1"/>
  <c r="S49" i="43"/>
  <c r="P49" i="43"/>
  <c r="Q49" i="43" s="1"/>
  <c r="K49" i="43"/>
  <c r="AF49" i="43" s="1"/>
  <c r="AH48" i="43"/>
  <c r="AG48" i="43"/>
  <c r="AE48" i="43"/>
  <c r="AD48" i="43"/>
  <c r="S48" i="43"/>
  <c r="P48" i="43"/>
  <c r="L23" i="17" s="1"/>
  <c r="L24" i="17" s="1"/>
  <c r="M24" i="17" s="1"/>
  <c r="K48" i="43"/>
  <c r="AF48" i="43" s="1"/>
  <c r="AH47" i="43"/>
  <c r="AG47" i="43"/>
  <c r="AE47" i="43"/>
  <c r="AD47" i="43"/>
  <c r="S47" i="43"/>
  <c r="P47" i="43"/>
  <c r="Q47" i="43" s="1"/>
  <c r="K47" i="43"/>
  <c r="AF47" i="43" s="1"/>
  <c r="AH46" i="43"/>
  <c r="AG46" i="43"/>
  <c r="AE46" i="43"/>
  <c r="AD46" i="43"/>
  <c r="S46" i="43"/>
  <c r="N46" i="43"/>
  <c r="P46" i="43" s="1"/>
  <c r="K46" i="43"/>
  <c r="AF46" i="43" s="1"/>
  <c r="AP46" i="43" s="1"/>
  <c r="AH45" i="43"/>
  <c r="AG45" i="43"/>
  <c r="AE45" i="43"/>
  <c r="AD45" i="43"/>
  <c r="S45" i="43"/>
  <c r="P45" i="43"/>
  <c r="L277" i="17" s="1"/>
  <c r="K45" i="43"/>
  <c r="AF45" i="43" s="1"/>
  <c r="AH44" i="43"/>
  <c r="AG44" i="43"/>
  <c r="AE44" i="43"/>
  <c r="AD44" i="43"/>
  <c r="S44" i="43"/>
  <c r="P44" i="43"/>
  <c r="K44" i="43"/>
  <c r="AF44" i="43" s="1"/>
  <c r="AH43" i="43"/>
  <c r="AG43" i="43"/>
  <c r="AE43" i="43"/>
  <c r="AD43" i="43"/>
  <c r="S43" i="43"/>
  <c r="Q43" i="43"/>
  <c r="P43" i="43"/>
  <c r="L230" i="17" s="1"/>
  <c r="K43" i="43"/>
  <c r="AF43" i="43" s="1"/>
  <c r="AH42" i="43"/>
  <c r="AG42" i="43"/>
  <c r="AE42" i="43"/>
  <c r="AD42" i="43"/>
  <c r="S42" i="43"/>
  <c r="P42" i="43"/>
  <c r="L21" i="17" s="1"/>
  <c r="M21" i="17" s="1"/>
  <c r="N21" i="17" s="1"/>
  <c r="O21" i="17" s="1"/>
  <c r="K42" i="43"/>
  <c r="AF42" i="43" s="1"/>
  <c r="AH41" i="43"/>
  <c r="AG41" i="43"/>
  <c r="X41" i="43" s="1"/>
  <c r="Y41" i="43" s="1"/>
  <c r="AA41" i="43" s="1"/>
  <c r="AE41" i="43"/>
  <c r="AD41" i="43"/>
  <c r="S41" i="43"/>
  <c r="P41" i="43"/>
  <c r="L19" i="17" s="1"/>
  <c r="M19" i="17" s="1"/>
  <c r="N19" i="17" s="1"/>
  <c r="O19" i="17" s="1"/>
  <c r="K41" i="43"/>
  <c r="AF41" i="43" s="1"/>
  <c r="AH40" i="43"/>
  <c r="AG40" i="43"/>
  <c r="AE40" i="43"/>
  <c r="AD40" i="43"/>
  <c r="S40" i="43"/>
  <c r="P40" i="43"/>
  <c r="K40" i="43"/>
  <c r="AF40" i="43" s="1"/>
  <c r="AH39" i="43"/>
  <c r="AG39" i="43"/>
  <c r="AE39" i="43"/>
  <c r="AD39" i="43"/>
  <c r="R39" i="43" s="1"/>
  <c r="V39" i="43" s="1"/>
  <c r="S39" i="43"/>
  <c r="P39" i="43"/>
  <c r="L17" i="17" s="1"/>
  <c r="K39" i="43"/>
  <c r="AF39" i="43" s="1"/>
  <c r="AJ39" i="43" s="1"/>
  <c r="AH38" i="43"/>
  <c r="AG38" i="43"/>
  <c r="AE38" i="43"/>
  <c r="AD38" i="43"/>
  <c r="S38" i="43"/>
  <c r="V38" i="43" s="1"/>
  <c r="P38" i="43"/>
  <c r="L322" i="17" s="1"/>
  <c r="M322" i="17" s="1"/>
  <c r="N322" i="17" s="1"/>
  <c r="O322" i="17" s="1"/>
  <c r="K38" i="43"/>
  <c r="AF38" i="43" s="1"/>
  <c r="AH37" i="43"/>
  <c r="AG37" i="43"/>
  <c r="AE37" i="43"/>
  <c r="AD37" i="43"/>
  <c r="S37" i="43"/>
  <c r="P37" i="43"/>
  <c r="N181" i="17" s="1"/>
  <c r="K37" i="43"/>
  <c r="AF37" i="43" s="1"/>
  <c r="AH36" i="43"/>
  <c r="AG36" i="43"/>
  <c r="AE36" i="43"/>
  <c r="AD36" i="43"/>
  <c r="S36" i="43"/>
  <c r="P36" i="43"/>
  <c r="L242" i="17" s="1"/>
  <c r="K36" i="43"/>
  <c r="AF36" i="43" s="1"/>
  <c r="AH35" i="43"/>
  <c r="AG35" i="43"/>
  <c r="AE35" i="43"/>
  <c r="AD35" i="43"/>
  <c r="S35" i="43"/>
  <c r="P35" i="43"/>
  <c r="K35" i="43"/>
  <c r="AF35" i="43" s="1"/>
  <c r="AH34" i="43"/>
  <c r="AG34" i="43"/>
  <c r="AE34" i="43"/>
  <c r="AD34" i="43"/>
  <c r="S34" i="43"/>
  <c r="P34" i="43"/>
  <c r="L271" i="17" s="1"/>
  <c r="K34" i="43"/>
  <c r="AF34" i="43" s="1"/>
  <c r="AH33" i="43"/>
  <c r="AG33" i="43"/>
  <c r="AJ33" i="43" s="1"/>
  <c r="AE33" i="43"/>
  <c r="AD33" i="43"/>
  <c r="S33" i="43"/>
  <c r="P33" i="43"/>
  <c r="L285" i="17" s="1"/>
  <c r="K33" i="43"/>
  <c r="AF33" i="43" s="1"/>
  <c r="AH32" i="43"/>
  <c r="AG32" i="43"/>
  <c r="AE32" i="43"/>
  <c r="X32" i="43" s="1"/>
  <c r="Y32" i="43" s="1"/>
  <c r="AA32" i="43" s="1"/>
  <c r="AD32" i="43"/>
  <c r="S32" i="43"/>
  <c r="P32" i="43"/>
  <c r="L283" i="17" s="1"/>
  <c r="K32" i="43"/>
  <c r="AF32" i="43"/>
  <c r="AJ32" i="43" s="1"/>
  <c r="AH31" i="43"/>
  <c r="AG31" i="43"/>
  <c r="AE31" i="43"/>
  <c r="AD31" i="43"/>
  <c r="S31" i="43"/>
  <c r="N31" i="43"/>
  <c r="P31" i="43" s="1"/>
  <c r="K31" i="43"/>
  <c r="AF31" i="43" s="1"/>
  <c r="AH30" i="43"/>
  <c r="AG30" i="43"/>
  <c r="AJ30" i="43" s="1"/>
  <c r="AE30" i="43"/>
  <c r="AD30" i="43"/>
  <c r="S30" i="43"/>
  <c r="P30" i="43"/>
  <c r="L281" i="17" s="1"/>
  <c r="M281" i="17" s="1"/>
  <c r="N281" i="17" s="1"/>
  <c r="O281" i="17" s="1"/>
  <c r="K30" i="43"/>
  <c r="AF30" i="43" s="1"/>
  <c r="AH29" i="43"/>
  <c r="AG29" i="43"/>
  <c r="AE29" i="43"/>
  <c r="AD29" i="43"/>
  <c r="S29" i="43"/>
  <c r="P29" i="43"/>
  <c r="N179" i="17" s="1"/>
  <c r="O179" i="17" s="1"/>
  <c r="K29" i="43"/>
  <c r="AF29" i="43" s="1"/>
  <c r="AH28" i="43"/>
  <c r="AG28" i="43"/>
  <c r="AE28" i="43"/>
  <c r="AD28" i="43"/>
  <c r="S28" i="43"/>
  <c r="P28" i="43"/>
  <c r="L279" i="17" s="1"/>
  <c r="M279" i="17" s="1"/>
  <c r="N279" i="17" s="1"/>
  <c r="O279" i="17" s="1"/>
  <c r="K28" i="43"/>
  <c r="AF28" i="43" s="1"/>
  <c r="AH27" i="43"/>
  <c r="AG27" i="43"/>
  <c r="AE27" i="43"/>
  <c r="AD27" i="43"/>
  <c r="S27" i="43"/>
  <c r="P27" i="43"/>
  <c r="K27" i="43"/>
  <c r="AF27" i="43" s="1"/>
  <c r="AH26" i="43"/>
  <c r="AG26" i="43"/>
  <c r="AE26" i="43"/>
  <c r="AD26" i="43"/>
  <c r="S26" i="43"/>
  <c r="V26" i="43" s="1"/>
  <c r="P26" i="43"/>
  <c r="K26" i="43"/>
  <c r="AF26" i="43" s="1"/>
  <c r="AH25" i="43"/>
  <c r="AG25" i="43"/>
  <c r="AE25" i="43"/>
  <c r="AD25" i="43"/>
  <c r="S25" i="43"/>
  <c r="P25" i="43"/>
  <c r="L268" i="17" s="1"/>
  <c r="M268" i="17" s="1"/>
  <c r="N268" i="17" s="1"/>
  <c r="O268" i="17" s="1"/>
  <c r="K25" i="43"/>
  <c r="AF25" i="43" s="1"/>
  <c r="AH24" i="43"/>
  <c r="AG24" i="43"/>
  <c r="AE24" i="43"/>
  <c r="AD24" i="43"/>
  <c r="S24" i="43"/>
  <c r="P24" i="43"/>
  <c r="K24" i="43"/>
  <c r="AF24" i="43" s="1"/>
  <c r="AH23" i="43"/>
  <c r="AG23" i="43"/>
  <c r="AE23" i="43"/>
  <c r="AD23" i="43"/>
  <c r="S23" i="43"/>
  <c r="P23" i="43"/>
  <c r="K23" i="43"/>
  <c r="AF23" i="43" s="1"/>
  <c r="AH22" i="43"/>
  <c r="AG22" i="43"/>
  <c r="AE22" i="43"/>
  <c r="AD22" i="43"/>
  <c r="S22" i="43"/>
  <c r="P22" i="43"/>
  <c r="L247" i="17" s="1"/>
  <c r="K22" i="43"/>
  <c r="AH21" i="43"/>
  <c r="AG21" i="43"/>
  <c r="X21" i="43" s="1"/>
  <c r="Y21" i="43" s="1"/>
  <c r="AA21" i="43" s="1"/>
  <c r="AE21" i="43"/>
  <c r="AD21" i="43"/>
  <c r="S21" i="43"/>
  <c r="P21" i="43"/>
  <c r="L245" i="17" s="1"/>
  <c r="K21" i="43"/>
  <c r="AF21" i="43" s="1"/>
  <c r="AH20" i="43"/>
  <c r="AG20" i="43"/>
  <c r="AE20" i="43"/>
  <c r="X20" i="43" s="1"/>
  <c r="Y20" i="43" s="1"/>
  <c r="AA20" i="43" s="1"/>
  <c r="AD20" i="43"/>
  <c r="S20" i="43"/>
  <c r="P20" i="43"/>
  <c r="Q20" i="43" s="1"/>
  <c r="K20" i="43"/>
  <c r="AF20" i="43" s="1"/>
  <c r="AH19" i="43"/>
  <c r="AG19" i="43"/>
  <c r="AE19" i="43"/>
  <c r="AD19" i="43"/>
  <c r="S19" i="43"/>
  <c r="P19" i="43"/>
  <c r="L263" i="17" s="1"/>
  <c r="K19" i="43"/>
  <c r="AF19" i="43" s="1"/>
  <c r="AH18" i="43"/>
  <c r="AG18" i="43"/>
  <c r="AP18" i="43" s="1"/>
  <c r="AE18" i="43"/>
  <c r="AD18" i="43"/>
  <c r="S18" i="43"/>
  <c r="V18" i="43" s="1"/>
  <c r="P18" i="43"/>
  <c r="L13" i="17" s="1"/>
  <c r="K18" i="43"/>
  <c r="AF18" i="43" s="1"/>
  <c r="AH17" i="43"/>
  <c r="AG17" i="43"/>
  <c r="AE17" i="43"/>
  <c r="AD17" i="43"/>
  <c r="S17" i="43"/>
  <c r="P17" i="43"/>
  <c r="L215" i="17" s="1"/>
  <c r="K17" i="43"/>
  <c r="AF17" i="43" s="1"/>
  <c r="AH16" i="43"/>
  <c r="AG16" i="43"/>
  <c r="AE16" i="43"/>
  <c r="AD16" i="43"/>
  <c r="S16" i="43"/>
  <c r="P16" i="43"/>
  <c r="L213" i="17" s="1"/>
  <c r="K16" i="43"/>
  <c r="AF16" i="43" s="1"/>
  <c r="X16" i="43" s="1"/>
  <c r="Y16" i="43" s="1"/>
  <c r="AA16" i="43" s="1"/>
  <c r="AH15" i="43"/>
  <c r="AG15" i="43"/>
  <c r="AE15" i="43"/>
  <c r="AD15" i="43"/>
  <c r="R15" i="43" s="1"/>
  <c r="S15" i="43"/>
  <c r="P15" i="43"/>
  <c r="Q15" i="43" s="1"/>
  <c r="K15" i="43"/>
  <c r="AF15" i="43" s="1"/>
  <c r="AH14" i="43"/>
  <c r="AG14" i="43"/>
  <c r="AE14" i="43"/>
  <c r="AD14" i="43"/>
  <c r="S14" i="43"/>
  <c r="Q14" i="43"/>
  <c r="P14" i="43"/>
  <c r="K14" i="43"/>
  <c r="AF14" i="43" s="1"/>
  <c r="X11" i="43"/>
  <c r="AA11" i="43" s="1"/>
  <c r="K149" i="42"/>
  <c r="L149" i="42" s="1"/>
  <c r="L150" i="39"/>
  <c r="M150" i="39" s="1"/>
  <c r="N150" i="39" s="1"/>
  <c r="I150" i="39"/>
  <c r="J150" i="39" s="1"/>
  <c r="L152" i="39"/>
  <c r="M152" i="39" s="1"/>
  <c r="N152" i="39" s="1"/>
  <c r="I152" i="39"/>
  <c r="J152" i="39" s="1"/>
  <c r="L157" i="39"/>
  <c r="M157" i="39" s="1"/>
  <c r="N157" i="39" s="1"/>
  <c r="I157" i="39"/>
  <c r="J157" i="39" s="1"/>
  <c r="I293" i="39"/>
  <c r="J293" i="39" s="1"/>
  <c r="L148" i="39"/>
  <c r="M148" i="39" s="1"/>
  <c r="N148" i="39" s="1"/>
  <c r="I148" i="39"/>
  <c r="J148" i="39" s="1"/>
  <c r="L151" i="39"/>
  <c r="M151" i="39" s="1"/>
  <c r="N151" i="39" s="1"/>
  <c r="I151" i="39"/>
  <c r="J151" i="39" s="1"/>
  <c r="L155" i="39"/>
  <c r="M155" i="39" s="1"/>
  <c r="N155" i="39" s="1"/>
  <c r="I155" i="39"/>
  <c r="J155" i="39" s="1"/>
  <c r="I438" i="39"/>
  <c r="J438" i="39" s="1"/>
  <c r="I495" i="39"/>
  <c r="J495" i="39" s="1"/>
  <c r="I494" i="39"/>
  <c r="J494" i="39" s="1"/>
  <c r="I294" i="39"/>
  <c r="J294" i="39" s="1"/>
  <c r="I295" i="39"/>
  <c r="J295" i="39" s="1"/>
  <c r="I296" i="39"/>
  <c r="J296" i="39" s="1"/>
  <c r="I437" i="39"/>
  <c r="J437" i="39" s="1"/>
  <c r="I298" i="39"/>
  <c r="J298" i="39" s="1"/>
  <c r="I297" i="39"/>
  <c r="J297" i="39" s="1"/>
  <c r="I496" i="39"/>
  <c r="J496" i="39" s="1"/>
  <c r="L149" i="39"/>
  <c r="M149" i="39" s="1"/>
  <c r="N149" i="39" s="1"/>
  <c r="I149" i="39"/>
  <c r="J149" i="39" s="1"/>
  <c r="L154" i="39"/>
  <c r="M154" i="39" s="1"/>
  <c r="N154" i="39" s="1"/>
  <c r="I154" i="39"/>
  <c r="J154" i="39" s="1"/>
  <c r="L156" i="39"/>
  <c r="M156" i="39" s="1"/>
  <c r="N156" i="39" s="1"/>
  <c r="I156" i="39"/>
  <c r="J156" i="39" s="1"/>
  <c r="I398" i="39"/>
  <c r="J398" i="39" s="1"/>
  <c r="L145" i="39"/>
  <c r="M145" i="39" s="1"/>
  <c r="N145" i="39" s="1"/>
  <c r="I145" i="39"/>
  <c r="J145" i="39" s="1"/>
  <c r="L120" i="39"/>
  <c r="M120" i="39" s="1"/>
  <c r="N120" i="39" s="1"/>
  <c r="I120" i="39"/>
  <c r="J120" i="39" s="1"/>
  <c r="I436" i="39"/>
  <c r="J436" i="39" s="1"/>
  <c r="I291" i="39"/>
  <c r="J291" i="39" s="1"/>
  <c r="I292" i="39"/>
  <c r="J292" i="39" s="1"/>
  <c r="K48" i="42"/>
  <c r="L48" i="42" s="1"/>
  <c r="K97" i="42"/>
  <c r="L97" i="42" s="1"/>
  <c r="M114" i="42"/>
  <c r="N114" i="42" s="1"/>
  <c r="O114" i="42" s="1"/>
  <c r="P114" i="42" s="1"/>
  <c r="K114" i="42"/>
  <c r="L114" i="42" s="1"/>
  <c r="L145" i="17"/>
  <c r="M145" i="17" s="1"/>
  <c r="N145" i="17" s="1"/>
  <c r="O145" i="17" s="1"/>
  <c r="L143" i="17"/>
  <c r="I289" i="39"/>
  <c r="J289" i="39" s="1"/>
  <c r="L144" i="39"/>
  <c r="M144" i="39" s="1"/>
  <c r="N144" i="39" s="1"/>
  <c r="I144" i="39"/>
  <c r="J144" i="39" s="1"/>
  <c r="L143" i="39"/>
  <c r="M143" i="39" s="1"/>
  <c r="N143" i="39" s="1"/>
  <c r="I143" i="39"/>
  <c r="J143" i="39" s="1"/>
  <c r="L146" i="39"/>
  <c r="M146" i="39" s="1"/>
  <c r="N146" i="39" s="1"/>
  <c r="I146" i="39"/>
  <c r="J146" i="39" s="1"/>
  <c r="I493" i="39"/>
  <c r="J493" i="39" s="1"/>
  <c r="I435" i="39"/>
  <c r="J435" i="39" s="1"/>
  <c r="I290" i="39"/>
  <c r="J290" i="39" s="1"/>
  <c r="I288" i="39"/>
  <c r="J288" i="39" s="1"/>
  <c r="I492" i="39"/>
  <c r="J492" i="39" s="1"/>
  <c r="K148" i="42"/>
  <c r="L148" i="42" s="1"/>
  <c r="I392" i="39"/>
  <c r="J392" i="39" s="1"/>
  <c r="L188" i="17"/>
  <c r="L161" i="17"/>
  <c r="L142" i="17"/>
  <c r="M142" i="17" s="1"/>
  <c r="L107" i="17"/>
  <c r="M107" i="17" s="1"/>
  <c r="N107" i="17" s="1"/>
  <c r="O107" i="17" s="1"/>
  <c r="L39" i="17"/>
  <c r="M39" i="17" s="1"/>
  <c r="N39" i="17" s="1"/>
  <c r="O39" i="17" s="1"/>
  <c r="I391" i="39"/>
  <c r="J391" i="39" s="1"/>
  <c r="J188" i="17"/>
  <c r="K188" i="17" s="1"/>
  <c r="J161" i="17"/>
  <c r="K161" i="17" s="1"/>
  <c r="I390" i="39"/>
  <c r="J390" i="39" s="1"/>
  <c r="L147" i="39"/>
  <c r="M147" i="39" s="1"/>
  <c r="N147" i="39" s="1"/>
  <c r="I147" i="39"/>
  <c r="J147" i="39" s="1"/>
  <c r="I287" i="39"/>
  <c r="J287" i="39" s="1"/>
  <c r="I286" i="39"/>
  <c r="J286" i="39" s="1"/>
  <c r="I285" i="39"/>
  <c r="J285" i="39" s="1"/>
  <c r="K147" i="42"/>
  <c r="L147" i="42" s="1"/>
  <c r="K113" i="42"/>
  <c r="L113" i="42" s="1"/>
  <c r="I284" i="39"/>
  <c r="J284" i="39" s="1"/>
  <c r="I434" i="39"/>
  <c r="J434" i="39" s="1"/>
  <c r="I433" i="39"/>
  <c r="J433" i="39" s="1"/>
  <c r="I283" i="39"/>
  <c r="J283" i="39" s="1"/>
  <c r="L139" i="39"/>
  <c r="M139" i="39" s="1"/>
  <c r="N139" i="39" s="1"/>
  <c r="I139" i="39"/>
  <c r="J139" i="39" s="1"/>
  <c r="L136" i="39"/>
  <c r="M136" i="39" s="1"/>
  <c r="N136" i="39" s="1"/>
  <c r="I136" i="39"/>
  <c r="J136" i="39" s="1"/>
  <c r="L142" i="39"/>
  <c r="M142" i="39" s="1"/>
  <c r="N142" i="39" s="1"/>
  <c r="I142" i="39"/>
  <c r="J142" i="39" s="1"/>
  <c r="L141" i="39"/>
  <c r="M141" i="39" s="1"/>
  <c r="N141" i="39" s="1"/>
  <c r="I141" i="39"/>
  <c r="J141" i="39" s="1"/>
  <c r="L133" i="39"/>
  <c r="M133" i="39" s="1"/>
  <c r="N133" i="39" s="1"/>
  <c r="I133" i="39"/>
  <c r="J133" i="39" s="1"/>
  <c r="I280" i="39"/>
  <c r="J280" i="39" s="1"/>
  <c r="K35" i="42"/>
  <c r="L35" i="42" s="1"/>
  <c r="K36" i="42"/>
  <c r="L36" i="42" s="1"/>
  <c r="K37" i="42"/>
  <c r="L37" i="42" s="1"/>
  <c r="K38" i="42"/>
  <c r="L38" i="42" s="1"/>
  <c r="K39" i="42"/>
  <c r="L39" i="42" s="1"/>
  <c r="K40" i="42"/>
  <c r="L40" i="42" s="1"/>
  <c r="K41" i="42"/>
  <c r="L41" i="42" s="1"/>
  <c r="K42" i="42"/>
  <c r="L42" i="42" s="1"/>
  <c r="K43" i="42"/>
  <c r="L43" i="42" s="1"/>
  <c r="K44" i="42"/>
  <c r="L44" i="42" s="1"/>
  <c r="K45" i="42"/>
  <c r="L45" i="42" s="1"/>
  <c r="K46" i="42"/>
  <c r="L46" i="42" s="1"/>
  <c r="K47" i="42"/>
  <c r="L47" i="42" s="1"/>
  <c r="M96" i="42"/>
  <c r="N96" i="42" s="1"/>
  <c r="O96" i="42" s="1"/>
  <c r="P96" i="42" s="1"/>
  <c r="K96" i="42"/>
  <c r="L96" i="42" s="1"/>
  <c r="K146" i="42"/>
  <c r="L146" i="42" s="1"/>
  <c r="K145" i="42"/>
  <c r="L145" i="42" s="1"/>
  <c r="K144" i="42"/>
  <c r="L144" i="42" s="1"/>
  <c r="K143" i="42"/>
  <c r="L143" i="42" s="1"/>
  <c r="K142" i="42"/>
  <c r="L142" i="42" s="1"/>
  <c r="L232" i="17"/>
  <c r="I389" i="39"/>
  <c r="J389" i="39" s="1"/>
  <c r="L138" i="39"/>
  <c r="M138" i="39" s="1"/>
  <c r="N138" i="39" s="1"/>
  <c r="I138" i="39"/>
  <c r="J138" i="39" s="1"/>
  <c r="L135" i="39"/>
  <c r="M135" i="39" s="1"/>
  <c r="N135" i="39" s="1"/>
  <c r="L134" i="39"/>
  <c r="M134" i="39" s="1"/>
  <c r="N134" i="39" s="1"/>
  <c r="L132" i="39"/>
  <c r="M132" i="39" s="1"/>
  <c r="N132" i="39" s="1"/>
  <c r="L140" i="39"/>
  <c r="M140" i="39" s="1"/>
  <c r="N140" i="39" s="1"/>
  <c r="L137" i="39"/>
  <c r="M137" i="39" s="1"/>
  <c r="N137" i="39" s="1"/>
  <c r="I135" i="39"/>
  <c r="J135" i="39" s="1"/>
  <c r="I134" i="39"/>
  <c r="J134" i="39" s="1"/>
  <c r="I132" i="39"/>
  <c r="J132" i="39" s="1"/>
  <c r="I140" i="39"/>
  <c r="J140" i="39" s="1"/>
  <c r="I114" i="39"/>
  <c r="J114" i="39" s="1"/>
  <c r="I116" i="39"/>
  <c r="J116" i="39" s="1"/>
  <c r="I525" i="39"/>
  <c r="J525" i="39" s="1"/>
  <c r="I521" i="39"/>
  <c r="J521" i="39" s="1"/>
  <c r="I119" i="39"/>
  <c r="J119" i="39" s="1"/>
  <c r="I122" i="39"/>
  <c r="J122" i="39" s="1"/>
  <c r="I121" i="39"/>
  <c r="J121" i="39" s="1"/>
  <c r="I123" i="39"/>
  <c r="J123" i="39" s="1"/>
  <c r="I124" i="39"/>
  <c r="J124" i="39" s="1"/>
  <c r="I126" i="39"/>
  <c r="J126" i="39" s="1"/>
  <c r="I127" i="39"/>
  <c r="J127" i="39" s="1"/>
  <c r="I125" i="39"/>
  <c r="J125" i="39" s="1"/>
  <c r="I129" i="39"/>
  <c r="J129" i="39" s="1"/>
  <c r="I131" i="39"/>
  <c r="J131" i="39" s="1"/>
  <c r="I130" i="39"/>
  <c r="J130" i="39" s="1"/>
  <c r="I128" i="39"/>
  <c r="J128" i="39" s="1"/>
  <c r="I137" i="39"/>
  <c r="J137" i="39" s="1"/>
  <c r="I491" i="39"/>
  <c r="J491" i="39" s="1"/>
  <c r="I432" i="39"/>
  <c r="J432" i="39" s="1"/>
  <c r="K431" i="39"/>
  <c r="I431" i="39"/>
  <c r="J431" i="39" s="1"/>
  <c r="B431" i="39"/>
  <c r="I430" i="39"/>
  <c r="J430" i="39" s="1"/>
  <c r="I281" i="39"/>
  <c r="J281" i="39" s="1"/>
  <c r="I282" i="39"/>
  <c r="J282" i="39" s="1"/>
  <c r="K279" i="39"/>
  <c r="L279" i="39" s="1"/>
  <c r="M279" i="39" s="1"/>
  <c r="N279" i="39" s="1"/>
  <c r="I279" i="39"/>
  <c r="J279" i="39" s="1"/>
  <c r="B279" i="39"/>
  <c r="I278" i="39"/>
  <c r="J278" i="39" s="1"/>
  <c r="I277" i="39"/>
  <c r="J277" i="39" s="1"/>
  <c r="I276" i="39"/>
  <c r="J276" i="39" s="1"/>
  <c r="I274" i="39"/>
  <c r="J274" i="39" s="1"/>
  <c r="I275" i="39"/>
  <c r="J275" i="39" s="1"/>
  <c r="I89" i="39"/>
  <c r="I90" i="39"/>
  <c r="I99" i="39"/>
  <c r="I102" i="39"/>
  <c r="I103" i="39"/>
  <c r="I104" i="39"/>
  <c r="I105" i="39"/>
  <c r="I109" i="39"/>
  <c r="I110" i="39"/>
  <c r="I111" i="39"/>
  <c r="I112" i="39"/>
  <c r="I117" i="39"/>
  <c r="I483" i="39"/>
  <c r="J483" i="39" s="1"/>
  <c r="I533" i="39"/>
  <c r="J533" i="39" s="1"/>
  <c r="I485" i="39"/>
  <c r="J485" i="39" s="1"/>
  <c r="I486" i="39"/>
  <c r="J486" i="39" s="1"/>
  <c r="K111" i="42"/>
  <c r="L111" i="42" s="1"/>
  <c r="L185" i="17"/>
  <c r="L196" i="17" s="1"/>
  <c r="J185" i="17"/>
  <c r="K185" i="17" s="1"/>
  <c r="J184" i="17"/>
  <c r="J261" i="17"/>
  <c r="K261" i="17" s="1"/>
  <c r="J325" i="17"/>
  <c r="K325" i="17" s="1"/>
  <c r="J183" i="17"/>
  <c r="K183" i="17" s="1"/>
  <c r="J182" i="17"/>
  <c r="K182" i="17" s="1"/>
  <c r="J259" i="17"/>
  <c r="J15" i="17"/>
  <c r="J175" i="17"/>
  <c r="K175" i="17" s="1"/>
  <c r="J174" i="17"/>
  <c r="K174" i="17" s="1"/>
  <c r="J324" i="17"/>
  <c r="K324" i="17" s="1"/>
  <c r="J306" i="17"/>
  <c r="K388" i="39"/>
  <c r="L388" i="39" s="1"/>
  <c r="M388" i="39" s="1"/>
  <c r="N388" i="39" s="1"/>
  <c r="I388" i="39"/>
  <c r="J388" i="39" s="1"/>
  <c r="M95" i="42"/>
  <c r="N95" i="42" s="1"/>
  <c r="O95" i="42" s="1"/>
  <c r="P95" i="42" s="1"/>
  <c r="K95" i="42"/>
  <c r="L95" i="42" s="1"/>
  <c r="L128" i="39"/>
  <c r="M128" i="39" s="1"/>
  <c r="N128" i="39" s="1"/>
  <c r="L130" i="39"/>
  <c r="M130" i="39" s="1"/>
  <c r="N130" i="39" s="1"/>
  <c r="L131" i="39"/>
  <c r="M131" i="39" s="1"/>
  <c r="N131" i="39" s="1"/>
  <c r="L129" i="39"/>
  <c r="M129" i="39" s="1"/>
  <c r="N129" i="39" s="1"/>
  <c r="K93" i="42"/>
  <c r="L93" i="42" s="1"/>
  <c r="K94" i="42"/>
  <c r="L94" i="42" s="1"/>
  <c r="L125" i="39"/>
  <c r="M125" i="39" s="1"/>
  <c r="N125" i="39" s="1"/>
  <c r="L127" i="39"/>
  <c r="M127" i="39" s="1"/>
  <c r="N127" i="39" s="1"/>
  <c r="L126" i="39"/>
  <c r="M126" i="39" s="1"/>
  <c r="N126" i="39" s="1"/>
  <c r="I490" i="39"/>
  <c r="J490" i="39" s="1"/>
  <c r="I273" i="39"/>
  <c r="J273" i="39" s="1"/>
  <c r="I271" i="39"/>
  <c r="J271" i="39" s="1"/>
  <c r="I272" i="39"/>
  <c r="J272" i="39" s="1"/>
  <c r="I429" i="39"/>
  <c r="J429" i="39" s="1"/>
  <c r="K141" i="42"/>
  <c r="L141" i="42" s="1"/>
  <c r="I489" i="39"/>
  <c r="J489" i="39" s="1"/>
  <c r="I488" i="39"/>
  <c r="J488" i="39" s="1"/>
  <c r="I487" i="39"/>
  <c r="J487" i="39" s="1"/>
  <c r="I532" i="39"/>
  <c r="J532" i="39" s="1"/>
  <c r="I481" i="39"/>
  <c r="J481" i="39" s="1"/>
  <c r="I480" i="39"/>
  <c r="J480" i="39" s="1"/>
  <c r="I479" i="39"/>
  <c r="J479" i="39" s="1"/>
  <c r="I478" i="39"/>
  <c r="J478" i="39" s="1"/>
  <c r="I477" i="39"/>
  <c r="J477" i="39" s="1"/>
  <c r="I476" i="39"/>
  <c r="J476" i="39" s="1"/>
  <c r="I475" i="39"/>
  <c r="J475" i="39" s="1"/>
  <c r="I474" i="39"/>
  <c r="J474" i="39" s="1"/>
  <c r="I473" i="39"/>
  <c r="J473" i="39" s="1"/>
  <c r="I472" i="39"/>
  <c r="J472" i="39" s="1"/>
  <c r="I471" i="39"/>
  <c r="J471" i="39" s="1"/>
  <c r="I470" i="39"/>
  <c r="J470" i="39" s="1"/>
  <c r="I469" i="39"/>
  <c r="J469" i="39" s="1"/>
  <c r="I468" i="39"/>
  <c r="J468" i="39" s="1"/>
  <c r="I467" i="39"/>
  <c r="J467" i="39" s="1"/>
  <c r="I466" i="39"/>
  <c r="J466" i="39" s="1"/>
  <c r="I465" i="39"/>
  <c r="J465" i="39" s="1"/>
  <c r="I464" i="39"/>
  <c r="J464" i="39" s="1"/>
  <c r="I463" i="39"/>
  <c r="J463" i="39" s="1"/>
  <c r="I462" i="39"/>
  <c r="J462" i="39" s="1"/>
  <c r="I461" i="39"/>
  <c r="J461" i="39" s="1"/>
  <c r="I460" i="39"/>
  <c r="J460" i="39" s="1"/>
  <c r="I459" i="39"/>
  <c r="J459" i="39" s="1"/>
  <c r="I458" i="39"/>
  <c r="J458" i="39" s="1"/>
  <c r="I457" i="39"/>
  <c r="J457" i="39" s="1"/>
  <c r="I267" i="39"/>
  <c r="J267" i="39" s="1"/>
  <c r="I268" i="39"/>
  <c r="J268" i="39" s="1"/>
  <c r="I269" i="39"/>
  <c r="J269" i="39" s="1"/>
  <c r="I270" i="39"/>
  <c r="J270" i="39" s="1"/>
  <c r="I265" i="39"/>
  <c r="J265" i="39" s="1"/>
  <c r="I264" i="39"/>
  <c r="J264" i="39" s="1"/>
  <c r="I266" i="39"/>
  <c r="J266" i="39" s="1"/>
  <c r="I262" i="39"/>
  <c r="J262" i="39" s="1"/>
  <c r="I263" i="39"/>
  <c r="J263" i="39" s="1"/>
  <c r="I261" i="39"/>
  <c r="J261" i="39" s="1"/>
  <c r="I535" i="39"/>
  <c r="J535" i="39" s="1"/>
  <c r="I260" i="39"/>
  <c r="J260" i="39" s="1"/>
  <c r="I259" i="39"/>
  <c r="J259" i="39" s="1"/>
  <c r="I257" i="39"/>
  <c r="J257" i="39" s="1"/>
  <c r="I256" i="39"/>
  <c r="J256" i="39" s="1"/>
  <c r="I255" i="39"/>
  <c r="J255" i="39" s="1"/>
  <c r="I254" i="39"/>
  <c r="J254" i="39" s="1"/>
  <c r="I253" i="39"/>
  <c r="J253" i="39" s="1"/>
  <c r="I251" i="39"/>
  <c r="J251" i="39" s="1"/>
  <c r="I250" i="39"/>
  <c r="J250" i="39" s="1"/>
  <c r="I252" i="39"/>
  <c r="J252" i="39" s="1"/>
  <c r="I249" i="39"/>
  <c r="J249" i="39" s="1"/>
  <c r="I248" i="39"/>
  <c r="J248" i="39" s="1"/>
  <c r="I247" i="39"/>
  <c r="J247" i="39" s="1"/>
  <c r="I246" i="39"/>
  <c r="J246" i="39" s="1"/>
  <c r="I245" i="39"/>
  <c r="J245" i="39" s="1"/>
  <c r="I534" i="39"/>
  <c r="J534" i="39" s="1"/>
  <c r="I531" i="39"/>
  <c r="J531" i="39" s="1"/>
  <c r="I242" i="39"/>
  <c r="J242" i="39" s="1"/>
  <c r="I241" i="39"/>
  <c r="J241" i="39" s="1"/>
  <c r="I240" i="39"/>
  <c r="J240" i="39" s="1"/>
  <c r="I239" i="39"/>
  <c r="J239" i="39" s="1"/>
  <c r="I238" i="39"/>
  <c r="J238" i="39" s="1"/>
  <c r="I237" i="39"/>
  <c r="J237" i="39" s="1"/>
  <c r="I236" i="39"/>
  <c r="J236" i="39" s="1"/>
  <c r="I235" i="39"/>
  <c r="J235" i="39" s="1"/>
  <c r="I234" i="39"/>
  <c r="J234" i="39" s="1"/>
  <c r="I233" i="39"/>
  <c r="J233" i="39" s="1"/>
  <c r="I232" i="39"/>
  <c r="J232" i="39" s="1"/>
  <c r="I231" i="39"/>
  <c r="J231" i="39" s="1"/>
  <c r="I230" i="39"/>
  <c r="J230" i="39" s="1"/>
  <c r="I229" i="39"/>
  <c r="J229" i="39" s="1"/>
  <c r="I228" i="39"/>
  <c r="J228" i="39" s="1"/>
  <c r="I227" i="39"/>
  <c r="J227" i="39" s="1"/>
  <c r="I226" i="39"/>
  <c r="J226" i="39" s="1"/>
  <c r="I225" i="39"/>
  <c r="J225" i="39" s="1"/>
  <c r="I224" i="39"/>
  <c r="J224" i="39" s="1"/>
  <c r="I223" i="39"/>
  <c r="J223" i="39" s="1"/>
  <c r="I222" i="39"/>
  <c r="J222" i="39" s="1"/>
  <c r="I221" i="39"/>
  <c r="J221" i="39" s="1"/>
  <c r="I220" i="39"/>
  <c r="J220" i="39" s="1"/>
  <c r="I428" i="39"/>
  <c r="J428" i="39" s="1"/>
  <c r="I427" i="39"/>
  <c r="J427" i="39" s="1"/>
  <c r="I426" i="39"/>
  <c r="J426" i="39" s="1"/>
  <c r="I425" i="39"/>
  <c r="J425" i="39" s="1"/>
  <c r="I424" i="39"/>
  <c r="J424" i="39" s="1"/>
  <c r="I423" i="39"/>
  <c r="J423" i="39" s="1"/>
  <c r="I422" i="39"/>
  <c r="J422" i="39" s="1"/>
  <c r="I421" i="39"/>
  <c r="J421" i="39" s="1"/>
  <c r="I420" i="39"/>
  <c r="J420" i="39" s="1"/>
  <c r="I419" i="39"/>
  <c r="J419" i="39" s="1"/>
  <c r="I418" i="39"/>
  <c r="J418" i="39" s="1"/>
  <c r="I417" i="39"/>
  <c r="J417" i="39" s="1"/>
  <c r="I416" i="39"/>
  <c r="J416" i="39" s="1"/>
  <c r="K92" i="42"/>
  <c r="L92" i="42" s="1"/>
  <c r="L141" i="17"/>
  <c r="M141" i="17" s="1"/>
  <c r="N141" i="17" s="1"/>
  <c r="O141" i="17" s="1"/>
  <c r="K165" i="42"/>
  <c r="L165" i="42" s="1"/>
  <c r="K109" i="42"/>
  <c r="L109" i="42" s="1"/>
  <c r="K107" i="42"/>
  <c r="L107" i="42" s="1"/>
  <c r="K140" i="42"/>
  <c r="L140" i="42" s="1"/>
  <c r="K427" i="39"/>
  <c r="L427" i="39" s="1"/>
  <c r="M427" i="39" s="1"/>
  <c r="N427" i="39" s="1"/>
  <c r="B427" i="39"/>
  <c r="K266" i="39"/>
  <c r="L266" i="39" s="1"/>
  <c r="M266" i="39" s="1"/>
  <c r="N266" i="39" s="1"/>
  <c r="K139" i="42"/>
  <c r="L139" i="42" s="1"/>
  <c r="K124" i="39"/>
  <c r="L124" i="39" s="1"/>
  <c r="M124" i="39" s="1"/>
  <c r="N124" i="39" s="1"/>
  <c r="B124" i="39"/>
  <c r="B191" i="39" s="1"/>
  <c r="K123" i="39"/>
  <c r="L121" i="39"/>
  <c r="M121" i="39" s="1"/>
  <c r="N121" i="39" s="1"/>
  <c r="L122" i="39"/>
  <c r="M122" i="39" s="1"/>
  <c r="N122" i="39" s="1"/>
  <c r="K426" i="39"/>
  <c r="B426" i="39"/>
  <c r="K91" i="42"/>
  <c r="L91" i="42" s="1"/>
  <c r="K425" i="39"/>
  <c r="L425" i="39" s="1"/>
  <c r="M425" i="39" s="1"/>
  <c r="N425" i="39" s="1"/>
  <c r="M90" i="42"/>
  <c r="N90" i="42" s="1"/>
  <c r="O90" i="42" s="1"/>
  <c r="P90" i="42" s="1"/>
  <c r="Q11" i="17"/>
  <c r="K134" i="42"/>
  <c r="L134" i="42" s="1"/>
  <c r="K135" i="42"/>
  <c r="L135" i="42" s="1"/>
  <c r="K136" i="42"/>
  <c r="L136" i="42" s="1"/>
  <c r="K137" i="42"/>
  <c r="L137" i="42" s="1"/>
  <c r="K138" i="42"/>
  <c r="L138" i="42" s="1"/>
  <c r="K129" i="42"/>
  <c r="L129" i="42" s="1"/>
  <c r="K130" i="42"/>
  <c r="L130" i="42" s="1"/>
  <c r="K131" i="42"/>
  <c r="L131" i="42" s="1"/>
  <c r="K132" i="42"/>
  <c r="L132" i="42" s="1"/>
  <c r="K133" i="42"/>
  <c r="L133" i="42" s="1"/>
  <c r="K90" i="42"/>
  <c r="L90" i="42" s="1"/>
  <c r="L137" i="17"/>
  <c r="M137" i="17" s="1"/>
  <c r="N137" i="17" s="1"/>
  <c r="O137" i="17" s="1"/>
  <c r="K82" i="42"/>
  <c r="L82" i="42" s="1"/>
  <c r="L35" i="17"/>
  <c r="M35" i="17" s="1"/>
  <c r="N35" i="17" s="1"/>
  <c r="O35" i="17" s="1"/>
  <c r="L136" i="17"/>
  <c r="M136" i="17" s="1"/>
  <c r="N136" i="17" s="1"/>
  <c r="O136" i="17" s="1"/>
  <c r="L160" i="17"/>
  <c r="M160" i="17" s="1"/>
  <c r="N160" i="17" s="1"/>
  <c r="O160" i="17" s="1"/>
  <c r="J160" i="17"/>
  <c r="K160" i="17" s="1"/>
  <c r="L99" i="17"/>
  <c r="M99" i="17" s="1"/>
  <c r="N99" i="17" s="1"/>
  <c r="O99" i="17" s="1"/>
  <c r="L32" i="17"/>
  <c r="M32" i="17" s="1"/>
  <c r="N32" i="17" s="1"/>
  <c r="O32" i="17" s="1"/>
  <c r="M135" i="42"/>
  <c r="N135" i="42" s="1"/>
  <c r="N153" i="42" s="1"/>
  <c r="K87" i="42"/>
  <c r="L87" i="42" s="1"/>
  <c r="K88" i="42"/>
  <c r="L88" i="42" s="1"/>
  <c r="K89" i="42"/>
  <c r="L89" i="42" s="1"/>
  <c r="K84" i="42"/>
  <c r="L84" i="42" s="1"/>
  <c r="M50" i="42"/>
  <c r="B43" i="26" s="1"/>
  <c r="L521" i="39"/>
  <c r="M521" i="39" s="1"/>
  <c r="N521" i="39" s="1"/>
  <c r="L525" i="39"/>
  <c r="M525" i="39" s="1"/>
  <c r="N525" i="39" s="1"/>
  <c r="L119" i="39"/>
  <c r="M119" i="39" s="1"/>
  <c r="N119" i="39" s="1"/>
  <c r="I363" i="39"/>
  <c r="J363" i="39" s="1"/>
  <c r="I351" i="39"/>
  <c r="J351" i="39" s="1"/>
  <c r="I375" i="39"/>
  <c r="J375" i="39" s="1"/>
  <c r="I371" i="39"/>
  <c r="J371" i="39" s="1"/>
  <c r="I347" i="39"/>
  <c r="J347" i="39" s="1"/>
  <c r="I357" i="39"/>
  <c r="J357" i="39" s="1"/>
  <c r="I358" i="39"/>
  <c r="J358" i="39" s="1"/>
  <c r="I360" i="39"/>
  <c r="J360" i="39" s="1"/>
  <c r="I364" i="39"/>
  <c r="J364" i="39" s="1"/>
  <c r="I368" i="39"/>
  <c r="J368" i="39" s="1"/>
  <c r="I369" i="39"/>
  <c r="J369" i="39" s="1"/>
  <c r="I372" i="39"/>
  <c r="J372" i="39" s="1"/>
  <c r="I373" i="39"/>
  <c r="J373" i="39" s="1"/>
  <c r="I374" i="39"/>
  <c r="J374" i="39" s="1"/>
  <c r="I378" i="39"/>
  <c r="J378" i="39" s="1"/>
  <c r="I377" i="39"/>
  <c r="J377" i="39" s="1"/>
  <c r="I376" i="39"/>
  <c r="J376" i="39" s="1"/>
  <c r="I348" i="39"/>
  <c r="J348" i="39" s="1"/>
  <c r="I349" i="39"/>
  <c r="J349" i="39" s="1"/>
  <c r="I352" i="39"/>
  <c r="J352" i="39" s="1"/>
  <c r="I356" i="39"/>
  <c r="J356" i="39" s="1"/>
  <c r="I353" i="39"/>
  <c r="J353" i="39" s="1"/>
  <c r="I365" i="39"/>
  <c r="J365" i="39" s="1"/>
  <c r="I366" i="39"/>
  <c r="J366" i="39" s="1"/>
  <c r="I361" i="39"/>
  <c r="J361" i="39" s="1"/>
  <c r="I362" i="39"/>
  <c r="J362" i="39" s="1"/>
  <c r="I339" i="39"/>
  <c r="J339" i="39" s="1"/>
  <c r="I337" i="39"/>
  <c r="J337" i="39" s="1"/>
  <c r="I340" i="39"/>
  <c r="J340" i="39" s="1"/>
  <c r="I343" i="39"/>
  <c r="J343" i="39" s="1"/>
  <c r="I350" i="39"/>
  <c r="J350" i="39" s="1"/>
  <c r="I367" i="39"/>
  <c r="J367" i="39" s="1"/>
  <c r="I370" i="39"/>
  <c r="J370" i="39" s="1"/>
  <c r="I344" i="39"/>
  <c r="J344" i="39" s="1"/>
  <c r="I345" i="39"/>
  <c r="J345" i="39" s="1"/>
  <c r="I346" i="39"/>
  <c r="J346" i="39" s="1"/>
  <c r="I354" i="39"/>
  <c r="J354" i="39" s="1"/>
  <c r="I355" i="39"/>
  <c r="J355" i="39" s="1"/>
  <c r="I338" i="39"/>
  <c r="J338" i="39" s="1"/>
  <c r="I341" i="39"/>
  <c r="J341" i="39" s="1"/>
  <c r="I51" i="39"/>
  <c r="J51" i="39" s="1"/>
  <c r="L51" i="39"/>
  <c r="M51" i="39" s="1"/>
  <c r="N51" i="39" s="1"/>
  <c r="I65" i="39"/>
  <c r="J65" i="39" s="1"/>
  <c r="L65" i="39"/>
  <c r="M65" i="39" s="1"/>
  <c r="N65" i="39" s="1"/>
  <c r="I66" i="39"/>
  <c r="J66" i="39" s="1"/>
  <c r="L66" i="39"/>
  <c r="M66" i="39" s="1"/>
  <c r="N66" i="39" s="1"/>
  <c r="I67" i="39"/>
  <c r="J67" i="39" s="1"/>
  <c r="L67" i="39"/>
  <c r="M67" i="39" s="1"/>
  <c r="N67" i="39" s="1"/>
  <c r="I69" i="39"/>
  <c r="J69" i="39" s="1"/>
  <c r="L69" i="39"/>
  <c r="M69" i="39" s="1"/>
  <c r="N69" i="39" s="1"/>
  <c r="I72" i="39"/>
  <c r="J72" i="39" s="1"/>
  <c r="L72" i="39"/>
  <c r="M72" i="39" s="1"/>
  <c r="N72" i="39" s="1"/>
  <c r="I84" i="39"/>
  <c r="J84" i="39" s="1"/>
  <c r="L84" i="39"/>
  <c r="M84" i="39" s="1"/>
  <c r="N84" i="39" s="1"/>
  <c r="I82" i="39"/>
  <c r="J82" i="39" s="1"/>
  <c r="L82" i="39"/>
  <c r="M82" i="39" s="1"/>
  <c r="N82" i="39" s="1"/>
  <c r="I80" i="39"/>
  <c r="J80" i="39" s="1"/>
  <c r="L80" i="39"/>
  <c r="M80" i="39" s="1"/>
  <c r="N80" i="39" s="1"/>
  <c r="I83" i="39"/>
  <c r="J83" i="39" s="1"/>
  <c r="L83" i="39"/>
  <c r="M83" i="39" s="1"/>
  <c r="N83" i="39" s="1"/>
  <c r="I81" i="39"/>
  <c r="J81" i="39" s="1"/>
  <c r="L81" i="39"/>
  <c r="M81" i="39" s="1"/>
  <c r="N81" i="39" s="1"/>
  <c r="I91" i="39"/>
  <c r="J91" i="39" s="1"/>
  <c r="L91" i="39"/>
  <c r="M91" i="39" s="1"/>
  <c r="N91" i="39" s="1"/>
  <c r="I92" i="39"/>
  <c r="J92" i="39" s="1"/>
  <c r="L92" i="39"/>
  <c r="M92" i="39" s="1"/>
  <c r="N92" i="39" s="1"/>
  <c r="I100" i="39"/>
  <c r="J100" i="39" s="1"/>
  <c r="L100" i="39"/>
  <c r="M100" i="39" s="1"/>
  <c r="N100" i="39" s="1"/>
  <c r="I41" i="39"/>
  <c r="J41" i="39" s="1"/>
  <c r="L41" i="39"/>
  <c r="M41" i="39" s="1"/>
  <c r="N41" i="39" s="1"/>
  <c r="I106" i="39"/>
  <c r="J106" i="39" s="1"/>
  <c r="L106" i="39"/>
  <c r="M106" i="39" s="1"/>
  <c r="N106" i="39" s="1"/>
  <c r="L114" i="39"/>
  <c r="M114" i="39" s="1"/>
  <c r="N114" i="39" s="1"/>
  <c r="I42" i="39"/>
  <c r="J42" i="39" s="1"/>
  <c r="L42" i="39"/>
  <c r="M42" i="39" s="1"/>
  <c r="N42" i="39" s="1"/>
  <c r="I43" i="39"/>
  <c r="J43" i="39" s="1"/>
  <c r="L43" i="39"/>
  <c r="M43" i="39" s="1"/>
  <c r="N43" i="39" s="1"/>
  <c r="I52" i="39"/>
  <c r="J52" i="39" s="1"/>
  <c r="L52" i="39"/>
  <c r="M52" i="39" s="1"/>
  <c r="N52" i="39" s="1"/>
  <c r="I44" i="39"/>
  <c r="J44" i="39" s="1"/>
  <c r="L44" i="39"/>
  <c r="M44" i="39" s="1"/>
  <c r="N44" i="39" s="1"/>
  <c r="I73" i="39"/>
  <c r="J73" i="39" s="1"/>
  <c r="L73" i="39"/>
  <c r="M73" i="39" s="1"/>
  <c r="N73" i="39" s="1"/>
  <c r="I101" i="39"/>
  <c r="J101" i="39" s="1"/>
  <c r="L101" i="39"/>
  <c r="M101" i="39" s="1"/>
  <c r="N101" i="39" s="1"/>
  <c r="I45" i="39"/>
  <c r="J45" i="39" s="1"/>
  <c r="L45" i="39"/>
  <c r="M45" i="39" s="1"/>
  <c r="N45" i="39" s="1"/>
  <c r="I29" i="39"/>
  <c r="J29" i="39" s="1"/>
  <c r="L29" i="39"/>
  <c r="M29" i="39" s="1"/>
  <c r="N29" i="39" s="1"/>
  <c r="I30" i="39"/>
  <c r="J30" i="39" s="1"/>
  <c r="L30" i="39"/>
  <c r="M30" i="39" s="1"/>
  <c r="N30" i="39" s="1"/>
  <c r="I53" i="39"/>
  <c r="J53" i="39" s="1"/>
  <c r="L53" i="39"/>
  <c r="M53" i="39" s="1"/>
  <c r="N53" i="39" s="1"/>
  <c r="I13" i="39"/>
  <c r="J13" i="39" s="1"/>
  <c r="L13" i="39"/>
  <c r="M13" i="39" s="1"/>
  <c r="N13" i="39" s="1"/>
  <c r="I19" i="39"/>
  <c r="J19" i="39" s="1"/>
  <c r="L19" i="39"/>
  <c r="M19" i="39" s="1"/>
  <c r="N19" i="39" s="1"/>
  <c r="I54" i="39"/>
  <c r="J54" i="39" s="1"/>
  <c r="L54" i="39"/>
  <c r="M54" i="39" s="1"/>
  <c r="N54" i="39" s="1"/>
  <c r="I20" i="39"/>
  <c r="J20" i="39" s="1"/>
  <c r="L20" i="39"/>
  <c r="M20" i="39" s="1"/>
  <c r="N20" i="39" s="1"/>
  <c r="I35" i="39"/>
  <c r="J35" i="39" s="1"/>
  <c r="L35" i="39"/>
  <c r="M35" i="39" s="1"/>
  <c r="N35" i="39" s="1"/>
  <c r="I56" i="39"/>
  <c r="J56" i="39" s="1"/>
  <c r="L56" i="39"/>
  <c r="M56" i="39" s="1"/>
  <c r="N56" i="39" s="1"/>
  <c r="I68" i="39"/>
  <c r="J68" i="39" s="1"/>
  <c r="L68" i="39"/>
  <c r="M68" i="39" s="1"/>
  <c r="N68" i="39" s="1"/>
  <c r="I86" i="39"/>
  <c r="J86" i="39" s="1"/>
  <c r="L86" i="39"/>
  <c r="M86" i="39" s="1"/>
  <c r="N86" i="39" s="1"/>
  <c r="I21" i="39"/>
  <c r="J21" i="39" s="1"/>
  <c r="L21" i="39"/>
  <c r="M21" i="39" s="1"/>
  <c r="N21" i="39" s="1"/>
  <c r="I46" i="39"/>
  <c r="J46" i="39" s="1"/>
  <c r="L46" i="39"/>
  <c r="M46" i="39" s="1"/>
  <c r="N46" i="39" s="1"/>
  <c r="I14" i="39"/>
  <c r="J14" i="39" s="1"/>
  <c r="L14" i="39"/>
  <c r="M14" i="39" s="1"/>
  <c r="N14" i="39" s="1"/>
  <c r="I47" i="39"/>
  <c r="J47" i="39" s="1"/>
  <c r="L47" i="39"/>
  <c r="M47" i="39" s="1"/>
  <c r="N47" i="39" s="1"/>
  <c r="I48" i="39"/>
  <c r="J48" i="39" s="1"/>
  <c r="L48" i="39"/>
  <c r="M48" i="39" s="1"/>
  <c r="N48" i="39" s="1"/>
  <c r="I57" i="39"/>
  <c r="J57" i="39" s="1"/>
  <c r="L57" i="39"/>
  <c r="M57" i="39" s="1"/>
  <c r="N57" i="39" s="1"/>
  <c r="I58" i="39"/>
  <c r="J58" i="39" s="1"/>
  <c r="L58" i="39"/>
  <c r="M58" i="39" s="1"/>
  <c r="N58" i="39" s="1"/>
  <c r="I93" i="39"/>
  <c r="J93" i="39" s="1"/>
  <c r="L93" i="39"/>
  <c r="M93" i="39" s="1"/>
  <c r="N93" i="39" s="1"/>
  <c r="I107" i="39"/>
  <c r="J107" i="39" s="1"/>
  <c r="L107" i="39"/>
  <c r="M107" i="39" s="1"/>
  <c r="N107" i="39" s="1"/>
  <c r="I36" i="39"/>
  <c r="J36" i="39" s="1"/>
  <c r="L36" i="39"/>
  <c r="M36" i="39" s="1"/>
  <c r="N36" i="39" s="1"/>
  <c r="I37" i="39"/>
  <c r="J37" i="39" s="1"/>
  <c r="L37" i="39"/>
  <c r="M37" i="39" s="1"/>
  <c r="N37" i="39" s="1"/>
  <c r="I38" i="39"/>
  <c r="J38" i="39" s="1"/>
  <c r="L38" i="39"/>
  <c r="M38" i="39" s="1"/>
  <c r="N38" i="39" s="1"/>
  <c r="I27" i="39"/>
  <c r="J27" i="39" s="1"/>
  <c r="L27" i="39"/>
  <c r="M27" i="39" s="1"/>
  <c r="N27" i="39" s="1"/>
  <c r="I49" i="39"/>
  <c r="J49" i="39" s="1"/>
  <c r="L49" i="39"/>
  <c r="M49" i="39" s="1"/>
  <c r="N49" i="39" s="1"/>
  <c r="I39" i="39"/>
  <c r="J39" i="39" s="1"/>
  <c r="L39" i="39"/>
  <c r="M39" i="39" s="1"/>
  <c r="N39" i="39" s="1"/>
  <c r="I199" i="39"/>
  <c r="J199" i="39" s="1"/>
  <c r="I194" i="39"/>
  <c r="J194" i="39" s="1"/>
  <c r="I213" i="39"/>
  <c r="J213" i="39" s="1"/>
  <c r="I200" i="39"/>
  <c r="J200" i="39" s="1"/>
  <c r="I195" i="39"/>
  <c r="J195" i="39" s="1"/>
  <c r="I15" i="39"/>
  <c r="J15" i="39" s="1"/>
  <c r="L15" i="39"/>
  <c r="M15" i="39" s="1"/>
  <c r="N15" i="39" s="1"/>
  <c r="I60" i="39"/>
  <c r="J60" i="39" s="1"/>
  <c r="L60" i="39"/>
  <c r="M60" i="39" s="1"/>
  <c r="N60" i="39" s="1"/>
  <c r="I70" i="39"/>
  <c r="J70" i="39" s="1"/>
  <c r="L70" i="39"/>
  <c r="M70" i="39" s="1"/>
  <c r="N70" i="39" s="1"/>
  <c r="I94" i="39"/>
  <c r="J94" i="39" s="1"/>
  <c r="L94" i="39"/>
  <c r="M94" i="39" s="1"/>
  <c r="N94" i="39" s="1"/>
  <c r="I95" i="39"/>
  <c r="J95" i="39" s="1"/>
  <c r="L95" i="39"/>
  <c r="M95" i="39" s="1"/>
  <c r="N95" i="39" s="1"/>
  <c r="I96" i="39"/>
  <c r="J96" i="39" s="1"/>
  <c r="L96" i="39"/>
  <c r="M96" i="39" s="1"/>
  <c r="N96" i="39" s="1"/>
  <c r="I97" i="39"/>
  <c r="J97" i="39" s="1"/>
  <c r="L97" i="39"/>
  <c r="M97" i="39" s="1"/>
  <c r="N97" i="39" s="1"/>
  <c r="I108" i="39"/>
  <c r="J108" i="39" s="1"/>
  <c r="L108" i="39"/>
  <c r="M108" i="39" s="1"/>
  <c r="N108" i="39" s="1"/>
  <c r="I59" i="39"/>
  <c r="J59" i="39" s="1"/>
  <c r="L59" i="39"/>
  <c r="M59" i="39" s="1"/>
  <c r="N59" i="39" s="1"/>
  <c r="I76" i="39"/>
  <c r="J76" i="39" s="1"/>
  <c r="L76" i="39"/>
  <c r="M76" i="39" s="1"/>
  <c r="N76" i="39" s="1"/>
  <c r="I32" i="39"/>
  <c r="J32" i="39" s="1"/>
  <c r="L32" i="39"/>
  <c r="M32" i="39" s="1"/>
  <c r="N32" i="39" s="1"/>
  <c r="I33" i="39"/>
  <c r="J33" i="39" s="1"/>
  <c r="L33" i="39"/>
  <c r="M33" i="39" s="1"/>
  <c r="N33" i="39" s="1"/>
  <c r="I22" i="39"/>
  <c r="J22" i="39" s="1"/>
  <c r="L22" i="39"/>
  <c r="M22" i="39" s="1"/>
  <c r="N22" i="39" s="1"/>
  <c r="I34" i="39"/>
  <c r="J34" i="39" s="1"/>
  <c r="L34" i="39"/>
  <c r="M34" i="39" s="1"/>
  <c r="N34" i="39" s="1"/>
  <c r="I23" i="39"/>
  <c r="J23" i="39" s="1"/>
  <c r="L23" i="39"/>
  <c r="M23" i="39" s="1"/>
  <c r="N23" i="39" s="1"/>
  <c r="I50" i="39"/>
  <c r="J50" i="39" s="1"/>
  <c r="L50" i="39"/>
  <c r="M50" i="39" s="1"/>
  <c r="N50" i="39" s="1"/>
  <c r="I215" i="39"/>
  <c r="J215" i="39" s="1"/>
  <c r="I216" i="39"/>
  <c r="J216" i="39" s="1"/>
  <c r="I196" i="39"/>
  <c r="J196" i="39" s="1"/>
  <c r="I197" i="39"/>
  <c r="J197" i="39" s="1"/>
  <c r="I198" i="39"/>
  <c r="J198" i="39" s="1"/>
  <c r="I63" i="39"/>
  <c r="J63" i="39" s="1"/>
  <c r="L63" i="39"/>
  <c r="M63" i="39" s="1"/>
  <c r="N63" i="39" s="1"/>
  <c r="L116" i="39"/>
  <c r="M116" i="39" s="1"/>
  <c r="N116" i="39" s="1"/>
  <c r="I61" i="39"/>
  <c r="J61" i="39" s="1"/>
  <c r="L61" i="39"/>
  <c r="M61" i="39" s="1"/>
  <c r="N61" i="39" s="1"/>
  <c r="I62" i="39"/>
  <c r="J62" i="39" s="1"/>
  <c r="L62" i="39"/>
  <c r="M62" i="39" s="1"/>
  <c r="N62" i="39" s="1"/>
  <c r="I342" i="39"/>
  <c r="J342" i="39" s="1"/>
  <c r="I24" i="39"/>
  <c r="J24" i="39" s="1"/>
  <c r="L24" i="39"/>
  <c r="M24" i="39" s="1"/>
  <c r="N24" i="39" s="1"/>
  <c r="I16" i="39"/>
  <c r="J16" i="39" s="1"/>
  <c r="L16" i="39"/>
  <c r="M16" i="39" s="1"/>
  <c r="N16" i="39" s="1"/>
  <c r="I17" i="39"/>
  <c r="J17" i="39" s="1"/>
  <c r="L17" i="39"/>
  <c r="M17" i="39" s="1"/>
  <c r="N17" i="39" s="1"/>
  <c r="I18" i="39"/>
  <c r="J18" i="39" s="1"/>
  <c r="L18" i="39"/>
  <c r="M18" i="39" s="1"/>
  <c r="N18" i="39" s="1"/>
  <c r="I28" i="39"/>
  <c r="J28" i="39" s="1"/>
  <c r="L28" i="39"/>
  <c r="M28" i="39" s="1"/>
  <c r="N28" i="39" s="1"/>
  <c r="I98" i="39"/>
  <c r="J98" i="39" s="1"/>
  <c r="L98" i="39"/>
  <c r="M98" i="39" s="1"/>
  <c r="N98" i="39" s="1"/>
  <c r="I40" i="39"/>
  <c r="J40" i="39" s="1"/>
  <c r="L40" i="39"/>
  <c r="M40" i="39" s="1"/>
  <c r="N40" i="39" s="1"/>
  <c r="I25" i="39"/>
  <c r="J25" i="39" s="1"/>
  <c r="L25" i="39"/>
  <c r="M25" i="39" s="1"/>
  <c r="N25" i="39" s="1"/>
  <c r="I207" i="39"/>
  <c r="J207" i="39" s="1"/>
  <c r="I209" i="39"/>
  <c r="J209" i="39" s="1"/>
  <c r="I211" i="39"/>
  <c r="J211" i="39" s="1"/>
  <c r="I218" i="39"/>
  <c r="J218" i="39" s="1"/>
  <c r="I219" i="39"/>
  <c r="J219" i="39" s="1"/>
  <c r="I214" i="39"/>
  <c r="J214" i="39" s="1"/>
  <c r="I201" i="39"/>
  <c r="J201" i="39" s="1"/>
  <c r="I206" i="39"/>
  <c r="J206" i="39" s="1"/>
  <c r="I212" i="39"/>
  <c r="J212" i="39" s="1"/>
  <c r="I210" i="39"/>
  <c r="J210" i="39" s="1"/>
  <c r="I208" i="39"/>
  <c r="J208" i="39" s="1"/>
  <c r="I217" i="39"/>
  <c r="J217" i="39" s="1"/>
  <c r="I203" i="39"/>
  <c r="J203" i="39" s="1"/>
  <c r="I202" i="39"/>
  <c r="J202" i="39" s="1"/>
  <c r="I204" i="39"/>
  <c r="J204" i="39" s="1"/>
  <c r="I205" i="39"/>
  <c r="J205" i="39" s="1"/>
  <c r="I74" i="39"/>
  <c r="J74" i="39" s="1"/>
  <c r="L74" i="39"/>
  <c r="M74" i="39" s="1"/>
  <c r="N74" i="39" s="1"/>
  <c r="I85" i="39"/>
  <c r="J85" i="39" s="1"/>
  <c r="L85" i="39"/>
  <c r="M85" i="39" s="1"/>
  <c r="N85" i="39" s="1"/>
  <c r="I75" i="39"/>
  <c r="J75" i="39" s="1"/>
  <c r="L75" i="39"/>
  <c r="M75" i="39" s="1"/>
  <c r="N75" i="39" s="1"/>
  <c r="I26" i="39"/>
  <c r="J26" i="39" s="1"/>
  <c r="L26" i="39"/>
  <c r="M26" i="39" s="1"/>
  <c r="N26" i="39" s="1"/>
  <c r="I31" i="39"/>
  <c r="J31" i="39" s="1"/>
  <c r="L31" i="39"/>
  <c r="M31" i="39" s="1"/>
  <c r="N31" i="39" s="1"/>
  <c r="I55" i="39"/>
  <c r="J55" i="39" s="1"/>
  <c r="L55" i="39"/>
  <c r="M55" i="39" s="1"/>
  <c r="N55" i="39" s="1"/>
  <c r="I77" i="39"/>
  <c r="J77" i="39" s="1"/>
  <c r="L77" i="39"/>
  <c r="M77" i="39" s="1"/>
  <c r="N77" i="39" s="1"/>
  <c r="I71" i="39"/>
  <c r="J71" i="39" s="1"/>
  <c r="L71" i="39"/>
  <c r="M71" i="39" s="1"/>
  <c r="N71" i="39" s="1"/>
  <c r="I78" i="39"/>
  <c r="J78" i="39" s="1"/>
  <c r="L78" i="39"/>
  <c r="M78" i="39" s="1"/>
  <c r="N78" i="39" s="1"/>
  <c r="I79" i="39"/>
  <c r="J79" i="39" s="1"/>
  <c r="L79" i="39"/>
  <c r="M79" i="39" s="1"/>
  <c r="N79" i="39" s="1"/>
  <c r="I87" i="39"/>
  <c r="J87" i="39" s="1"/>
  <c r="L87" i="39"/>
  <c r="M87" i="39" s="1"/>
  <c r="N87" i="39" s="1"/>
  <c r="I88" i="39"/>
  <c r="J88" i="39" s="1"/>
  <c r="L88" i="39"/>
  <c r="M88" i="39" s="1"/>
  <c r="N88" i="39" s="1"/>
  <c r="I64" i="39"/>
  <c r="J64" i="39" s="1"/>
  <c r="L64" i="39"/>
  <c r="M64" i="39" s="1"/>
  <c r="N64" i="39" s="1"/>
  <c r="K56" i="42"/>
  <c r="L56" i="42" s="1"/>
  <c r="K78" i="42"/>
  <c r="L78" i="42" s="1"/>
  <c r="K79" i="42"/>
  <c r="L79" i="42" s="1"/>
  <c r="K80" i="42"/>
  <c r="L80" i="42" s="1"/>
  <c r="K81" i="42"/>
  <c r="L81" i="42" s="1"/>
  <c r="K77" i="42"/>
  <c r="L77" i="42" s="1"/>
  <c r="K74" i="42"/>
  <c r="L74" i="42" s="1"/>
  <c r="K75" i="42"/>
  <c r="L75" i="42" s="1"/>
  <c r="K76" i="42"/>
  <c r="L76" i="42" s="1"/>
  <c r="K72" i="42"/>
  <c r="L72" i="42" s="1"/>
  <c r="K64" i="42"/>
  <c r="L64" i="42" s="1"/>
  <c r="K65" i="42"/>
  <c r="L65" i="42" s="1"/>
  <c r="K66" i="42"/>
  <c r="L66" i="42" s="1"/>
  <c r="K73" i="42"/>
  <c r="L73" i="42" s="1"/>
  <c r="K68" i="42"/>
  <c r="L68" i="42" s="1"/>
  <c r="K69" i="42"/>
  <c r="L69" i="42" s="1"/>
  <c r="K70" i="42"/>
  <c r="L70" i="42" s="1"/>
  <c r="K71" i="42"/>
  <c r="L71" i="42" s="1"/>
  <c r="K67" i="42"/>
  <c r="L67" i="42" s="1"/>
  <c r="K59" i="42"/>
  <c r="L59" i="42" s="1"/>
  <c r="K60" i="42"/>
  <c r="L60" i="42" s="1"/>
  <c r="K61" i="42"/>
  <c r="L61" i="42" s="1"/>
  <c r="K58" i="42"/>
  <c r="L58" i="42" s="1"/>
  <c r="K54" i="42"/>
  <c r="L54" i="42" s="1"/>
  <c r="K55" i="42"/>
  <c r="L55" i="42" s="1"/>
  <c r="K86" i="42"/>
  <c r="L86" i="42" s="1"/>
  <c r="K62" i="42"/>
  <c r="L62" i="42" s="1"/>
  <c r="K29" i="42"/>
  <c r="L29" i="42" s="1"/>
  <c r="K30" i="42"/>
  <c r="L30" i="42" s="1"/>
  <c r="K31" i="42"/>
  <c r="L31" i="42" s="1"/>
  <c r="K32" i="42"/>
  <c r="L32" i="42" s="1"/>
  <c r="K33" i="42"/>
  <c r="L33" i="42" s="1"/>
  <c r="K34" i="42"/>
  <c r="L34" i="42" s="1"/>
  <c r="K23" i="42"/>
  <c r="K20" i="42"/>
  <c r="K21" i="42"/>
  <c r="K22" i="42"/>
  <c r="K157" i="42"/>
  <c r="K19" i="42"/>
  <c r="K13" i="42"/>
  <c r="K18" i="42"/>
  <c r="L18" i="42" s="1"/>
  <c r="K156" i="42"/>
  <c r="L156" i="42" s="1"/>
  <c r="J216" i="17"/>
  <c r="J218" i="17"/>
  <c r="K218" i="17" s="1"/>
  <c r="J265" i="17"/>
  <c r="J267" i="17"/>
  <c r="K267" i="17" s="1"/>
  <c r="J130" i="17"/>
  <c r="K130" i="17" s="1"/>
  <c r="H53" i="26"/>
  <c r="AI53" i="26" s="1"/>
  <c r="D53" i="26"/>
  <c r="AE53" i="26" s="1"/>
  <c r="AD53" i="26" s="1"/>
  <c r="H8" i="26"/>
  <c r="AP14" i="43"/>
  <c r="AJ15" i="43"/>
  <c r="R18" i="43"/>
  <c r="X23" i="43"/>
  <c r="Y23" i="43" s="1"/>
  <c r="AA23" i="43" s="1"/>
  <c r="AP47" i="43"/>
  <c r="R25" i="43"/>
  <c r="V25" i="43" s="1"/>
  <c r="AP25" i="43"/>
  <c r="AJ49" i="43"/>
  <c r="AP49" i="43"/>
  <c r="R14" i="43"/>
  <c r="AJ20" i="43"/>
  <c r="AP26" i="43"/>
  <c r="AJ28" i="43"/>
  <c r="AP28" i="43"/>
  <c r="AJ29" i="43"/>
  <c r="R29" i="43"/>
  <c r="V29" i="43" s="1"/>
  <c r="AP29" i="43"/>
  <c r="AP32" i="43"/>
  <c r="AP34" i="43"/>
  <c r="AP38" i="43"/>
  <c r="AP42" i="43"/>
  <c r="AP44" i="43"/>
  <c r="X46" i="43"/>
  <c r="Y46" i="43" s="1"/>
  <c r="AA46" i="43" s="1"/>
  <c r="AN53" i="43"/>
  <c r="R38" i="43"/>
  <c r="X38" i="43"/>
  <c r="Y38" i="43" s="1"/>
  <c r="AA38" i="43" s="1"/>
  <c r="R42" i="43"/>
  <c r="X42" i="43"/>
  <c r="Y42" i="43" s="1"/>
  <c r="AA42" i="43" s="1"/>
  <c r="R44" i="43"/>
  <c r="AJ45" i="43"/>
  <c r="AN62" i="43"/>
  <c r="AJ84" i="43"/>
  <c r="AP84" i="43"/>
  <c r="AJ70" i="43"/>
  <c r="AP70" i="43" s="1"/>
  <c r="AN70" i="43"/>
  <c r="AJ96" i="43"/>
  <c r="AP96" i="43"/>
  <c r="AP97" i="43"/>
  <c r="AN71" i="43"/>
  <c r="AJ71" i="43"/>
  <c r="AJ72" i="43"/>
  <c r="X88" i="43"/>
  <c r="Y88" i="43" s="1"/>
  <c r="AA88" i="43" s="1"/>
  <c r="R88" i="43"/>
  <c r="AJ88" i="43"/>
  <c r="AP94" i="43"/>
  <c r="R26" i="43"/>
  <c r="R28" i="43"/>
  <c r="V28" i="43" s="1"/>
  <c r="AL28" i="43" s="1"/>
  <c r="AN58" i="43"/>
  <c r="X63" i="43"/>
  <c r="Y63" i="43" s="1"/>
  <c r="AA63" i="43" s="1"/>
  <c r="R63" i="43"/>
  <c r="AJ63" i="43"/>
  <c r="R82" i="43"/>
  <c r="AP93" i="43"/>
  <c r="AN68" i="43"/>
  <c r="X75" i="43"/>
  <c r="Y75" i="43" s="1"/>
  <c r="AA75" i="43" s="1"/>
  <c r="AN75" i="43"/>
  <c r="R93" i="43"/>
  <c r="AJ94" i="43"/>
  <c r="Q95" i="43"/>
  <c r="N114" i="43"/>
  <c r="AJ128" i="43"/>
  <c r="AP128" i="43"/>
  <c r="R128" i="43"/>
  <c r="AN103" i="43"/>
  <c r="AN105" i="43"/>
  <c r="AP124" i="43"/>
  <c r="AP130" i="43"/>
  <c r="AJ103" i="43"/>
  <c r="AJ105" i="43"/>
  <c r="AJ124" i="43"/>
  <c r="AJ126" i="43"/>
  <c r="AJ134" i="43"/>
  <c r="AP136" i="43"/>
  <c r="R136" i="43"/>
  <c r="V136" i="43" s="1"/>
  <c r="AJ106" i="43"/>
  <c r="AJ108" i="43"/>
  <c r="AJ123" i="43"/>
  <c r="AJ125" i="43"/>
  <c r="X128" i="43"/>
  <c r="Y128" i="43" s="1"/>
  <c r="AA128" i="43" s="1"/>
  <c r="AJ129" i="43"/>
  <c r="AP156" i="43"/>
  <c r="R157" i="43"/>
  <c r="V157" i="43" s="1"/>
  <c r="AJ170" i="43"/>
  <c r="AP170" i="43"/>
  <c r="R159" i="43"/>
  <c r="X110" i="43"/>
  <c r="Y110" i="43" s="1"/>
  <c r="AA110" i="43" s="1"/>
  <c r="R137" i="43"/>
  <c r="AJ140" i="43"/>
  <c r="AJ143" i="43"/>
  <c r="X156" i="43"/>
  <c r="Y156" i="43" s="1"/>
  <c r="AA156" i="43" s="1"/>
  <c r="AP169" i="43"/>
  <c r="AP172" i="43"/>
  <c r="X172" i="43"/>
  <c r="Y172" i="43" s="1"/>
  <c r="AA172" i="43" s="1"/>
  <c r="AP179" i="43"/>
  <c r="AP178" i="43"/>
  <c r="AJ184" i="43"/>
  <c r="AP184" i="43"/>
  <c r="X176" i="43"/>
  <c r="Y176" i="43" s="1"/>
  <c r="AA176" i="43" s="1"/>
  <c r="R141" i="43"/>
  <c r="R156" i="43"/>
  <c r="AP180" i="43"/>
  <c r="AJ183" i="43"/>
  <c r="R207" i="43"/>
  <c r="X207" i="43"/>
  <c r="Y207" i="43" s="1"/>
  <c r="AA207" i="43" s="1"/>
  <c r="R211" i="43"/>
  <c r="V211" i="43" s="1"/>
  <c r="R219" i="43"/>
  <c r="T219" i="43" s="1"/>
  <c r="X255" i="43"/>
  <c r="Y255" i="43" s="1"/>
  <c r="AA255" i="43" s="1"/>
  <c r="R161" i="43"/>
  <c r="V161" i="43" s="1"/>
  <c r="T156" i="43"/>
  <c r="V156" i="43"/>
  <c r="V14" i="43"/>
  <c r="T14" i="43"/>
  <c r="V15" i="43"/>
  <c r="AL15" i="43" s="1"/>
  <c r="V82" i="43"/>
  <c r="T28" i="43"/>
  <c r="AP161" i="43"/>
  <c r="T25" i="43"/>
  <c r="X15" i="43"/>
  <c r="Y15" i="43"/>
  <c r="AA15" i="43" s="1"/>
  <c r="R37" i="43"/>
  <c r="T37" i="43" s="1"/>
  <c r="X123" i="43"/>
  <c r="Y123" i="43" s="1"/>
  <c r="AA123" i="43" s="1"/>
  <c r="AB123" i="43" s="1"/>
  <c r="T222" i="43"/>
  <c r="X45" i="43"/>
  <c r="Y45" i="43" s="1"/>
  <c r="AA45" i="43" s="1"/>
  <c r="AP60" i="43"/>
  <c r="R176" i="43"/>
  <c r="T136" i="43"/>
  <c r="X125" i="43"/>
  <c r="Y125" i="43" s="1"/>
  <c r="AA125" i="43" s="1"/>
  <c r="X222" i="43"/>
  <c r="Y222" i="43" s="1"/>
  <c r="AA222" i="43" s="1"/>
  <c r="V37" i="43"/>
  <c r="AP37" i="43"/>
  <c r="R123" i="43"/>
  <c r="V123" i="43" s="1"/>
  <c r="R125" i="43"/>
  <c r="V125" i="43" s="1"/>
  <c r="AL125" i="43" s="1"/>
  <c r="T225" i="43"/>
  <c r="R74" i="43"/>
  <c r="V74" i="43" s="1"/>
  <c r="AP123" i="43"/>
  <c r="AP175" i="43"/>
  <c r="X226" i="43"/>
  <c r="Y226" i="43" s="1"/>
  <c r="AA226" i="43" s="1"/>
  <c r="R239" i="43"/>
  <c r="T239" i="43" s="1"/>
  <c r="AP15" i="43"/>
  <c r="R175" i="43"/>
  <c r="V175" i="43" s="1"/>
  <c r="T74" i="43"/>
  <c r="R203" i="43"/>
  <c r="X74" i="43"/>
  <c r="Y74" i="43" s="1"/>
  <c r="AA74" i="43" s="1"/>
  <c r="R127" i="43"/>
  <c r="V127" i="43" s="1"/>
  <c r="I212" i="17"/>
  <c r="J212" i="17" s="1"/>
  <c r="K212" i="17" s="1"/>
  <c r="T175" i="43"/>
  <c r="T127" i="43"/>
  <c r="V67" i="43"/>
  <c r="P110" i="17" l="1"/>
  <c r="Q110" i="17"/>
  <c r="R110" i="17"/>
  <c r="P130" i="17"/>
  <c r="P30" i="17"/>
  <c r="R30" i="17"/>
  <c r="P109" i="17"/>
  <c r="Q109" i="17"/>
  <c r="R109" i="17"/>
  <c r="P102" i="17"/>
  <c r="R102" i="17"/>
  <c r="S102" i="17" s="1"/>
  <c r="Q102" i="17"/>
  <c r="P87" i="17"/>
  <c r="P191" i="17"/>
  <c r="Q191" i="17"/>
  <c r="R191" i="17"/>
  <c r="Q54" i="17"/>
  <c r="P189" i="17"/>
  <c r="Q189" i="17"/>
  <c r="R189" i="17" s="1"/>
  <c r="Q48" i="17"/>
  <c r="Q181" i="17"/>
  <c r="P181" i="17"/>
  <c r="R181" i="17"/>
  <c r="S181" i="17" s="1"/>
  <c r="P134" i="17"/>
  <c r="R134" i="17"/>
  <c r="Q134" i="17"/>
  <c r="P148" i="17"/>
  <c r="Q148" i="17"/>
  <c r="R148" i="17"/>
  <c r="R160" i="17"/>
  <c r="P160" i="17"/>
  <c r="Q160" i="17"/>
  <c r="P174" i="17"/>
  <c r="R174" i="17"/>
  <c r="Q174" i="17"/>
  <c r="R187" i="17"/>
  <c r="P187" i="17"/>
  <c r="Q187" i="17"/>
  <c r="Q108" i="17"/>
  <c r="P101" i="17"/>
  <c r="Q101" i="17"/>
  <c r="R101" i="17"/>
  <c r="S101" i="17" s="1"/>
  <c r="P85" i="17"/>
  <c r="R85" i="17"/>
  <c r="P145" i="17"/>
  <c r="Q145" i="17"/>
  <c r="R145" i="17"/>
  <c r="S145" i="17" s="1"/>
  <c r="R139" i="17"/>
  <c r="Q139" i="17"/>
  <c r="P139" i="17"/>
  <c r="P104" i="17"/>
  <c r="R104" i="17"/>
  <c r="Q104" i="17"/>
  <c r="P136" i="17"/>
  <c r="Q136" i="17"/>
  <c r="R136" i="17"/>
  <c r="P162" i="17"/>
  <c r="P103" i="17"/>
  <c r="Q103" i="17"/>
  <c r="R103" i="17"/>
  <c r="P175" i="17"/>
  <c r="Q175" i="17"/>
  <c r="R175" i="17"/>
  <c r="P185" i="17"/>
  <c r="R185" i="17"/>
  <c r="N334" i="17"/>
  <c r="O334" i="17" s="1"/>
  <c r="Q37" i="17"/>
  <c r="R186" i="17"/>
  <c r="Q186" i="17"/>
  <c r="P186" i="17"/>
  <c r="P26" i="17"/>
  <c r="P13" i="17"/>
  <c r="R13" i="17"/>
  <c r="P107" i="17"/>
  <c r="Q107" i="17"/>
  <c r="R107" i="17"/>
  <c r="P100" i="17"/>
  <c r="R100" i="17"/>
  <c r="Q100" i="17"/>
  <c r="P97" i="17"/>
  <c r="P144" i="17"/>
  <c r="Q144" i="17"/>
  <c r="R144" i="17" s="1"/>
  <c r="S144" i="17" s="1"/>
  <c r="P132" i="17"/>
  <c r="R132" i="17"/>
  <c r="Q45" i="17"/>
  <c r="Q50" i="17"/>
  <c r="P183" i="17"/>
  <c r="R183" i="17"/>
  <c r="Q183" i="17"/>
  <c r="P89" i="17"/>
  <c r="R89" i="17"/>
  <c r="P188" i="17"/>
  <c r="R188" i="17"/>
  <c r="R179" i="17"/>
  <c r="P179" i="17"/>
  <c r="Q179" i="17"/>
  <c r="Q36" i="17"/>
  <c r="P137" i="17"/>
  <c r="Q137" i="17"/>
  <c r="R137" i="17"/>
  <c r="P25" i="17"/>
  <c r="Q25" i="17"/>
  <c r="R25" i="17"/>
  <c r="P106" i="17"/>
  <c r="R106" i="17"/>
  <c r="S106" i="17" s="1"/>
  <c r="Q106" i="17"/>
  <c r="P143" i="17"/>
  <c r="Q143" i="17"/>
  <c r="R143" i="17" s="1"/>
  <c r="Q190" i="17"/>
  <c r="P190" i="17"/>
  <c r="P32" i="17"/>
  <c r="R32" i="17"/>
  <c r="S32" i="17" s="1"/>
  <c r="Q32" i="17"/>
  <c r="P141" i="17"/>
  <c r="Q141" i="17"/>
  <c r="R141" i="17"/>
  <c r="P35" i="17"/>
  <c r="Q35" i="17"/>
  <c r="R35" i="17"/>
  <c r="S35" i="17" s="1"/>
  <c r="P222" i="17"/>
  <c r="P19" i="17"/>
  <c r="R19" i="17"/>
  <c r="S19" i="17" s="1"/>
  <c r="Q19" i="17"/>
  <c r="P310" i="17"/>
  <c r="P237" i="17"/>
  <c r="P93" i="17"/>
  <c r="R93" i="17"/>
  <c r="Q142" i="17"/>
  <c r="P142" i="17"/>
  <c r="R142" i="17"/>
  <c r="P128" i="17"/>
  <c r="Q42" i="17"/>
  <c r="P146" i="17"/>
  <c r="Q146" i="17"/>
  <c r="R146" i="17"/>
  <c r="S146" i="17" s="1"/>
  <c r="Q53" i="17"/>
  <c r="P161" i="17"/>
  <c r="R161" i="17"/>
  <c r="P159" i="17"/>
  <c r="Q159" i="17"/>
  <c r="R159" i="17"/>
  <c r="P182" i="17"/>
  <c r="R182" i="17"/>
  <c r="Q182" i="17"/>
  <c r="P39" i="17"/>
  <c r="Q39" i="17"/>
  <c r="R39" i="17"/>
  <c r="P140" i="17"/>
  <c r="Q140" i="17"/>
  <c r="R140" i="17"/>
  <c r="P33" i="17"/>
  <c r="R33" i="17"/>
  <c r="P23" i="17"/>
  <c r="R23" i="17"/>
  <c r="Q23" i="17"/>
  <c r="P17" i="17"/>
  <c r="R17" i="17"/>
  <c r="R180" i="17"/>
  <c r="Q180" i="17"/>
  <c r="P180" i="17"/>
  <c r="R176" i="17"/>
  <c r="Q176" i="17"/>
  <c r="P176" i="17"/>
  <c r="P105" i="17"/>
  <c r="R105" i="17"/>
  <c r="Q105" i="17"/>
  <c r="P99" i="17"/>
  <c r="Q99" i="17"/>
  <c r="R99" i="17"/>
  <c r="S99" i="17" s="1"/>
  <c r="P91" i="17"/>
  <c r="Q91" i="17"/>
  <c r="R91" i="17"/>
  <c r="P138" i="17"/>
  <c r="R138" i="17"/>
  <c r="Q138" i="17"/>
  <c r="P43" i="17"/>
  <c r="Q43" i="17"/>
  <c r="P49" i="17"/>
  <c r="Q49" i="17"/>
  <c r="P52" i="17"/>
  <c r="R52" i="17" s="1"/>
  <c r="Q52" i="17"/>
  <c r="R87" i="39"/>
  <c r="P87" i="39"/>
  <c r="R77" i="39"/>
  <c r="P77" i="39"/>
  <c r="P75" i="39"/>
  <c r="P40" i="39"/>
  <c r="P17" i="39"/>
  <c r="P39" i="39"/>
  <c r="R37" i="39"/>
  <c r="P37" i="39"/>
  <c r="R58" i="39"/>
  <c r="P58" i="39"/>
  <c r="R14" i="39"/>
  <c r="P14" i="39"/>
  <c r="R68" i="39"/>
  <c r="P68" i="39"/>
  <c r="R54" i="39"/>
  <c r="P54" i="39"/>
  <c r="P30" i="39"/>
  <c r="P73" i="39"/>
  <c r="R42" i="39"/>
  <c r="P42" i="39"/>
  <c r="R421" i="39"/>
  <c r="P421" i="39"/>
  <c r="P462" i="39"/>
  <c r="R470" i="39"/>
  <c r="P470" i="39"/>
  <c r="R478" i="39"/>
  <c r="P478" i="39"/>
  <c r="P491" i="39"/>
  <c r="P126" i="39"/>
  <c r="Q126" i="39" s="1"/>
  <c r="R116" i="39"/>
  <c r="P116" i="39"/>
  <c r="P142" i="39"/>
  <c r="Q142" i="39" s="1"/>
  <c r="R434" i="39"/>
  <c r="P434" i="39"/>
  <c r="R493" i="39"/>
  <c r="P493" i="39"/>
  <c r="P436" i="39"/>
  <c r="P154" i="39"/>
  <c r="Q154" i="39" s="1"/>
  <c r="P296" i="39"/>
  <c r="Q296" i="39" s="1"/>
  <c r="P151" i="39"/>
  <c r="Q151" i="39" s="1"/>
  <c r="P302" i="39"/>
  <c r="Q302" i="39" s="1"/>
  <c r="P397" i="39"/>
  <c r="Q397" i="39" s="1"/>
  <c r="P310" i="39"/>
  <c r="Q310" i="39" s="1"/>
  <c r="P497" i="39"/>
  <c r="Q497" i="39" s="1"/>
  <c r="R61" i="39"/>
  <c r="P61" i="39"/>
  <c r="R22" i="39"/>
  <c r="P22" i="39"/>
  <c r="P59" i="39"/>
  <c r="P95" i="39"/>
  <c r="P15" i="39"/>
  <c r="P92" i="39"/>
  <c r="R80" i="39"/>
  <c r="P80" i="39"/>
  <c r="P69" i="39"/>
  <c r="R51" i="39"/>
  <c r="P51" i="39"/>
  <c r="R422" i="39"/>
  <c r="P422" i="39"/>
  <c r="R463" i="39"/>
  <c r="P463" i="39"/>
  <c r="P471" i="39"/>
  <c r="R479" i="39"/>
  <c r="P479" i="39"/>
  <c r="R429" i="39"/>
  <c r="P429" i="39"/>
  <c r="R486" i="39"/>
  <c r="P486" i="39"/>
  <c r="P137" i="39"/>
  <c r="Q137" i="39" s="1"/>
  <c r="P124" i="39"/>
  <c r="Q124" i="39" s="1"/>
  <c r="P114" i="39"/>
  <c r="P390" i="39"/>
  <c r="P146" i="39"/>
  <c r="Q146" i="39" s="1"/>
  <c r="R120" i="39"/>
  <c r="P120" i="39"/>
  <c r="P295" i="39"/>
  <c r="P150" i="39"/>
  <c r="Q150" i="39" s="1"/>
  <c r="P299" i="39"/>
  <c r="P441" i="39"/>
  <c r="Q441" i="39" s="1"/>
  <c r="P303" i="39"/>
  <c r="Q303" i="39" s="1"/>
  <c r="R79" i="39"/>
  <c r="P79" i="39"/>
  <c r="P55" i="39"/>
  <c r="P85" i="39"/>
  <c r="P98" i="39"/>
  <c r="P16" i="39"/>
  <c r="P49" i="39"/>
  <c r="R36" i="39"/>
  <c r="P36" i="39"/>
  <c r="P57" i="39"/>
  <c r="P46" i="39"/>
  <c r="P56" i="39"/>
  <c r="R19" i="39"/>
  <c r="P19" i="39"/>
  <c r="R29" i="39"/>
  <c r="P29" i="39"/>
  <c r="R44" i="39"/>
  <c r="P44" i="39"/>
  <c r="R423" i="39"/>
  <c r="P423" i="39"/>
  <c r="P464" i="39"/>
  <c r="R472" i="39"/>
  <c r="P472" i="39"/>
  <c r="R480" i="39"/>
  <c r="P480" i="39"/>
  <c r="P485" i="39"/>
  <c r="P128" i="39"/>
  <c r="Q128" i="39" s="1"/>
  <c r="P140" i="39"/>
  <c r="Q140" i="39" s="1"/>
  <c r="P136" i="39"/>
  <c r="Q136" i="39" s="1"/>
  <c r="P392" i="39"/>
  <c r="Q392" i="39" s="1"/>
  <c r="P149" i="39"/>
  <c r="Q149" i="39" s="1"/>
  <c r="P294" i="39"/>
  <c r="P148" i="39"/>
  <c r="Q148" i="39" s="1"/>
  <c r="P440" i="39"/>
  <c r="Q440" i="39" s="1"/>
  <c r="P399" i="39"/>
  <c r="Q399" i="39" s="1"/>
  <c r="P305" i="39"/>
  <c r="Q305" i="39" s="1"/>
  <c r="P50" i="39"/>
  <c r="P33" i="39"/>
  <c r="P108" i="39"/>
  <c r="R94" i="39"/>
  <c r="P94" i="39"/>
  <c r="P106" i="39"/>
  <c r="R106" i="39"/>
  <c r="P91" i="39"/>
  <c r="P82" i="39"/>
  <c r="R67" i="39"/>
  <c r="P67" i="39"/>
  <c r="L426" i="39"/>
  <c r="M426" i="39" s="1"/>
  <c r="N426" i="39" s="1"/>
  <c r="P416" i="39"/>
  <c r="R424" i="39"/>
  <c r="P424" i="39"/>
  <c r="R457" i="39"/>
  <c r="P457" i="39"/>
  <c r="R465" i="39"/>
  <c r="P465" i="39"/>
  <c r="R473" i="39"/>
  <c r="P473" i="39"/>
  <c r="R481" i="39"/>
  <c r="P481" i="39"/>
  <c r="Q533" i="39"/>
  <c r="R533" i="39" s="1"/>
  <c r="P533" i="39"/>
  <c r="O533" i="39"/>
  <c r="P430" i="39"/>
  <c r="P130" i="39"/>
  <c r="Q130" i="39" s="1"/>
  <c r="P121" i="39"/>
  <c r="Q121" i="39" s="1"/>
  <c r="P132" i="39"/>
  <c r="Q132" i="39" s="1"/>
  <c r="P138" i="39"/>
  <c r="Q138" i="39" s="1"/>
  <c r="P143" i="39"/>
  <c r="Q143" i="39" s="1"/>
  <c r="P145" i="39"/>
  <c r="Q145" i="39" s="1"/>
  <c r="P494" i="39"/>
  <c r="P439" i="39"/>
  <c r="Q439" i="39" s="1"/>
  <c r="P306" i="39"/>
  <c r="Q306" i="39" s="1"/>
  <c r="P64" i="39"/>
  <c r="R78" i="39"/>
  <c r="P78" i="39"/>
  <c r="R31" i="39"/>
  <c r="P31" i="39"/>
  <c r="R74" i="39"/>
  <c r="P74" i="39"/>
  <c r="P28" i="39"/>
  <c r="R24" i="39"/>
  <c r="P24" i="39"/>
  <c r="R63" i="39"/>
  <c r="P63" i="39"/>
  <c r="R27" i="39"/>
  <c r="P27" i="39"/>
  <c r="P107" i="39"/>
  <c r="R48" i="39"/>
  <c r="P48" i="39"/>
  <c r="P21" i="39"/>
  <c r="R35" i="39"/>
  <c r="P35" i="39"/>
  <c r="P13" i="39"/>
  <c r="R45" i="39"/>
  <c r="P45" i="39"/>
  <c r="R52" i="39"/>
  <c r="P52" i="39"/>
  <c r="R417" i="39"/>
  <c r="P417" i="39"/>
  <c r="P425" i="39"/>
  <c r="R458" i="39"/>
  <c r="P458" i="39"/>
  <c r="P466" i="39"/>
  <c r="R474" i="39"/>
  <c r="P474" i="39"/>
  <c r="Q532" i="39"/>
  <c r="P532" i="39"/>
  <c r="O532" i="39"/>
  <c r="P483" i="39"/>
  <c r="P131" i="39"/>
  <c r="Q131" i="39" s="1"/>
  <c r="P122" i="39"/>
  <c r="Q122" i="39" s="1"/>
  <c r="P134" i="39"/>
  <c r="Q134" i="39" s="1"/>
  <c r="P133" i="39"/>
  <c r="Q133" i="39" s="1"/>
  <c r="P139" i="39"/>
  <c r="Q139" i="39" s="1"/>
  <c r="P391" i="39"/>
  <c r="Q391" i="39" s="1"/>
  <c r="P492" i="39"/>
  <c r="P496" i="39"/>
  <c r="Q496" i="39" s="1"/>
  <c r="P495" i="39"/>
  <c r="P293" i="39"/>
  <c r="P393" i="39"/>
  <c r="Q393" i="39" s="1"/>
  <c r="P153" i="39"/>
  <c r="Q153" i="39" s="1"/>
  <c r="P443" i="39"/>
  <c r="Q443" i="39" s="1"/>
  <c r="R23" i="39"/>
  <c r="P23" i="39"/>
  <c r="P32" i="39"/>
  <c r="R97" i="39"/>
  <c r="P97" i="39"/>
  <c r="R70" i="39"/>
  <c r="P70" i="39"/>
  <c r="R41" i="39"/>
  <c r="P41" i="39"/>
  <c r="R81" i="39"/>
  <c r="P81" i="39"/>
  <c r="P84" i="39"/>
  <c r="R66" i="39"/>
  <c r="P66" i="39"/>
  <c r="R418" i="39"/>
  <c r="P418" i="39"/>
  <c r="R426" i="39"/>
  <c r="R459" i="39"/>
  <c r="P459" i="39"/>
  <c r="R467" i="39"/>
  <c r="P467" i="39"/>
  <c r="P475" i="39"/>
  <c r="P487" i="39"/>
  <c r="R490" i="39"/>
  <c r="P490" i="39"/>
  <c r="R431" i="39"/>
  <c r="P129" i="39"/>
  <c r="Q129" i="39" s="1"/>
  <c r="P119" i="39"/>
  <c r="P135" i="39"/>
  <c r="Q135" i="39" s="1"/>
  <c r="P389" i="39"/>
  <c r="Q389" i="39" s="1"/>
  <c r="P144" i="39"/>
  <c r="Q144" i="39" s="1"/>
  <c r="P398" i="39"/>
  <c r="Q398" i="39" s="1"/>
  <c r="P297" i="39"/>
  <c r="Q297" i="39" s="1"/>
  <c r="P438" i="39"/>
  <c r="P157" i="39"/>
  <c r="Q157" i="39" s="1"/>
  <c r="P394" i="39"/>
  <c r="Q394" i="39" s="1"/>
  <c r="P304" i="39"/>
  <c r="Q304" i="39" s="1"/>
  <c r="P442" i="39"/>
  <c r="Q442" i="39" s="1"/>
  <c r="R88" i="39"/>
  <c r="P88" i="39"/>
  <c r="R71" i="39"/>
  <c r="P71" i="39"/>
  <c r="P26" i="39"/>
  <c r="R25" i="39"/>
  <c r="P25" i="39"/>
  <c r="R18" i="39"/>
  <c r="P18" i="39"/>
  <c r="P38" i="39"/>
  <c r="R93" i="39"/>
  <c r="P93" i="39"/>
  <c r="R47" i="39"/>
  <c r="P47" i="39"/>
  <c r="R86" i="39"/>
  <c r="P86" i="39"/>
  <c r="R20" i="39"/>
  <c r="P20" i="39"/>
  <c r="R53" i="39"/>
  <c r="P53" i="39"/>
  <c r="P101" i="39"/>
  <c r="P43" i="39"/>
  <c r="R419" i="39"/>
  <c r="P419" i="39"/>
  <c r="P427" i="39"/>
  <c r="R460" i="39"/>
  <c r="P460" i="39"/>
  <c r="P468" i="39"/>
  <c r="P476" i="39"/>
  <c r="R488" i="39"/>
  <c r="P488" i="39"/>
  <c r="L431" i="39"/>
  <c r="M431" i="39" s="1"/>
  <c r="N431" i="39" s="1"/>
  <c r="P125" i="39"/>
  <c r="Q125" i="39" s="1"/>
  <c r="P141" i="39"/>
  <c r="Q141" i="39" s="1"/>
  <c r="P290" i="39"/>
  <c r="P292" i="39"/>
  <c r="R292" i="39"/>
  <c r="P156" i="39"/>
  <c r="Q156" i="39" s="1"/>
  <c r="P298" i="39"/>
  <c r="Q298" i="39" s="1"/>
  <c r="P155" i="39"/>
  <c r="Q155" i="39" s="1"/>
  <c r="P300" i="39"/>
  <c r="Q300" i="39" s="1"/>
  <c r="P395" i="39"/>
  <c r="Q395" i="39" s="1"/>
  <c r="P307" i="39"/>
  <c r="Q307" i="39" s="1"/>
  <c r="P499" i="39"/>
  <c r="Q499" i="39" s="1"/>
  <c r="R62" i="39"/>
  <c r="P62" i="39"/>
  <c r="R34" i="39"/>
  <c r="P34" i="39"/>
  <c r="P76" i="39"/>
  <c r="P96" i="39"/>
  <c r="R60" i="39"/>
  <c r="P60" i="39"/>
  <c r="P100" i="39"/>
  <c r="R83" i="39"/>
  <c r="P83" i="39"/>
  <c r="R72" i="39"/>
  <c r="P72" i="39"/>
  <c r="P65" i="39"/>
  <c r="R420" i="39"/>
  <c r="P420" i="39"/>
  <c r="P428" i="39"/>
  <c r="P461" i="39"/>
  <c r="R469" i="39"/>
  <c r="P469" i="39"/>
  <c r="R477" i="39"/>
  <c r="P477" i="39"/>
  <c r="P489" i="39"/>
  <c r="R432" i="39"/>
  <c r="P432" i="39"/>
  <c r="P127" i="39"/>
  <c r="Q127" i="39" s="1"/>
  <c r="R433" i="39"/>
  <c r="P433" i="39"/>
  <c r="P147" i="39"/>
  <c r="Q147" i="39" s="1"/>
  <c r="P435" i="39"/>
  <c r="R291" i="39"/>
  <c r="P291" i="39"/>
  <c r="P437" i="39"/>
  <c r="Q437" i="39" s="1"/>
  <c r="P152" i="39"/>
  <c r="Q152" i="39" s="1"/>
  <c r="P301" i="39"/>
  <c r="Q301" i="39" s="1"/>
  <c r="P396" i="39"/>
  <c r="Q396" i="39" s="1"/>
  <c r="P309" i="39"/>
  <c r="Q309" i="39" s="1"/>
  <c r="P498" i="39"/>
  <c r="Q498" i="39" s="1"/>
  <c r="P279" i="39"/>
  <c r="P289" i="39"/>
  <c r="R289" i="39"/>
  <c r="P282" i="39"/>
  <c r="P284" i="39"/>
  <c r="R287" i="39"/>
  <c r="P287" i="39"/>
  <c r="R281" i="39"/>
  <c r="P281" i="39"/>
  <c r="R280" i="39"/>
  <c r="P280" i="39"/>
  <c r="R283" i="39"/>
  <c r="P283" i="39"/>
  <c r="R277" i="39"/>
  <c r="P277" i="39"/>
  <c r="R285" i="39"/>
  <c r="P285" i="39"/>
  <c r="R278" i="39"/>
  <c r="P278" i="39"/>
  <c r="P286" i="39"/>
  <c r="R288" i="39"/>
  <c r="P288" i="39"/>
  <c r="C3" i="39"/>
  <c r="Q11" i="39" s="1"/>
  <c r="R11" i="39" s="1"/>
  <c r="Q8" i="26"/>
  <c r="Z8" i="26" s="1"/>
  <c r="AI8" i="26" s="1"/>
  <c r="R39" i="42"/>
  <c r="R29" i="42"/>
  <c r="S29" i="42" s="1"/>
  <c r="R59" i="42"/>
  <c r="T59" i="42"/>
  <c r="R65" i="42"/>
  <c r="R80" i="42"/>
  <c r="T80" i="42"/>
  <c r="R89" i="42"/>
  <c r="R130" i="42"/>
  <c r="T130" i="42"/>
  <c r="R109" i="42"/>
  <c r="T109" i="42"/>
  <c r="R95" i="42"/>
  <c r="S95" i="42" s="1"/>
  <c r="R142" i="42"/>
  <c r="T142" i="42"/>
  <c r="R46" i="42"/>
  <c r="T46" i="42"/>
  <c r="R38" i="42"/>
  <c r="T38" i="42"/>
  <c r="R62" i="42"/>
  <c r="R67" i="42"/>
  <c r="R64" i="42"/>
  <c r="R79" i="42"/>
  <c r="T79" i="42"/>
  <c r="R88" i="42"/>
  <c r="T88" i="42"/>
  <c r="R129" i="42"/>
  <c r="R141" i="42"/>
  <c r="R143" i="42"/>
  <c r="R45" i="42"/>
  <c r="T45" i="42"/>
  <c r="R37" i="42"/>
  <c r="R81" i="42"/>
  <c r="R156" i="42"/>
  <c r="S156" i="42" s="1"/>
  <c r="R86" i="42"/>
  <c r="R71" i="42"/>
  <c r="R72" i="42"/>
  <c r="R78" i="42"/>
  <c r="R87" i="42"/>
  <c r="R82" i="42"/>
  <c r="R138" i="42"/>
  <c r="R91" i="42"/>
  <c r="R139" i="42"/>
  <c r="R94" i="42"/>
  <c r="R144" i="42"/>
  <c r="R44" i="42"/>
  <c r="R36" i="42"/>
  <c r="R60" i="42"/>
  <c r="R18" i="42"/>
  <c r="S18" i="42" s="1"/>
  <c r="R34" i="42"/>
  <c r="R55" i="42"/>
  <c r="R70" i="42"/>
  <c r="R76" i="42"/>
  <c r="T76" i="42"/>
  <c r="R56" i="42"/>
  <c r="R137" i="42"/>
  <c r="T137" i="42"/>
  <c r="R92" i="42"/>
  <c r="R93" i="42"/>
  <c r="T93" i="42"/>
  <c r="R145" i="42"/>
  <c r="R43" i="42"/>
  <c r="R35" i="42"/>
  <c r="S35" i="42" s="1"/>
  <c r="R113" i="42"/>
  <c r="S113" i="42" s="1"/>
  <c r="T114" i="42"/>
  <c r="R114" i="42"/>
  <c r="R30" i="42"/>
  <c r="T30" i="42"/>
  <c r="R131" i="42"/>
  <c r="R33" i="42"/>
  <c r="T33" i="42"/>
  <c r="R54" i="42"/>
  <c r="R69" i="42"/>
  <c r="R75" i="42"/>
  <c r="R90" i="42"/>
  <c r="T90" i="42"/>
  <c r="T136" i="42"/>
  <c r="R136" i="42"/>
  <c r="R146" i="42"/>
  <c r="T146" i="42"/>
  <c r="R42" i="42"/>
  <c r="T42" i="42"/>
  <c r="R147" i="42"/>
  <c r="T147" i="42"/>
  <c r="R148" i="42"/>
  <c r="R149" i="42"/>
  <c r="R66" i="42"/>
  <c r="T66" i="42"/>
  <c r="R47" i="42"/>
  <c r="S47" i="42" s="1"/>
  <c r="T32" i="42"/>
  <c r="R32" i="42"/>
  <c r="R58" i="42"/>
  <c r="R68" i="42"/>
  <c r="R74" i="42"/>
  <c r="R133" i="42"/>
  <c r="R135" i="42"/>
  <c r="T135" i="42"/>
  <c r="R96" i="42"/>
  <c r="R41" i="42"/>
  <c r="T97" i="42"/>
  <c r="R97" i="42"/>
  <c r="R115" i="42"/>
  <c r="P50" i="42"/>
  <c r="R84" i="42"/>
  <c r="T98" i="42"/>
  <c r="R98" i="42"/>
  <c r="R31" i="42"/>
  <c r="R61" i="42"/>
  <c r="T73" i="42"/>
  <c r="R73" i="42"/>
  <c r="T77" i="42"/>
  <c r="R77" i="42"/>
  <c r="R132" i="42"/>
  <c r="T132" i="42"/>
  <c r="R134" i="42"/>
  <c r="T140" i="42"/>
  <c r="R140" i="42"/>
  <c r="T40" i="42"/>
  <c r="R40" i="42"/>
  <c r="R48" i="42"/>
  <c r="S48" i="42" s="1"/>
  <c r="P51" i="17"/>
  <c r="R51" i="17" s="1"/>
  <c r="P55" i="17"/>
  <c r="R55" i="17" s="1"/>
  <c r="P108" i="17"/>
  <c r="R108" i="17" s="1"/>
  <c r="P57" i="17"/>
  <c r="R57" i="17" s="1"/>
  <c r="P45" i="17"/>
  <c r="P50" i="17"/>
  <c r="R50" i="17" s="1"/>
  <c r="P36" i="17"/>
  <c r="R36" i="17" s="1"/>
  <c r="P40" i="17"/>
  <c r="R40" i="17" s="1"/>
  <c r="P46" i="17"/>
  <c r="R46" i="17" s="1"/>
  <c r="S46" i="17" s="1"/>
  <c r="P42" i="17"/>
  <c r="R42" i="17" s="1"/>
  <c r="P47" i="17"/>
  <c r="R47" i="17" s="1"/>
  <c r="P53" i="17"/>
  <c r="R53" i="17" s="1"/>
  <c r="P44" i="17"/>
  <c r="R44" i="17" s="1"/>
  <c r="P38" i="17"/>
  <c r="R38" i="17" s="1"/>
  <c r="P54" i="17"/>
  <c r="P48" i="17"/>
  <c r="R48" i="17" s="1"/>
  <c r="P37" i="17"/>
  <c r="R37" i="17" s="1"/>
  <c r="S37" i="17" s="1"/>
  <c r="P329" i="17"/>
  <c r="Q329" i="17" s="1"/>
  <c r="R329" i="17" s="1"/>
  <c r="S329" i="17" s="1"/>
  <c r="P330" i="17"/>
  <c r="Q330" i="17" s="1"/>
  <c r="R330" i="17" s="1"/>
  <c r="S330" i="17" s="1"/>
  <c r="P331" i="17"/>
  <c r="Q331" i="17" s="1"/>
  <c r="R331" i="17" s="1"/>
  <c r="S331" i="17" s="1"/>
  <c r="AJ43" i="43"/>
  <c r="X43" i="43"/>
  <c r="Y43" i="43" s="1"/>
  <c r="AA43" i="43" s="1"/>
  <c r="R43" i="43"/>
  <c r="T169" i="43"/>
  <c r="V169" i="43"/>
  <c r="R218" i="43"/>
  <c r="T218" i="43" s="1"/>
  <c r="X218" i="43"/>
  <c r="Y218" i="43" s="1"/>
  <c r="AA218" i="43" s="1"/>
  <c r="T86" i="43"/>
  <c r="V86" i="43"/>
  <c r="R66" i="43"/>
  <c r="V66" i="43" s="1"/>
  <c r="AN66" i="43"/>
  <c r="T237" i="43"/>
  <c r="V237" i="43"/>
  <c r="AB237" i="43" s="1"/>
  <c r="AC237" i="43" s="1"/>
  <c r="T238" i="43"/>
  <c r="V238" i="43"/>
  <c r="R182" i="43"/>
  <c r="AP182" i="43"/>
  <c r="X182" i="43"/>
  <c r="Y182" i="43" s="1"/>
  <c r="AA182" i="43" s="1"/>
  <c r="AP31" i="43"/>
  <c r="AJ31" i="43"/>
  <c r="AN104" i="43"/>
  <c r="AJ104" i="43"/>
  <c r="AP90" i="43"/>
  <c r="R90" i="43"/>
  <c r="AP133" i="43"/>
  <c r="AJ133" i="43"/>
  <c r="X221" i="43"/>
  <c r="Y221" i="43" s="1"/>
  <c r="AA221" i="43" s="1"/>
  <c r="R221" i="43"/>
  <c r="T75" i="43"/>
  <c r="V75" i="43"/>
  <c r="T51" i="43"/>
  <c r="V51" i="43"/>
  <c r="X104" i="43"/>
  <c r="Y104" i="43" s="1"/>
  <c r="AA104" i="43" s="1"/>
  <c r="AB104" i="43" s="1"/>
  <c r="AC104" i="43" s="1"/>
  <c r="T209" i="43"/>
  <c r="V209" i="43"/>
  <c r="T220" i="43"/>
  <c r="V220" i="43"/>
  <c r="AJ69" i="43"/>
  <c r="AN69" i="43"/>
  <c r="Q109" i="43"/>
  <c r="R109" i="43" s="1"/>
  <c r="P114" i="43"/>
  <c r="V179" i="43"/>
  <c r="T179" i="43"/>
  <c r="V181" i="43"/>
  <c r="T181" i="43"/>
  <c r="X66" i="43"/>
  <c r="Y66" i="43" s="1"/>
  <c r="AA66" i="43" s="1"/>
  <c r="X253" i="43"/>
  <c r="Y253" i="43" s="1"/>
  <c r="AA253" i="43" s="1"/>
  <c r="X238" i="43"/>
  <c r="Y238" i="43" s="1"/>
  <c r="AA238" i="43" s="1"/>
  <c r="X225" i="43"/>
  <c r="Y225" i="43" s="1"/>
  <c r="AA225" i="43" s="1"/>
  <c r="R171" i="43"/>
  <c r="R170" i="43"/>
  <c r="R121" i="43"/>
  <c r="AJ62" i="43"/>
  <c r="AJ46" i="43"/>
  <c r="AJ47" i="43"/>
  <c r="R20" i="43"/>
  <c r="Q55" i="43"/>
  <c r="X55" i="43" s="1"/>
  <c r="Y55" i="43" s="1"/>
  <c r="AA55" i="43" s="1"/>
  <c r="R59" i="43"/>
  <c r="X60" i="43"/>
  <c r="Y60" i="43" s="1"/>
  <c r="AA60" i="43" s="1"/>
  <c r="AQ158" i="44"/>
  <c r="T93" i="43"/>
  <c r="AE49" i="26"/>
  <c r="AD49" i="26" s="1"/>
  <c r="C49" i="26"/>
  <c r="X246" i="43"/>
  <c r="Y246" i="43" s="1"/>
  <c r="AA246" i="43" s="1"/>
  <c r="X203" i="43"/>
  <c r="Y203" i="43" s="1"/>
  <c r="AA203" i="43" s="1"/>
  <c r="T18" i="43"/>
  <c r="V207" i="43"/>
  <c r="X171" i="43"/>
  <c r="Y171" i="43" s="1"/>
  <c r="AA171" i="43" s="1"/>
  <c r="AJ127" i="43"/>
  <c r="AJ122" i="43"/>
  <c r="V128" i="43"/>
  <c r="AL128" i="43" s="1"/>
  <c r="R111" i="43"/>
  <c r="R71" i="43"/>
  <c r="AJ56" i="43"/>
  <c r="R62" i="43"/>
  <c r="P325" i="17"/>
  <c r="Q325" i="17" s="1"/>
  <c r="R325" i="17" s="1"/>
  <c r="S325" i="17" s="1"/>
  <c r="AJ19" i="43"/>
  <c r="R142" i="43"/>
  <c r="AP143" i="43"/>
  <c r="Q157" i="43"/>
  <c r="R227" i="43"/>
  <c r="X237" i="43"/>
  <c r="Y237" i="43" s="1"/>
  <c r="AA237" i="43" s="1"/>
  <c r="X33" i="43"/>
  <c r="Y33" i="43" s="1"/>
  <c r="AA33" i="43" s="1"/>
  <c r="X129" i="43"/>
  <c r="Y129" i="43" s="1"/>
  <c r="AA129" i="43" s="1"/>
  <c r="T176" i="43"/>
  <c r="T38" i="43"/>
  <c r="R262" i="43"/>
  <c r="R233" i="43"/>
  <c r="AN111" i="43"/>
  <c r="X111" i="43"/>
  <c r="Y111" i="43" s="1"/>
  <c r="AA111" i="43" s="1"/>
  <c r="R94" i="43"/>
  <c r="V94" i="43" s="1"/>
  <c r="AL94" i="43" s="1"/>
  <c r="AP86" i="43"/>
  <c r="R54" i="43"/>
  <c r="AJ37" i="43"/>
  <c r="T15" i="43"/>
  <c r="R46" i="43"/>
  <c r="R47" i="43"/>
  <c r="R131" i="43"/>
  <c r="T131" i="43" s="1"/>
  <c r="R217" i="43"/>
  <c r="V217" i="43" s="1"/>
  <c r="AB217" i="43" s="1"/>
  <c r="AC217" i="43" s="1"/>
  <c r="X223" i="43"/>
  <c r="Y223" i="43" s="1"/>
  <c r="AA223" i="43" s="1"/>
  <c r="V226" i="43"/>
  <c r="X236" i="43"/>
  <c r="Y236" i="43" s="1"/>
  <c r="AA236" i="43" s="1"/>
  <c r="AB236" i="43" s="1"/>
  <c r="AC236" i="43" s="1"/>
  <c r="R266" i="43"/>
  <c r="R234" i="43"/>
  <c r="AL123" i="43"/>
  <c r="X136" i="43"/>
  <c r="Y136" i="43" s="1"/>
  <c r="AA136" i="43" s="1"/>
  <c r="AB136" i="43" s="1"/>
  <c r="AC136" i="43" s="1"/>
  <c r="AJ111" i="43"/>
  <c r="AP111" i="43" s="1"/>
  <c r="AP122" i="43"/>
  <c r="R104" i="43"/>
  <c r="V104" i="43" s="1"/>
  <c r="AL104" i="43" s="1"/>
  <c r="R21" i="43"/>
  <c r="AP82" i="43"/>
  <c r="AJ86" i="43"/>
  <c r="AL86" i="43" s="1"/>
  <c r="X257" i="43"/>
  <c r="Y257" i="43" s="1"/>
  <c r="AA257" i="43" s="1"/>
  <c r="R258" i="43"/>
  <c r="T258" i="43" s="1"/>
  <c r="R265" i="43"/>
  <c r="T265" i="43" s="1"/>
  <c r="T123" i="43"/>
  <c r="R139" i="43"/>
  <c r="T139" i="43" s="1"/>
  <c r="R100" i="43"/>
  <c r="X249" i="43"/>
  <c r="Y249" i="43" s="1"/>
  <c r="AA249" i="43" s="1"/>
  <c r="AB249" i="43" s="1"/>
  <c r="AC249" i="43" s="1"/>
  <c r="X161" i="43"/>
  <c r="Y161" i="43" s="1"/>
  <c r="AA161" i="43" s="1"/>
  <c r="AB176" i="43"/>
  <c r="AC176" i="43" s="1"/>
  <c r="AP174" i="43"/>
  <c r="AJ107" i="43"/>
  <c r="AP107" i="43" s="1"/>
  <c r="AP16" i="43"/>
  <c r="X34" i="43"/>
  <c r="Y34" i="43" s="1"/>
  <c r="AA34" i="43" s="1"/>
  <c r="AP126" i="43"/>
  <c r="AN185" i="43"/>
  <c r="X67" i="43"/>
  <c r="Y67" i="43" s="1"/>
  <c r="AA67" i="43" s="1"/>
  <c r="T161" i="43"/>
  <c r="T26" i="43"/>
  <c r="R174" i="43"/>
  <c r="V174" i="43" s="1"/>
  <c r="AJ174" i="43"/>
  <c r="AN100" i="43"/>
  <c r="R84" i="43"/>
  <c r="AJ57" i="43"/>
  <c r="X25" i="43"/>
  <c r="Y25" i="43" s="1"/>
  <c r="AA25" i="43" s="1"/>
  <c r="Q28" i="43"/>
  <c r="AJ35" i="43"/>
  <c r="AJ38" i="43"/>
  <c r="AL38" i="43" s="1"/>
  <c r="R73" i="43"/>
  <c r="X103" i="43"/>
  <c r="Y103" i="43" s="1"/>
  <c r="AA103" i="43" s="1"/>
  <c r="R122" i="43"/>
  <c r="T122" i="43" s="1"/>
  <c r="AN162" i="43"/>
  <c r="T170" i="43"/>
  <c r="T178" i="43"/>
  <c r="R248" i="43"/>
  <c r="V248" i="43" s="1"/>
  <c r="AK158" i="44"/>
  <c r="AL37" i="43"/>
  <c r="R41" i="43"/>
  <c r="V41" i="43" s="1"/>
  <c r="AB41" i="43" s="1"/>
  <c r="AC41" i="43" s="1"/>
  <c r="V239" i="43"/>
  <c r="AL127" i="43"/>
  <c r="AJ161" i="43"/>
  <c r="R49" i="43"/>
  <c r="AJ25" i="43"/>
  <c r="AL25" i="43" s="1"/>
  <c r="X29" i="43"/>
  <c r="Y29" i="43" s="1"/>
  <c r="AA29" i="43" s="1"/>
  <c r="R32" i="43"/>
  <c r="AN73" i="43"/>
  <c r="R106" i="43"/>
  <c r="R107" i="43"/>
  <c r="AJ172" i="43"/>
  <c r="X175" i="43"/>
  <c r="Y175" i="43" s="1"/>
  <c r="AA175" i="43" s="1"/>
  <c r="AB175" i="43" s="1"/>
  <c r="AC175" i="43" s="1"/>
  <c r="R247" i="43"/>
  <c r="X250" i="43"/>
  <c r="Y250" i="43" s="1"/>
  <c r="AA250" i="43" s="1"/>
  <c r="X252" i="43"/>
  <c r="Y252" i="43" s="1"/>
  <c r="AA252" i="43" s="1"/>
  <c r="P334" i="17"/>
  <c r="Q334" i="17" s="1"/>
  <c r="R334" i="17" s="1"/>
  <c r="S334" i="17" s="1"/>
  <c r="C43" i="26"/>
  <c r="AC43" i="26"/>
  <c r="AD31" i="26"/>
  <c r="M333" i="39"/>
  <c r="K333" i="39"/>
  <c r="B25" i="26" s="1"/>
  <c r="AC25" i="26" s="1"/>
  <c r="M411" i="39"/>
  <c r="L411" i="39"/>
  <c r="D27" i="26" s="1"/>
  <c r="AE27" i="26" s="1"/>
  <c r="L333" i="39"/>
  <c r="D25" i="26" s="1"/>
  <c r="AE25" i="26" s="1"/>
  <c r="J135" i="17"/>
  <c r="K135" i="17" s="1"/>
  <c r="Q222" i="17"/>
  <c r="R222" i="17" s="1"/>
  <c r="S222" i="17" s="1"/>
  <c r="C3" i="44"/>
  <c r="Y11" i="44" s="1"/>
  <c r="D3" i="17"/>
  <c r="S11" i="17" s="1"/>
  <c r="S107" i="17"/>
  <c r="S100" i="17"/>
  <c r="P301" i="17"/>
  <c r="Q301" i="17" s="1"/>
  <c r="R301" i="17" s="1"/>
  <c r="S301" i="17" s="1"/>
  <c r="P287" i="17"/>
  <c r="Q287" i="17" s="1"/>
  <c r="R287" i="17" s="1"/>
  <c r="S287" i="17" s="1"/>
  <c r="I300" i="17"/>
  <c r="J300" i="17" s="1"/>
  <c r="K300" i="17" s="1"/>
  <c r="S25" i="17"/>
  <c r="P327" i="17"/>
  <c r="P261" i="17"/>
  <c r="Q261" i="17" s="1"/>
  <c r="R261" i="17" s="1"/>
  <c r="S261" i="17" s="1"/>
  <c r="J129" i="17"/>
  <c r="K129" i="17" s="1"/>
  <c r="P267" i="17"/>
  <c r="Q267" i="17" s="1"/>
  <c r="R267" i="17" s="1"/>
  <c r="S267" i="17" s="1"/>
  <c r="S160" i="17"/>
  <c r="P270" i="17"/>
  <c r="Q270" i="17" s="1"/>
  <c r="R270" i="17" s="1"/>
  <c r="S270" i="17" s="1"/>
  <c r="P322" i="17"/>
  <c r="Q322" i="17" s="1"/>
  <c r="R322" i="17" s="1"/>
  <c r="S322" i="17" s="1"/>
  <c r="P236" i="17"/>
  <c r="Q236" i="17" s="1"/>
  <c r="R236" i="17" s="1"/>
  <c r="S236" i="17" s="1"/>
  <c r="S138" i="17"/>
  <c r="S179" i="17"/>
  <c r="S103" i="17"/>
  <c r="P218" i="17"/>
  <c r="Q218" i="17" s="1"/>
  <c r="R218" i="17" s="1"/>
  <c r="S218" i="17" s="1"/>
  <c r="P328" i="17"/>
  <c r="Q328" i="17" s="1"/>
  <c r="R328" i="17" s="1"/>
  <c r="S328" i="17" s="1"/>
  <c r="P309" i="17"/>
  <c r="Q309" i="17" s="1"/>
  <c r="R309" i="17" s="1"/>
  <c r="S309" i="17" s="1"/>
  <c r="S187" i="17"/>
  <c r="P291" i="17"/>
  <c r="D41" i="26"/>
  <c r="AE41" i="26" s="1"/>
  <c r="P18" i="42"/>
  <c r="P25" i="42" s="1"/>
  <c r="L288" i="17"/>
  <c r="M288" i="17" s="1"/>
  <c r="K297" i="17"/>
  <c r="S75" i="17"/>
  <c r="S120" i="17"/>
  <c r="S74" i="17"/>
  <c r="S78" i="17"/>
  <c r="S76" i="17"/>
  <c r="S73" i="17"/>
  <c r="S79" i="17"/>
  <c r="AG55" i="44"/>
  <c r="L323" i="17"/>
  <c r="M323" i="17" s="1"/>
  <c r="J88" i="17"/>
  <c r="K88" i="17" s="1"/>
  <c r="N290" i="17"/>
  <c r="O290" i="17" s="1"/>
  <c r="P290" i="17" s="1"/>
  <c r="Q290" i="17" s="1"/>
  <c r="AE91" i="44"/>
  <c r="X91" i="44" s="1"/>
  <c r="Y91" i="44" s="1"/>
  <c r="AA91" i="44" s="1"/>
  <c r="S194" i="17"/>
  <c r="S118" i="17"/>
  <c r="S66" i="17"/>
  <c r="S68" i="17"/>
  <c r="S67" i="17"/>
  <c r="S119" i="17"/>
  <c r="S117" i="17"/>
  <c r="S72" i="17"/>
  <c r="S70" i="17"/>
  <c r="N165" i="42"/>
  <c r="O165" i="42" s="1"/>
  <c r="M166" i="42"/>
  <c r="N166" i="42" s="1"/>
  <c r="L22" i="17"/>
  <c r="M22" i="17" s="1"/>
  <c r="N22" i="17" s="1"/>
  <c r="O22" i="17" s="1"/>
  <c r="I296" i="17"/>
  <c r="J296" i="17" s="1"/>
  <c r="K296" i="17" s="1"/>
  <c r="T260" i="43"/>
  <c r="V260" i="43"/>
  <c r="R271" i="43"/>
  <c r="X271" i="43"/>
  <c r="Y271" i="43" s="1"/>
  <c r="AA271" i="43" s="1"/>
  <c r="V131" i="43"/>
  <c r="T157" i="43"/>
  <c r="V44" i="43"/>
  <c r="T44" i="43"/>
  <c r="AF22" i="43"/>
  <c r="V142" i="43"/>
  <c r="T142" i="43"/>
  <c r="Q268" i="43"/>
  <c r="X268" i="43"/>
  <c r="Y268" i="43" s="1"/>
  <c r="AA268" i="43" s="1"/>
  <c r="AL39" i="43"/>
  <c r="AP177" i="43"/>
  <c r="AJ177" i="43"/>
  <c r="Q178" i="43"/>
  <c r="X178" i="43"/>
  <c r="Y178" i="43" s="1"/>
  <c r="AA178" i="43" s="1"/>
  <c r="AJ178" i="43"/>
  <c r="AL178" i="43" s="1"/>
  <c r="Q180" i="43"/>
  <c r="X180" i="43"/>
  <c r="Y180" i="43" s="1"/>
  <c r="AA180" i="43" s="1"/>
  <c r="AJ180" i="43"/>
  <c r="V182" i="43"/>
  <c r="T182" i="43"/>
  <c r="X183" i="43"/>
  <c r="Y183" i="43" s="1"/>
  <c r="AA183" i="43" s="1"/>
  <c r="R183" i="43"/>
  <c r="X208" i="43"/>
  <c r="Y208" i="43" s="1"/>
  <c r="AA208" i="43" s="1"/>
  <c r="R208" i="43"/>
  <c r="T129" i="43"/>
  <c r="V129" i="43"/>
  <c r="T39" i="43"/>
  <c r="AP137" i="43"/>
  <c r="AJ137" i="43"/>
  <c r="X137" i="43"/>
  <c r="Y137" i="43" s="1"/>
  <c r="AA137" i="43" s="1"/>
  <c r="N145" i="43"/>
  <c r="P138" i="43"/>
  <c r="V172" i="43"/>
  <c r="AL172" i="43" s="1"/>
  <c r="T172" i="43"/>
  <c r="V109" i="43"/>
  <c r="AL109" i="43" s="1"/>
  <c r="T109" i="43"/>
  <c r="X109" i="43" s="1"/>
  <c r="Y109" i="43" s="1"/>
  <c r="AA109" i="43" s="1"/>
  <c r="V266" i="43"/>
  <c r="T266" i="43"/>
  <c r="V141" i="43"/>
  <c r="AL141" i="43" s="1"/>
  <c r="T141" i="43"/>
  <c r="T268" i="43"/>
  <c r="T211" i="43"/>
  <c r="T82" i="43"/>
  <c r="X177" i="43"/>
  <c r="Y177" i="43" s="1"/>
  <c r="AA177" i="43" s="1"/>
  <c r="AJ92" i="43"/>
  <c r="X92" i="43"/>
  <c r="Y92" i="43" s="1"/>
  <c r="AA92" i="43" s="1"/>
  <c r="R92" i="43"/>
  <c r="AP92" i="43"/>
  <c r="L97" i="17"/>
  <c r="M97" i="17" s="1"/>
  <c r="N97" i="17" s="1"/>
  <c r="O97" i="17" s="1"/>
  <c r="X93" i="43"/>
  <c r="Y93" i="43" s="1"/>
  <c r="AA93" i="43" s="1"/>
  <c r="AJ93" i="43"/>
  <c r="R95" i="43"/>
  <c r="X95" i="43"/>
  <c r="Y95" i="43" s="1"/>
  <c r="AA95" i="43" s="1"/>
  <c r="X96" i="43"/>
  <c r="Y96" i="43" s="1"/>
  <c r="AA96" i="43" s="1"/>
  <c r="R96" i="43"/>
  <c r="AJ98" i="43"/>
  <c r="X98" i="43"/>
  <c r="Y98" i="43" s="1"/>
  <c r="AA98" i="43" s="1"/>
  <c r="AP98" i="43"/>
  <c r="R101" i="43"/>
  <c r="AJ101" i="43"/>
  <c r="X101" i="43"/>
  <c r="Y101" i="43" s="1"/>
  <c r="AA101" i="43" s="1"/>
  <c r="AN101" i="43"/>
  <c r="Q102" i="43"/>
  <c r="AJ102" i="43"/>
  <c r="T103" i="43"/>
  <c r="T104" i="43"/>
  <c r="V106" i="43"/>
  <c r="AL106" i="43" s="1"/>
  <c r="T106" i="43"/>
  <c r="V107" i="43"/>
  <c r="AL107" i="43" s="1"/>
  <c r="T107" i="43"/>
  <c r="X107" i="43" s="1"/>
  <c r="Y107" i="43" s="1"/>
  <c r="AA107" i="43" s="1"/>
  <c r="AB107" i="43" s="1"/>
  <c r="AC107" i="43" s="1"/>
  <c r="AP108" i="43"/>
  <c r="AJ109" i="43"/>
  <c r="AP109" i="43" s="1"/>
  <c r="AN109" i="43"/>
  <c r="X112" i="43"/>
  <c r="Y112" i="43" s="1"/>
  <c r="AA112" i="43" s="1"/>
  <c r="AN112" i="43"/>
  <c r="AJ112" i="43"/>
  <c r="R112" i="43"/>
  <c r="L211" i="17"/>
  <c r="L212" i="17" s="1"/>
  <c r="Q119" i="43"/>
  <c r="P145" i="43"/>
  <c r="X119" i="43"/>
  <c r="Y119" i="43" s="1"/>
  <c r="AA119" i="43" s="1"/>
  <c r="X261" i="43"/>
  <c r="Y261" i="43" s="1"/>
  <c r="AA261" i="43" s="1"/>
  <c r="R261" i="43"/>
  <c r="AB253" i="43"/>
  <c r="AC253" i="43" s="1"/>
  <c r="V246" i="43"/>
  <c r="AB246" i="43" s="1"/>
  <c r="AC246" i="43" s="1"/>
  <c r="AL161" i="43"/>
  <c r="V137" i="43"/>
  <c r="T137" i="43"/>
  <c r="V54" i="43"/>
  <c r="T54" i="43"/>
  <c r="R65" i="43"/>
  <c r="V65" i="43" s="1"/>
  <c r="AN65" i="43"/>
  <c r="X65" i="43"/>
  <c r="Y65" i="43" s="1"/>
  <c r="AA65" i="43" s="1"/>
  <c r="R69" i="43"/>
  <c r="X69" i="43"/>
  <c r="Y69" i="43" s="1"/>
  <c r="AA69" i="43" s="1"/>
  <c r="X70" i="43"/>
  <c r="Y70" i="43" s="1"/>
  <c r="AA70" i="43" s="1"/>
  <c r="R70" i="43"/>
  <c r="T267" i="43"/>
  <c r="X267" i="43" s="1"/>
  <c r="Y267" i="43" s="1"/>
  <c r="AA267" i="43" s="1"/>
  <c r="V267" i="43"/>
  <c r="R272" i="43"/>
  <c r="V272" i="43" s="1"/>
  <c r="X272" i="43"/>
  <c r="Y272" i="43" s="1"/>
  <c r="AA272" i="43" s="1"/>
  <c r="V90" i="43"/>
  <c r="T90" i="43"/>
  <c r="T203" i="43"/>
  <c r="V203" i="43"/>
  <c r="AB203" i="43" s="1"/>
  <c r="AC203" i="43" s="1"/>
  <c r="AB125" i="43"/>
  <c r="AC125" i="43" s="1"/>
  <c r="AJ23" i="43"/>
  <c r="AP23" i="43"/>
  <c r="R23" i="43"/>
  <c r="N177" i="17"/>
  <c r="O177" i="17" s="1"/>
  <c r="Q24" i="43"/>
  <c r="T58" i="43"/>
  <c r="V58" i="43"/>
  <c r="X245" i="43"/>
  <c r="Y245" i="43" s="1"/>
  <c r="AA245" i="43" s="1"/>
  <c r="R245" i="43"/>
  <c r="AJ27" i="43"/>
  <c r="X27" i="43"/>
  <c r="Y27" i="43" s="1"/>
  <c r="AA27" i="43" s="1"/>
  <c r="AJ66" i="43"/>
  <c r="X85" i="43"/>
  <c r="Y85" i="43" s="1"/>
  <c r="AA85" i="43" s="1"/>
  <c r="R85" i="43"/>
  <c r="AP85" i="43"/>
  <c r="X251" i="43"/>
  <c r="Y251" i="43" s="1"/>
  <c r="AA251" i="43" s="1"/>
  <c r="R251" i="43"/>
  <c r="K453" i="39"/>
  <c r="B29" i="26" s="1"/>
  <c r="AC29" i="26" s="1"/>
  <c r="V139" i="43"/>
  <c r="AB139" i="43" s="1"/>
  <c r="AC139" i="43" s="1"/>
  <c r="AL41" i="43"/>
  <c r="T249" i="43"/>
  <c r="X258" i="43"/>
  <c r="Y258" i="43" s="1"/>
  <c r="AA258" i="43" s="1"/>
  <c r="V218" i="43"/>
  <c r="X247" i="43"/>
  <c r="Y247" i="43" s="1"/>
  <c r="AA247" i="43" s="1"/>
  <c r="V170" i="43"/>
  <c r="AL170" i="43" s="1"/>
  <c r="AJ82" i="43"/>
  <c r="AL82" i="43" s="1"/>
  <c r="AP91" i="43"/>
  <c r="R34" i="43"/>
  <c r="AJ36" i="43"/>
  <c r="AP36" i="43"/>
  <c r="AJ67" i="43"/>
  <c r="AL67" i="43" s="1"/>
  <c r="AN67" i="43"/>
  <c r="Q68" i="43"/>
  <c r="AJ68" i="43"/>
  <c r="X82" i="43"/>
  <c r="Y82" i="43" s="1"/>
  <c r="AA82" i="43" s="1"/>
  <c r="AB82" i="43" s="1"/>
  <c r="R97" i="43"/>
  <c r="X97" i="43"/>
  <c r="Y97" i="43" s="1"/>
  <c r="AA97" i="43" s="1"/>
  <c r="R98" i="43"/>
  <c r="X99" i="43"/>
  <c r="Y99" i="43" s="1"/>
  <c r="AA99" i="43" s="1"/>
  <c r="R99" i="43"/>
  <c r="AJ99" i="43"/>
  <c r="AP99" i="43" s="1"/>
  <c r="AB103" i="43"/>
  <c r="AC103" i="43" s="1"/>
  <c r="R105" i="43"/>
  <c r="V105" i="43" s="1"/>
  <c r="AL105" i="43" s="1"/>
  <c r="X105" i="43"/>
  <c r="Y105" i="43" s="1"/>
  <c r="AA105" i="43" s="1"/>
  <c r="R108" i="43"/>
  <c r="AN110" i="43"/>
  <c r="AJ110" i="43"/>
  <c r="R110" i="43"/>
  <c r="AP119" i="43"/>
  <c r="AJ119" i="43"/>
  <c r="R119" i="43"/>
  <c r="V122" i="43"/>
  <c r="AL122" i="43" s="1"/>
  <c r="AP138" i="43"/>
  <c r="R138" i="43"/>
  <c r="Q181" i="43"/>
  <c r="AJ181" i="43"/>
  <c r="AL181" i="43" s="1"/>
  <c r="X181" i="43"/>
  <c r="Y181" i="43" s="1"/>
  <c r="AA181" i="43" s="1"/>
  <c r="Q182" i="43"/>
  <c r="AJ182" i="43"/>
  <c r="AL182" i="43" s="1"/>
  <c r="R184" i="43"/>
  <c r="X184" i="43"/>
  <c r="Y184" i="43" s="1"/>
  <c r="AA184" i="43" s="1"/>
  <c r="X210" i="43"/>
  <c r="Y210" i="43" s="1"/>
  <c r="AA210" i="43" s="1"/>
  <c r="R210" i="43"/>
  <c r="V222" i="43"/>
  <c r="AB222" i="43" s="1"/>
  <c r="AC222" i="43" s="1"/>
  <c r="R224" i="43"/>
  <c r="V224" i="43" s="1"/>
  <c r="T272" i="43"/>
  <c r="X277" i="43"/>
  <c r="Y277" i="43" s="1"/>
  <c r="AA277" i="43" s="1"/>
  <c r="AO158" i="44"/>
  <c r="AJ61" i="43"/>
  <c r="AP61" i="43"/>
  <c r="AJ64" i="43"/>
  <c r="AN64" i="43"/>
  <c r="T66" i="43"/>
  <c r="AJ89" i="43"/>
  <c r="X89" i="43"/>
  <c r="Y89" i="43" s="1"/>
  <c r="AA89" i="43" s="1"/>
  <c r="R89" i="43"/>
  <c r="AP89" i="43"/>
  <c r="L91" i="17"/>
  <c r="M91" i="17" s="1"/>
  <c r="N91" i="17" s="1"/>
  <c r="O91" i="17" s="1"/>
  <c r="X90" i="43"/>
  <c r="Y90" i="43" s="1"/>
  <c r="AA90" i="43" s="1"/>
  <c r="AB90" i="43" s="1"/>
  <c r="AP135" i="43"/>
  <c r="X135" i="43"/>
  <c r="Y135" i="43" s="1"/>
  <c r="AA135" i="43" s="1"/>
  <c r="AJ135" i="43"/>
  <c r="R135" i="43"/>
  <c r="L134" i="17"/>
  <c r="M134" i="17" s="1"/>
  <c r="N134" i="17" s="1"/>
  <c r="O134" i="17" s="1"/>
  <c r="Q137" i="43"/>
  <c r="Q169" i="43"/>
  <c r="AJ169" i="43"/>
  <c r="AL169" i="43" s="1"/>
  <c r="X169" i="43"/>
  <c r="Y169" i="43" s="1"/>
  <c r="AA169" i="43" s="1"/>
  <c r="AB169" i="43" s="1"/>
  <c r="X173" i="43"/>
  <c r="Y173" i="43" s="1"/>
  <c r="AA173" i="43" s="1"/>
  <c r="R173" i="43"/>
  <c r="AP176" i="43"/>
  <c r="AJ176" i="43"/>
  <c r="AL176" i="43" s="1"/>
  <c r="X179" i="43"/>
  <c r="Y179" i="43" s="1"/>
  <c r="AA179" i="43" s="1"/>
  <c r="AJ179" i="43"/>
  <c r="AL179" i="43" s="1"/>
  <c r="X256" i="43"/>
  <c r="Y256" i="43" s="1"/>
  <c r="AA256" i="43" s="1"/>
  <c r="R256" i="43"/>
  <c r="R259" i="43"/>
  <c r="X259" i="43"/>
  <c r="Y259" i="43" s="1"/>
  <c r="AA259" i="43" s="1"/>
  <c r="AJ52" i="43"/>
  <c r="X52" i="43"/>
  <c r="Y52" i="43" s="1"/>
  <c r="AA52" i="43" s="1"/>
  <c r="R52" i="43"/>
  <c r="L30" i="17"/>
  <c r="L31" i="17" s="1"/>
  <c r="M31" i="17" s="1"/>
  <c r="AJ53" i="43"/>
  <c r="P54" i="43"/>
  <c r="AJ54" i="43" s="1"/>
  <c r="R252" i="43"/>
  <c r="AJ136" i="43"/>
  <c r="AL136" i="43" s="1"/>
  <c r="V63" i="43"/>
  <c r="AL63" i="43" s="1"/>
  <c r="T63" i="43"/>
  <c r="R60" i="43"/>
  <c r="AP41" i="43"/>
  <c r="AJ41" i="43"/>
  <c r="L164" i="17"/>
  <c r="L165" i="17" s="1"/>
  <c r="M165" i="17" s="1"/>
  <c r="X44" i="43"/>
  <c r="Y44" i="43" s="1"/>
  <c r="AA44" i="43" s="1"/>
  <c r="AP51" i="43"/>
  <c r="AJ51" i="43"/>
  <c r="AL51" i="43" s="1"/>
  <c r="X51" i="43"/>
  <c r="Y51" i="43" s="1"/>
  <c r="AA51" i="43" s="1"/>
  <c r="Q53" i="43"/>
  <c r="R53" i="43" s="1"/>
  <c r="X57" i="43"/>
  <c r="Y57" i="43" s="1"/>
  <c r="AA57" i="43" s="1"/>
  <c r="AB57" i="43" s="1"/>
  <c r="AC57" i="43" s="1"/>
  <c r="R57" i="43"/>
  <c r="V57" i="43" s="1"/>
  <c r="AL57" i="43" s="1"/>
  <c r="AJ87" i="43"/>
  <c r="X87" i="43"/>
  <c r="Y87" i="43" s="1"/>
  <c r="AA87" i="43" s="1"/>
  <c r="R87" i="43"/>
  <c r="AP87" i="43"/>
  <c r="Q90" i="43"/>
  <c r="X133" i="43"/>
  <c r="Y133" i="43" s="1"/>
  <c r="AA133" i="43" s="1"/>
  <c r="R133" i="43"/>
  <c r="X134" i="43"/>
  <c r="Y134" i="43" s="1"/>
  <c r="AA134" i="43" s="1"/>
  <c r="AP134" i="43"/>
  <c r="R134" i="43"/>
  <c r="V134" i="43" s="1"/>
  <c r="X160" i="43"/>
  <c r="Y160" i="43" s="1"/>
  <c r="AA160" i="43" s="1"/>
  <c r="R160" i="43"/>
  <c r="AJ160" i="43"/>
  <c r="AP160" i="43"/>
  <c r="R255" i="43"/>
  <c r="T236" i="43"/>
  <c r="R61" i="43"/>
  <c r="X59" i="43"/>
  <c r="Y59" i="43" s="1"/>
  <c r="AA59" i="43" s="1"/>
  <c r="AB238" i="43"/>
  <c r="AC238" i="43" s="1"/>
  <c r="AB161" i="43"/>
  <c r="AC161" i="43" s="1"/>
  <c r="R269" i="43"/>
  <c r="X248" i="43"/>
  <c r="Y248" i="43" s="1"/>
  <c r="AA248" i="43" s="1"/>
  <c r="AJ173" i="43"/>
  <c r="AJ90" i="43"/>
  <c r="AP52" i="43"/>
  <c r="R36" i="43"/>
  <c r="X36" i="43"/>
  <c r="Y36" i="43" s="1"/>
  <c r="AA36" i="43" s="1"/>
  <c r="AJ40" i="43"/>
  <c r="R40" i="43"/>
  <c r="X40" i="43"/>
  <c r="Y40" i="43" s="1"/>
  <c r="AA40" i="43" s="1"/>
  <c r="AP40" i="43"/>
  <c r="V42" i="43"/>
  <c r="T42" i="43"/>
  <c r="AJ83" i="43"/>
  <c r="X83" i="43"/>
  <c r="Y83" i="43" s="1"/>
  <c r="AA83" i="43" s="1"/>
  <c r="R83" i="43"/>
  <c r="AP83" i="43"/>
  <c r="X86" i="43"/>
  <c r="Y86" i="43" s="1"/>
  <c r="AA86" i="43" s="1"/>
  <c r="AJ132" i="43"/>
  <c r="X132" i="43"/>
  <c r="Y132" i="43" s="1"/>
  <c r="AA132" i="43" s="1"/>
  <c r="AP132" i="43"/>
  <c r="R132" i="43"/>
  <c r="AJ159" i="43"/>
  <c r="R254" i="43"/>
  <c r="X254" i="43"/>
  <c r="Y254" i="43" s="1"/>
  <c r="AA254" i="43" s="1"/>
  <c r="L87" i="17"/>
  <c r="R87" i="17" s="1"/>
  <c r="Q86" i="43"/>
  <c r="AP131" i="43"/>
  <c r="AJ131" i="43"/>
  <c r="AJ142" i="43"/>
  <c r="AP142" i="43" s="1"/>
  <c r="AN142" i="43"/>
  <c r="X142" i="43"/>
  <c r="Y142" i="43" s="1"/>
  <c r="AA142" i="43" s="1"/>
  <c r="AN143" i="43"/>
  <c r="R143" i="43"/>
  <c r="X143" i="43"/>
  <c r="Y143" i="43" s="1"/>
  <c r="AA143" i="43" s="1"/>
  <c r="L216" i="17"/>
  <c r="M216" i="17" s="1"/>
  <c r="N216" i="17" s="1"/>
  <c r="O216" i="17" s="1"/>
  <c r="AJ156" i="43"/>
  <c r="X158" i="43"/>
  <c r="Y158" i="43" s="1"/>
  <c r="AA158" i="43" s="1"/>
  <c r="R158" i="43"/>
  <c r="AJ158" i="43"/>
  <c r="AP158" i="43"/>
  <c r="X131" i="43"/>
  <c r="Y131" i="43" s="1"/>
  <c r="AA131" i="43" s="1"/>
  <c r="AB131" i="43" s="1"/>
  <c r="AC131" i="43" s="1"/>
  <c r="AN131" i="43" s="1"/>
  <c r="AR131" i="43" s="1"/>
  <c r="V219" i="43"/>
  <c r="T174" i="43"/>
  <c r="X265" i="43"/>
  <c r="Y265" i="43" s="1"/>
  <c r="AA265" i="43" s="1"/>
  <c r="V159" i="43"/>
  <c r="T159" i="43"/>
  <c r="X157" i="43"/>
  <c r="Y157" i="43" s="1"/>
  <c r="AA157" i="43" s="1"/>
  <c r="R55" i="43"/>
  <c r="V55" i="43" s="1"/>
  <c r="AB55" i="43" s="1"/>
  <c r="AC55" i="43" s="1"/>
  <c r="R91" i="43"/>
  <c r="AJ85" i="43"/>
  <c r="AP27" i="43"/>
  <c r="T29" i="43"/>
  <c r="X30" i="43"/>
  <c r="Y30" i="43" s="1"/>
  <c r="AA30" i="43" s="1"/>
  <c r="R30" i="43"/>
  <c r="X31" i="43"/>
  <c r="Y31" i="43" s="1"/>
  <c r="AA31" i="43" s="1"/>
  <c r="R126" i="43"/>
  <c r="X126" i="43"/>
  <c r="Y126" i="43" s="1"/>
  <c r="AA126" i="43" s="1"/>
  <c r="R130" i="43"/>
  <c r="AJ130" i="43"/>
  <c r="X141" i="43"/>
  <c r="Y141" i="43" s="1"/>
  <c r="AA141" i="43" s="1"/>
  <c r="AN141" i="43"/>
  <c r="AJ141" i="43"/>
  <c r="AP141" i="43" s="1"/>
  <c r="Q156" i="43"/>
  <c r="R232" i="43"/>
  <c r="X232" i="43"/>
  <c r="Y232" i="43" s="1"/>
  <c r="AA232" i="43" s="1"/>
  <c r="M107" i="42"/>
  <c r="N107" i="42" s="1"/>
  <c r="P119" i="44"/>
  <c r="L128" i="17"/>
  <c r="R128" i="17" s="1"/>
  <c r="Q132" i="43"/>
  <c r="R64" i="43"/>
  <c r="R250" i="43"/>
  <c r="X159" i="43"/>
  <c r="Y159" i="43" s="1"/>
  <c r="AA159" i="43" s="1"/>
  <c r="AB159" i="43" s="1"/>
  <c r="AC159" i="43" s="1"/>
  <c r="AJ157" i="43"/>
  <c r="AL157" i="43" s="1"/>
  <c r="T88" i="43"/>
  <c r="V88" i="43"/>
  <c r="AL88" i="43" s="1"/>
  <c r="AJ91" i="43"/>
  <c r="R27" i="43"/>
  <c r="L311" i="17"/>
  <c r="L312" i="17" s="1"/>
  <c r="M312" i="17" s="1"/>
  <c r="X26" i="43"/>
  <c r="Y26" i="43" s="1"/>
  <c r="AA26" i="43" s="1"/>
  <c r="AJ26" i="43"/>
  <c r="AL26" i="43" s="1"/>
  <c r="X72" i="43"/>
  <c r="Y72" i="43" s="1"/>
  <c r="AA72" i="43" s="1"/>
  <c r="R72" i="43"/>
  <c r="V73" i="43"/>
  <c r="T73" i="43"/>
  <c r="X73" i="43" s="1"/>
  <c r="Y73" i="43" s="1"/>
  <c r="AA73" i="43" s="1"/>
  <c r="AB73" i="43" s="1"/>
  <c r="AJ74" i="43"/>
  <c r="AN74" i="43"/>
  <c r="AP120" i="43"/>
  <c r="R120" i="43"/>
  <c r="X120" i="43"/>
  <c r="Y120" i="43" s="1"/>
  <c r="AA120" i="43" s="1"/>
  <c r="AJ120" i="43"/>
  <c r="L223" i="17"/>
  <c r="L224" i="17" s="1"/>
  <c r="M224" i="17" s="1"/>
  <c r="AJ121" i="43"/>
  <c r="R124" i="43"/>
  <c r="X124" i="43"/>
  <c r="Y124" i="43" s="1"/>
  <c r="AA124" i="43" s="1"/>
  <c r="AP139" i="43"/>
  <c r="AJ139" i="43"/>
  <c r="AL139" i="43" s="1"/>
  <c r="AN140" i="43"/>
  <c r="R140" i="43"/>
  <c r="AP140" i="43"/>
  <c r="T217" i="43"/>
  <c r="Q219" i="43"/>
  <c r="X219" i="43"/>
  <c r="Y219" i="43" s="1"/>
  <c r="AA219" i="43" s="1"/>
  <c r="AB219" i="43" s="1"/>
  <c r="AC219" i="43" s="1"/>
  <c r="Q220" i="43"/>
  <c r="X220" i="43"/>
  <c r="Y220" i="43" s="1"/>
  <c r="AA220" i="43" s="1"/>
  <c r="X235" i="43"/>
  <c r="Y235" i="43" s="1"/>
  <c r="AA235" i="43" s="1"/>
  <c r="R235" i="43"/>
  <c r="T277" i="43"/>
  <c r="AP20" i="43"/>
  <c r="R277" i="43"/>
  <c r="V277" i="43" s="1"/>
  <c r="Q48" i="44"/>
  <c r="Q19" i="43"/>
  <c r="Q82" i="43"/>
  <c r="Q83" i="43"/>
  <c r="AN99" i="43"/>
  <c r="Q133" i="43"/>
  <c r="R257" i="43"/>
  <c r="Q22" i="44"/>
  <c r="AJ116" i="44"/>
  <c r="AL156" i="43"/>
  <c r="AN59" i="43"/>
  <c r="AN108" i="43"/>
  <c r="AP125" i="43"/>
  <c r="V93" i="43"/>
  <c r="AL93" i="43" s="1"/>
  <c r="AP57" i="43"/>
  <c r="X214" i="43"/>
  <c r="Y214" i="43" s="1"/>
  <c r="AA214" i="43" s="1"/>
  <c r="X270" i="43"/>
  <c r="Y270" i="43" s="1"/>
  <c r="AA270" i="43" s="1"/>
  <c r="P136" i="44"/>
  <c r="Q136" i="44" s="1"/>
  <c r="P48" i="44"/>
  <c r="AP30" i="43"/>
  <c r="X28" i="43"/>
  <c r="Y28" i="43" s="1"/>
  <c r="AA28" i="43" s="1"/>
  <c r="AB28" i="43" s="1"/>
  <c r="AC28" i="43" s="1"/>
  <c r="Q125" i="43"/>
  <c r="AP181" i="43"/>
  <c r="Q33" i="43"/>
  <c r="AJ42" i="43"/>
  <c r="AJ44" i="43"/>
  <c r="C31" i="26"/>
  <c r="P5" i="44"/>
  <c r="AE130" i="44" s="1"/>
  <c r="P235" i="17"/>
  <c r="Q235" i="17" s="1"/>
  <c r="R235" i="17" s="1"/>
  <c r="S235" i="17" s="1"/>
  <c r="S136" i="17"/>
  <c r="S105" i="17"/>
  <c r="P308" i="17"/>
  <c r="Q308" i="17" s="1"/>
  <c r="R308" i="17" s="1"/>
  <c r="S308" i="17" s="1"/>
  <c r="S142" i="17"/>
  <c r="P221" i="17"/>
  <c r="Q221" i="17" s="1"/>
  <c r="R221" i="17" s="1"/>
  <c r="S221" i="17" s="1"/>
  <c r="S114" i="17"/>
  <c r="S116" i="17"/>
  <c r="S115" i="17"/>
  <c r="L269" i="17"/>
  <c r="M269" i="17" s="1"/>
  <c r="K230" i="17"/>
  <c r="M246" i="17"/>
  <c r="I288" i="17"/>
  <c r="J288" i="17" s="1"/>
  <c r="K288" i="17" s="1"/>
  <c r="K216" i="17"/>
  <c r="K259" i="17"/>
  <c r="L214" i="17"/>
  <c r="M247" i="17"/>
  <c r="N247" i="17" s="1"/>
  <c r="O247" i="17" s="1"/>
  <c r="M271" i="17"/>
  <c r="N271" i="17" s="1"/>
  <c r="O271" i="17" s="1"/>
  <c r="M233" i="17"/>
  <c r="N233" i="17" s="1"/>
  <c r="O233" i="17" s="1"/>
  <c r="K268" i="17"/>
  <c r="P268" i="17" s="1"/>
  <c r="Q268" i="17" s="1"/>
  <c r="R268" i="17" s="1"/>
  <c r="S268" i="17" s="1"/>
  <c r="K245" i="17"/>
  <c r="I229" i="17"/>
  <c r="J229" i="17" s="1"/>
  <c r="K229" i="17" s="1"/>
  <c r="K240" i="17"/>
  <c r="P240" i="17" s="1"/>
  <c r="Q240" i="17" s="1"/>
  <c r="R240" i="17" s="1"/>
  <c r="S240" i="17" s="1"/>
  <c r="M215" i="17"/>
  <c r="N215" i="17" s="1"/>
  <c r="O215" i="17" s="1"/>
  <c r="P215" i="17" s="1"/>
  <c r="M209" i="17"/>
  <c r="N209" i="17" s="1"/>
  <c r="O209" i="17" s="1"/>
  <c r="M219" i="17"/>
  <c r="N219" i="17" s="1"/>
  <c r="O219" i="17" s="1"/>
  <c r="I248" i="17"/>
  <c r="J248" i="17" s="1"/>
  <c r="K248" i="17" s="1"/>
  <c r="I231" i="17"/>
  <c r="J231" i="17" s="1"/>
  <c r="K231" i="17" s="1"/>
  <c r="M245" i="17"/>
  <c r="N245" i="17" s="1"/>
  <c r="O245" i="17" s="1"/>
  <c r="L241" i="17"/>
  <c r="M241" i="17" s="1"/>
  <c r="K242" i="17"/>
  <c r="Q237" i="17"/>
  <c r="R237" i="17" s="1"/>
  <c r="S237" i="17" s="1"/>
  <c r="L243" i="17"/>
  <c r="K271" i="17"/>
  <c r="P271" i="17" s="1"/>
  <c r="I234" i="17"/>
  <c r="J234" i="17" s="1"/>
  <c r="K234" i="17" s="1"/>
  <c r="L210" i="17"/>
  <c r="K265" i="17"/>
  <c r="M232" i="17"/>
  <c r="N232" i="17" s="1"/>
  <c r="O232" i="17" s="1"/>
  <c r="P232" i="17" s="1"/>
  <c r="M263" i="17"/>
  <c r="N263" i="17" s="1"/>
  <c r="O263" i="17" s="1"/>
  <c r="I264" i="17"/>
  <c r="J264" i="17" s="1"/>
  <c r="K264" i="17" s="1"/>
  <c r="K211" i="17"/>
  <c r="K209" i="17"/>
  <c r="M229" i="17"/>
  <c r="X224" i="43"/>
  <c r="Y224" i="43" s="1"/>
  <c r="AA224" i="43" s="1"/>
  <c r="R214" i="43"/>
  <c r="AN116" i="44"/>
  <c r="AB67" i="43"/>
  <c r="AB129" i="43"/>
  <c r="AC129" i="43" s="1"/>
  <c r="AB141" i="43"/>
  <c r="AC141" i="43" s="1"/>
  <c r="AB182" i="43"/>
  <c r="AC182" i="43" s="1"/>
  <c r="AN161" i="43"/>
  <c r="AR161" i="43" s="1"/>
  <c r="AB88" i="43"/>
  <c r="AC88" i="43" s="1"/>
  <c r="AN88" i="43" s="1"/>
  <c r="AR88" i="43" s="1"/>
  <c r="AB42" i="43"/>
  <c r="AC42" i="43" s="1"/>
  <c r="AB220" i="43"/>
  <c r="AC220" i="43" s="1"/>
  <c r="AB142" i="43"/>
  <c r="AB181" i="43"/>
  <c r="AC181" i="43" s="1"/>
  <c r="AN181" i="43" s="1"/>
  <c r="AR181" i="43" s="1"/>
  <c r="AL29" i="43"/>
  <c r="AP21" i="43"/>
  <c r="AJ21" i="43"/>
  <c r="AB207" i="43"/>
  <c r="AB156" i="43"/>
  <c r="R48" i="43"/>
  <c r="AJ48" i="43"/>
  <c r="X48" i="43"/>
  <c r="Y48" i="43" s="1"/>
  <c r="AA48" i="43" s="1"/>
  <c r="AP48" i="43"/>
  <c r="AB268" i="43"/>
  <c r="AC268" i="43" s="1"/>
  <c r="AB44" i="43"/>
  <c r="AC44" i="43" s="1"/>
  <c r="AP17" i="43"/>
  <c r="AJ17" i="43"/>
  <c r="R17" i="43"/>
  <c r="R24" i="43"/>
  <c r="AJ24" i="43"/>
  <c r="AP24" i="43"/>
  <c r="X24" i="43"/>
  <c r="Y24" i="43" s="1"/>
  <c r="AA24" i="43" s="1"/>
  <c r="P107" i="44"/>
  <c r="Q104" i="44"/>
  <c r="AJ115" i="44"/>
  <c r="AN115" i="44"/>
  <c r="AB75" i="43"/>
  <c r="AC75" i="43" s="1"/>
  <c r="AB122" i="43"/>
  <c r="AC122" i="43" s="1"/>
  <c r="AB211" i="43"/>
  <c r="AC211" i="43" s="1"/>
  <c r="AL134" i="43"/>
  <c r="AJ50" i="43"/>
  <c r="R50" i="43"/>
  <c r="X50" i="43"/>
  <c r="Y50" i="43" s="1"/>
  <c r="AA50" i="43" s="1"/>
  <c r="AP50" i="43"/>
  <c r="AB25" i="43"/>
  <c r="AC25" i="43" s="1"/>
  <c r="Q17" i="43"/>
  <c r="Q21" i="43"/>
  <c r="AJ34" i="43"/>
  <c r="X37" i="43"/>
  <c r="Y37" i="43" s="1"/>
  <c r="AA37" i="43" s="1"/>
  <c r="AB37" i="43" s="1"/>
  <c r="AC37" i="43" s="1"/>
  <c r="AN37" i="43" s="1"/>
  <c r="AR37" i="43" s="1"/>
  <c r="Q41" i="43"/>
  <c r="Q45" i="43"/>
  <c r="Q48" i="43"/>
  <c r="Q51" i="43"/>
  <c r="L26" i="17"/>
  <c r="R26" i="17" s="1"/>
  <c r="AJ60" i="43"/>
  <c r="Q92" i="43"/>
  <c r="Q93" i="43"/>
  <c r="Q176" i="43"/>
  <c r="Q25" i="43"/>
  <c r="Q29" i="43"/>
  <c r="Q34" i="43"/>
  <c r="Q36" i="43"/>
  <c r="Q52" i="43"/>
  <c r="AJ65" i="43"/>
  <c r="AL65" i="43" s="1"/>
  <c r="AN106" i="43"/>
  <c r="AP121" i="43"/>
  <c r="Q122" i="43"/>
  <c r="Q113" i="44"/>
  <c r="Q119" i="44" s="1"/>
  <c r="Q38" i="43"/>
  <c r="X39" i="43"/>
  <c r="Y39" i="43" s="1"/>
  <c r="AA39" i="43" s="1"/>
  <c r="AB39" i="43" s="1"/>
  <c r="AC39" i="43" s="1"/>
  <c r="AN39" i="43" s="1"/>
  <c r="AP43" i="43"/>
  <c r="AJ75" i="43"/>
  <c r="AL75" i="43" s="1"/>
  <c r="X106" i="43"/>
  <c r="Y106" i="43" s="1"/>
  <c r="AA106" i="43" s="1"/>
  <c r="Q120" i="43"/>
  <c r="Q126" i="43"/>
  <c r="Q128" i="43"/>
  <c r="Q129" i="43"/>
  <c r="X239" i="43"/>
  <c r="Y239" i="43" s="1"/>
  <c r="AA239" i="43" s="1"/>
  <c r="R270" i="43"/>
  <c r="M83" i="42"/>
  <c r="N83" i="42" s="1"/>
  <c r="O83" i="42" s="1"/>
  <c r="P83" i="42" s="1"/>
  <c r="N82" i="42"/>
  <c r="O82" i="42" s="1"/>
  <c r="P82" i="42" s="1"/>
  <c r="N119" i="44"/>
  <c r="X17" i="43"/>
  <c r="Y17" i="43" s="1"/>
  <c r="AA17" i="43" s="1"/>
  <c r="R31" i="43"/>
  <c r="AJ58" i="43"/>
  <c r="AL58" i="43" s="1"/>
  <c r="AJ95" i="43"/>
  <c r="X100" i="43"/>
  <c r="Y100" i="43" s="1"/>
  <c r="AA100" i="43" s="1"/>
  <c r="AJ138" i="43"/>
  <c r="N164" i="43"/>
  <c r="R177" i="43"/>
  <c r="X209" i="43"/>
  <c r="Y209" i="43" s="1"/>
  <c r="AA209" i="43" s="1"/>
  <c r="AB209" i="43" s="1"/>
  <c r="AC209" i="43" s="1"/>
  <c r="Q155" i="44"/>
  <c r="Q91" i="44"/>
  <c r="N159" i="17"/>
  <c r="L123" i="39"/>
  <c r="M123" i="39" s="1"/>
  <c r="N123" i="39" s="1"/>
  <c r="K191" i="39"/>
  <c r="B23" i="26" s="1"/>
  <c r="N511" i="39"/>
  <c r="N337" i="39"/>
  <c r="N411" i="39" s="1"/>
  <c r="N194" i="39"/>
  <c r="N333" i="39" s="1"/>
  <c r="M185" i="17"/>
  <c r="Q185" i="17" s="1"/>
  <c r="M188" i="17"/>
  <c r="N188" i="17" s="1"/>
  <c r="O188" i="17" s="1"/>
  <c r="C53" i="26"/>
  <c r="D3" i="43"/>
  <c r="AE214" i="44"/>
  <c r="X214" i="44" s="1"/>
  <c r="Y214" i="44" s="1"/>
  <c r="AA214" i="44" s="1"/>
  <c r="AG95" i="44"/>
  <c r="P225" i="17"/>
  <c r="Q225" i="17" s="1"/>
  <c r="M213" i="17"/>
  <c r="N213" i="17" s="1"/>
  <c r="O213" i="17" s="1"/>
  <c r="AG77" i="44"/>
  <c r="AJ77" i="44" s="1"/>
  <c r="J98" i="17"/>
  <c r="K98" i="17" s="1"/>
  <c r="J14" i="17"/>
  <c r="K14" i="17" s="1"/>
  <c r="AG150" i="44"/>
  <c r="I305" i="17"/>
  <c r="J305" i="17" s="1"/>
  <c r="K305" i="17" s="1"/>
  <c r="K233" i="17"/>
  <c r="P233" i="17" s="1"/>
  <c r="I312" i="17"/>
  <c r="J312" i="17" s="1"/>
  <c r="K312" i="17" s="1"/>
  <c r="AG199" i="44"/>
  <c r="I272" i="17"/>
  <c r="J272" i="17" s="1"/>
  <c r="K272" i="17" s="1"/>
  <c r="AG179" i="44"/>
  <c r="K166" i="17"/>
  <c r="M297" i="17"/>
  <c r="N297" i="17" s="1"/>
  <c r="O297" i="17" s="1"/>
  <c r="AG135" i="44"/>
  <c r="AJ135" i="44" s="1"/>
  <c r="AG196" i="44"/>
  <c r="K228" i="17"/>
  <c r="P228" i="17" s="1"/>
  <c r="L319" i="17"/>
  <c r="M319" i="17" s="1"/>
  <c r="AG69" i="44"/>
  <c r="AJ69" i="44" s="1"/>
  <c r="AG28" i="44"/>
  <c r="I246" i="17"/>
  <c r="J246" i="17" s="1"/>
  <c r="K246" i="17" s="1"/>
  <c r="J92" i="17"/>
  <c r="K92" i="17" s="1"/>
  <c r="P156" i="42"/>
  <c r="P159" i="42" s="1"/>
  <c r="M295" i="17"/>
  <c r="J34" i="17"/>
  <c r="K34" i="17" s="1"/>
  <c r="R34" i="17" s="1"/>
  <c r="N298" i="17"/>
  <c r="O298" i="17" s="1"/>
  <c r="P298" i="17" s="1"/>
  <c r="Q298" i="17" s="1"/>
  <c r="R298" i="17" s="1"/>
  <c r="S298" i="17" s="1"/>
  <c r="M242" i="17"/>
  <c r="N242" i="17" s="1"/>
  <c r="O242" i="17" s="1"/>
  <c r="I243" i="17"/>
  <c r="J243" i="17" s="1"/>
  <c r="K243" i="17" s="1"/>
  <c r="L272" i="17"/>
  <c r="M272" i="17" s="1"/>
  <c r="N142" i="17"/>
  <c r="O142" i="17" s="1"/>
  <c r="M28" i="17"/>
  <c r="N28" i="17" s="1"/>
  <c r="O28" i="17" s="1"/>
  <c r="J24" i="17"/>
  <c r="K24" i="17" s="1"/>
  <c r="R24" i="17" s="1"/>
  <c r="J94" i="17"/>
  <c r="K94" i="17" s="1"/>
  <c r="R94" i="17" s="1"/>
  <c r="N324" i="17"/>
  <c r="L14" i="17"/>
  <c r="M14" i="17" s="1"/>
  <c r="M285" i="17"/>
  <c r="N285" i="17" s="1"/>
  <c r="O285" i="17" s="1"/>
  <c r="P285" i="17" s="1"/>
  <c r="I260" i="17"/>
  <c r="J260" i="17" s="1"/>
  <c r="K260" i="17" s="1"/>
  <c r="S36" i="17"/>
  <c r="S193" i="17"/>
  <c r="S113" i="17"/>
  <c r="L280" i="17"/>
  <c r="M280" i="17" s="1"/>
  <c r="K21" i="17"/>
  <c r="M226" i="17"/>
  <c r="N226" i="17" s="1"/>
  <c r="O226" i="17" s="1"/>
  <c r="L220" i="17"/>
  <c r="M220" i="17" s="1"/>
  <c r="L264" i="17"/>
  <c r="M264" i="17" s="1"/>
  <c r="J86" i="17"/>
  <c r="K86" i="17" s="1"/>
  <c r="K247" i="17"/>
  <c r="P247" i="17" s="1"/>
  <c r="K281" i="17"/>
  <c r="P281" i="17" s="1"/>
  <c r="Q281" i="17" s="1"/>
  <c r="R281" i="17" s="1"/>
  <c r="S281" i="17" s="1"/>
  <c r="K110" i="42"/>
  <c r="L110" i="42" s="1"/>
  <c r="I323" i="17"/>
  <c r="J323" i="17" s="1"/>
  <c r="K323" i="17" s="1"/>
  <c r="M13" i="17"/>
  <c r="N13" i="17" s="1"/>
  <c r="O13" i="17" s="1"/>
  <c r="J163" i="17"/>
  <c r="K163" i="17" s="1"/>
  <c r="AB11" i="44"/>
  <c r="AC11" i="44" s="1"/>
  <c r="C3" i="42"/>
  <c r="S11" i="42" s="1"/>
  <c r="T11" i="42" s="1"/>
  <c r="K83" i="42"/>
  <c r="L83" i="42" s="1"/>
  <c r="L20" i="17"/>
  <c r="M20" i="17" s="1"/>
  <c r="M304" i="17"/>
  <c r="N304" i="17" s="1"/>
  <c r="O304" i="17" s="1"/>
  <c r="P304" i="17" s="1"/>
  <c r="M333" i="17"/>
  <c r="N333" i="17" s="1"/>
  <c r="O333" i="17" s="1"/>
  <c r="M302" i="17"/>
  <c r="N302" i="17" s="1"/>
  <c r="O302" i="17" s="1"/>
  <c r="K112" i="42"/>
  <c r="L112" i="42" s="1"/>
  <c r="K85" i="42"/>
  <c r="L85" i="42" s="1"/>
  <c r="K263" i="17"/>
  <c r="K178" i="17"/>
  <c r="M93" i="17"/>
  <c r="N93" i="17" s="1"/>
  <c r="O93" i="17" s="1"/>
  <c r="M289" i="17"/>
  <c r="N289" i="17" s="1"/>
  <c r="O289" i="17" s="1"/>
  <c r="K63" i="42"/>
  <c r="L63" i="42" s="1"/>
  <c r="K108" i="42"/>
  <c r="L108" i="42" s="1"/>
  <c r="M228" i="17"/>
  <c r="N228" i="17" s="1"/>
  <c r="O228" i="17" s="1"/>
  <c r="K57" i="42"/>
  <c r="L57" i="42" s="1"/>
  <c r="J166" i="42"/>
  <c r="K166" i="42" s="1"/>
  <c r="L166" i="42" s="1"/>
  <c r="J18" i="17"/>
  <c r="K18" i="17" s="1"/>
  <c r="S147" i="17"/>
  <c r="S61" i="17"/>
  <c r="S62" i="17"/>
  <c r="S60" i="17"/>
  <c r="AG141" i="44"/>
  <c r="N303" i="17"/>
  <c r="O303" i="17" s="1"/>
  <c r="K333" i="17"/>
  <c r="L286" i="17"/>
  <c r="M286" i="17" s="1"/>
  <c r="I269" i="17"/>
  <c r="J269" i="17" s="1"/>
  <c r="K269" i="17" s="1"/>
  <c r="I321" i="17"/>
  <c r="J321" i="17" s="1"/>
  <c r="K321" i="17" s="1"/>
  <c r="I241" i="17"/>
  <c r="J241" i="17" s="1"/>
  <c r="K241" i="17" s="1"/>
  <c r="M23" i="17"/>
  <c r="N23" i="17" s="1"/>
  <c r="O23" i="17" s="1"/>
  <c r="AG134" i="44"/>
  <c r="AJ134" i="44" s="1"/>
  <c r="AG191" i="44"/>
  <c r="AG81" i="44"/>
  <c r="AG45" i="44"/>
  <c r="AJ45" i="44" s="1"/>
  <c r="AG96" i="44"/>
  <c r="AG89" i="44"/>
  <c r="J20" i="17"/>
  <c r="K20" i="17" s="1"/>
  <c r="J31" i="17"/>
  <c r="K31" i="17" s="1"/>
  <c r="K184" i="17"/>
  <c r="L296" i="17"/>
  <c r="M296" i="17" s="1"/>
  <c r="L282" i="17"/>
  <c r="M282" i="17" s="1"/>
  <c r="N282" i="17" s="1"/>
  <c r="O282" i="17" s="1"/>
  <c r="P282" i="17" s="1"/>
  <c r="AG40" i="44"/>
  <c r="AG46" i="44"/>
  <c r="AJ46" i="44" s="1"/>
  <c r="AG200" i="44"/>
  <c r="AG72" i="44"/>
  <c r="AG201" i="44"/>
  <c r="AG67" i="44"/>
  <c r="AJ67" i="44" s="1"/>
  <c r="AG145" i="44"/>
  <c r="AJ145" i="44" s="1"/>
  <c r="AG41" i="44"/>
  <c r="AG92" i="44"/>
  <c r="AJ92" i="44" s="1"/>
  <c r="I278" i="17"/>
  <c r="J278" i="17" s="1"/>
  <c r="K278" i="17" s="1"/>
  <c r="J133" i="17"/>
  <c r="K133" i="17" s="1"/>
  <c r="AG139" i="44"/>
  <c r="AJ139" i="44" s="1"/>
  <c r="AG207" i="44"/>
  <c r="AG181" i="44"/>
  <c r="AG12" i="44"/>
  <c r="AJ12" i="44" s="1"/>
  <c r="AG188" i="44"/>
  <c r="K302" i="17"/>
  <c r="P302" i="17" s="1"/>
  <c r="K95" i="17"/>
  <c r="AG39" i="44"/>
  <c r="AJ39" i="44" s="1"/>
  <c r="N182" i="17"/>
  <c r="O182" i="17" s="1"/>
  <c r="L248" i="17"/>
  <c r="AG142" i="44"/>
  <c r="AG63" i="44"/>
  <c r="AJ63" i="44" s="1"/>
  <c r="AG99" i="44"/>
  <c r="AJ99" i="44" s="1"/>
  <c r="AG208" i="44"/>
  <c r="AG66" i="44"/>
  <c r="AG189" i="44"/>
  <c r="AG62" i="44"/>
  <c r="AJ62" i="44" s="1"/>
  <c r="I286" i="17"/>
  <c r="J286" i="17" s="1"/>
  <c r="K286" i="17" s="1"/>
  <c r="S39" i="17"/>
  <c r="P262" i="17"/>
  <c r="Q262" i="17" s="1"/>
  <c r="S119" i="44"/>
  <c r="K306" i="17"/>
  <c r="I307" i="17"/>
  <c r="J307" i="17" s="1"/>
  <c r="K307" i="17" s="1"/>
  <c r="K15" i="17"/>
  <c r="J16" i="17"/>
  <c r="K16" i="17" s="1"/>
  <c r="R16" i="17" s="1"/>
  <c r="M161" i="17"/>
  <c r="N161" i="17" s="1"/>
  <c r="O161" i="17" s="1"/>
  <c r="K238" i="17"/>
  <c r="I239" i="17"/>
  <c r="J239" i="17" s="1"/>
  <c r="K239" i="17" s="1"/>
  <c r="K28" i="17"/>
  <c r="J29" i="17"/>
  <c r="K29" i="17" s="1"/>
  <c r="K164" i="17"/>
  <c r="J165" i="17"/>
  <c r="K165" i="17" s="1"/>
  <c r="K283" i="17"/>
  <c r="I284" i="17"/>
  <c r="J284" i="17" s="1"/>
  <c r="K284" i="17" s="1"/>
  <c r="K279" i="17"/>
  <c r="P279" i="17" s="1"/>
  <c r="Q279" i="17" s="1"/>
  <c r="I280" i="17"/>
  <c r="J280" i="17" s="1"/>
  <c r="K280" i="17" s="1"/>
  <c r="K177" i="17"/>
  <c r="K326" i="17"/>
  <c r="K213" i="17"/>
  <c r="I214" i="17"/>
  <c r="J214" i="17" s="1"/>
  <c r="K214" i="17" s="1"/>
  <c r="K226" i="17"/>
  <c r="I227" i="17"/>
  <c r="J227" i="17" s="1"/>
  <c r="K227" i="17" s="1"/>
  <c r="I319" i="17"/>
  <c r="J319" i="17" s="1"/>
  <c r="K319" i="17" s="1"/>
  <c r="K318" i="17"/>
  <c r="P318" i="17" s="1"/>
  <c r="Q318" i="17" s="1"/>
  <c r="R318" i="17" s="1"/>
  <c r="S318" i="17" s="1"/>
  <c r="K219" i="17"/>
  <c r="P219" i="17" s="1"/>
  <c r="I220" i="17"/>
  <c r="J220" i="17" s="1"/>
  <c r="K220" i="17" s="1"/>
  <c r="K223" i="17"/>
  <c r="I224" i="17"/>
  <c r="J224" i="17" s="1"/>
  <c r="K224" i="17" s="1"/>
  <c r="AG186" i="44"/>
  <c r="AG149" i="44"/>
  <c r="AJ149" i="44" s="1"/>
  <c r="AG136" i="44"/>
  <c r="AG112" i="44"/>
  <c r="AG78" i="44"/>
  <c r="AG88" i="44"/>
  <c r="AJ88" i="44" s="1"/>
  <c r="AG71" i="44"/>
  <c r="AG17" i="44"/>
  <c r="AG29" i="44"/>
  <c r="AG194" i="44"/>
  <c r="AG153" i="44"/>
  <c r="AG140" i="44"/>
  <c r="AJ140" i="44" s="1"/>
  <c r="AG125" i="44"/>
  <c r="AG82" i="44"/>
  <c r="AJ82" i="44" s="1"/>
  <c r="AG128" i="44"/>
  <c r="AG44" i="44"/>
  <c r="AG15" i="44"/>
  <c r="AJ15" i="44" s="1"/>
  <c r="AG27" i="44"/>
  <c r="AG206" i="44"/>
  <c r="AG183" i="44"/>
  <c r="AG146" i="44"/>
  <c r="AJ146" i="44" s="1"/>
  <c r="AG131" i="44"/>
  <c r="AG105" i="44"/>
  <c r="AG126" i="44"/>
  <c r="AJ126" i="44" s="1"/>
  <c r="AG56" i="44"/>
  <c r="AJ56" i="44" s="1"/>
  <c r="AG35" i="44"/>
  <c r="AJ35" i="44" s="1"/>
  <c r="AG59" i="44"/>
  <c r="AG180" i="44"/>
  <c r="AG75" i="44"/>
  <c r="AG198" i="44"/>
  <c r="AG84" i="44"/>
  <c r="AG209" i="44"/>
  <c r="AG76" i="44"/>
  <c r="AG34" i="44"/>
  <c r="AJ34" i="44" s="1"/>
  <c r="AG87" i="44"/>
  <c r="AJ87" i="44" s="1"/>
  <c r="AG204" i="44"/>
  <c r="AG197" i="44"/>
  <c r="AG185" i="44"/>
  <c r="AG148" i="44"/>
  <c r="AG97" i="44"/>
  <c r="AJ97" i="44" s="1"/>
  <c r="AG70" i="44"/>
  <c r="AJ70" i="44" s="1"/>
  <c r="AG79" i="44"/>
  <c r="AG102" i="44"/>
  <c r="AJ102" i="44" s="1"/>
  <c r="AG30" i="44"/>
  <c r="AG53" i="44"/>
  <c r="AG205" i="44"/>
  <c r="AG195" i="44"/>
  <c r="AG152" i="44"/>
  <c r="AG101" i="44"/>
  <c r="AJ101" i="44" s="1"/>
  <c r="AG74" i="44"/>
  <c r="AJ74" i="44" s="1"/>
  <c r="AG83" i="44"/>
  <c r="AG65" i="44"/>
  <c r="AG19" i="44"/>
  <c r="AG61" i="44"/>
  <c r="AJ61" i="44" s="1"/>
  <c r="AG190" i="44"/>
  <c r="AG151" i="44"/>
  <c r="AG138" i="44"/>
  <c r="AG114" i="44"/>
  <c r="AJ114" i="44" s="1"/>
  <c r="AG80" i="44"/>
  <c r="AG124" i="44"/>
  <c r="AG42" i="44"/>
  <c r="AG13" i="44"/>
  <c r="AG36" i="44"/>
  <c r="AJ36" i="44" s="1"/>
  <c r="AG103" i="44"/>
  <c r="AJ103" i="44" s="1"/>
  <c r="AG73" i="44"/>
  <c r="AG176" i="44"/>
  <c r="AG132" i="44"/>
  <c r="AG147" i="44"/>
  <c r="AG85" i="44"/>
  <c r="AG60" i="44"/>
  <c r="AG57" i="44"/>
  <c r="AG20" i="44"/>
  <c r="AG202" i="44"/>
  <c r="AG182" i="44"/>
  <c r="AG144" i="44"/>
  <c r="AJ144" i="44" s="1"/>
  <c r="AG129" i="44"/>
  <c r="AJ129" i="44" s="1"/>
  <c r="AG86" i="44"/>
  <c r="AJ86" i="44" s="1"/>
  <c r="AG100" i="44"/>
  <c r="AG54" i="44"/>
  <c r="AJ54" i="44" s="1"/>
  <c r="AG33" i="44"/>
  <c r="AG16" i="44"/>
  <c r="AG210" i="44"/>
  <c r="AG187" i="44"/>
  <c r="AG137" i="44"/>
  <c r="AJ137" i="44" s="1"/>
  <c r="AG133" i="44"/>
  <c r="AG98" i="44"/>
  <c r="AJ98" i="44" s="1"/>
  <c r="AG130" i="44"/>
  <c r="AG58" i="44"/>
  <c r="AJ58" i="44" s="1"/>
  <c r="AG37" i="44"/>
  <c r="AJ37" i="44" s="1"/>
  <c r="AG14" i="44"/>
  <c r="AG192" i="44"/>
  <c r="AG203" i="44"/>
  <c r="AG143" i="44"/>
  <c r="AG94" i="44"/>
  <c r="AG93" i="44"/>
  <c r="AJ93" i="44" s="1"/>
  <c r="AG113" i="44"/>
  <c r="AG64" i="44"/>
  <c r="AG43" i="44"/>
  <c r="AJ43" i="44" s="1"/>
  <c r="AG18" i="44"/>
  <c r="AG193" i="44"/>
  <c r="AG68" i="44"/>
  <c r="AG32" i="44"/>
  <c r="AG127" i="44"/>
  <c r="AJ127" i="44" s="1"/>
  <c r="AG31" i="44"/>
  <c r="AJ31" i="44" s="1"/>
  <c r="AG104" i="44"/>
  <c r="AG38" i="44"/>
  <c r="AG184" i="44"/>
  <c r="AG90" i="44"/>
  <c r="J131" i="17"/>
  <c r="K131" i="17" s="1"/>
  <c r="I217" i="17"/>
  <c r="O56" i="42"/>
  <c r="O135" i="42"/>
  <c r="O153" i="42" s="1"/>
  <c r="P15" i="42"/>
  <c r="J303" i="17"/>
  <c r="K303" i="17" s="1"/>
  <c r="AJ91" i="44"/>
  <c r="K289" i="17"/>
  <c r="S41" i="17"/>
  <c r="I266" i="17"/>
  <c r="J266" i="17" s="1"/>
  <c r="K266" i="17" s="1"/>
  <c r="S104" i="17"/>
  <c r="P276" i="17"/>
  <c r="Q310" i="17"/>
  <c r="R310" i="17" s="1"/>
  <c r="S310" i="17" s="1"/>
  <c r="M153" i="42"/>
  <c r="M57" i="42"/>
  <c r="N57" i="42" s="1"/>
  <c r="M63" i="42"/>
  <c r="N63" i="42" s="1"/>
  <c r="L13" i="42"/>
  <c r="L19" i="42"/>
  <c r="L157" i="42"/>
  <c r="L22" i="42"/>
  <c r="L21" i="42"/>
  <c r="L20" i="42"/>
  <c r="L23" i="42"/>
  <c r="K411" i="39"/>
  <c r="P332" i="17"/>
  <c r="Q332" i="17" s="1"/>
  <c r="R332" i="17" s="1"/>
  <c r="S332" i="17" s="1"/>
  <c r="AN176" i="43"/>
  <c r="AN125" i="43"/>
  <c r="AR125" i="43" s="1"/>
  <c r="AN175" i="43"/>
  <c r="AR175" i="43" s="1"/>
  <c r="AN129" i="43"/>
  <c r="AR129" i="43" s="1"/>
  <c r="AL129" i="43"/>
  <c r="AC123" i="43"/>
  <c r="AB15" i="43"/>
  <c r="AC15" i="43" s="1"/>
  <c r="AB74" i="43"/>
  <c r="AC74" i="43" s="1"/>
  <c r="AP103" i="43"/>
  <c r="T125" i="43"/>
  <c r="T41" i="43"/>
  <c r="AC207" i="43"/>
  <c r="AC156" i="43"/>
  <c r="AB226" i="43"/>
  <c r="AC226" i="43" s="1"/>
  <c r="AB225" i="43"/>
  <c r="AC225" i="43" s="1"/>
  <c r="AC90" i="43"/>
  <c r="AB218" i="43"/>
  <c r="AC218" i="43" s="1"/>
  <c r="AL174" i="43"/>
  <c r="AB174" i="43"/>
  <c r="AC174" i="43" s="1"/>
  <c r="AB157" i="43"/>
  <c r="AB63" i="43"/>
  <c r="AC63" i="43" s="1"/>
  <c r="AB29" i="43"/>
  <c r="AC29" i="43" s="1"/>
  <c r="AC142" i="43"/>
  <c r="T253" i="43"/>
  <c r="AB172" i="43"/>
  <c r="AC172" i="43" s="1"/>
  <c r="AB128" i="43"/>
  <c r="AC128" i="43" s="1"/>
  <c r="AB65" i="43"/>
  <c r="AC65" i="43" s="1"/>
  <c r="AB38" i="43"/>
  <c r="AC38" i="43" s="1"/>
  <c r="AB178" i="43"/>
  <c r="AC178" i="43" s="1"/>
  <c r="AB51" i="43"/>
  <c r="AC51" i="43" s="1"/>
  <c r="V265" i="43"/>
  <c r="AB265" i="43" s="1"/>
  <c r="AC265" i="43" s="1"/>
  <c r="T134" i="43"/>
  <c r="X14" i="43"/>
  <c r="Y14" i="43" s="1"/>
  <c r="AA14" i="43" s="1"/>
  <c r="AJ14" i="43"/>
  <c r="AJ16" i="43"/>
  <c r="R16" i="43"/>
  <c r="X18" i="43"/>
  <c r="Y18" i="43" s="1"/>
  <c r="AA18" i="43" s="1"/>
  <c r="AJ18" i="43"/>
  <c r="AL18" i="43" s="1"/>
  <c r="X58" i="43"/>
  <c r="Y58" i="43" s="1"/>
  <c r="AA58" i="43" s="1"/>
  <c r="AJ73" i="43"/>
  <c r="AL73" i="43" s="1"/>
  <c r="AP73" i="43"/>
  <c r="AP33" i="43"/>
  <c r="R33" i="43"/>
  <c r="X35" i="43"/>
  <c r="Y35" i="43" s="1"/>
  <c r="AA35" i="43" s="1"/>
  <c r="R35" i="43"/>
  <c r="AP35" i="43"/>
  <c r="L162" i="17"/>
  <c r="R162" i="17" s="1"/>
  <c r="Q46" i="43"/>
  <c r="AJ55" i="43"/>
  <c r="AN55" i="43"/>
  <c r="AN56" i="43"/>
  <c r="Q31" i="43"/>
  <c r="X127" i="43"/>
  <c r="Y127" i="43" s="1"/>
  <c r="AA127" i="43" s="1"/>
  <c r="AP127" i="43"/>
  <c r="AP19" i="43"/>
  <c r="X19" i="43"/>
  <c r="Y19" i="43" s="1"/>
  <c r="AA19" i="43" s="1"/>
  <c r="R19" i="43"/>
  <c r="R45" i="43"/>
  <c r="V45" i="43" s="1"/>
  <c r="AL45" i="43" s="1"/>
  <c r="AP45" i="43"/>
  <c r="X47" i="43"/>
  <c r="Y47" i="43" s="1"/>
  <c r="AA47" i="43" s="1"/>
  <c r="M143" i="17"/>
  <c r="N143" i="17" s="1"/>
  <c r="O143" i="17" s="1"/>
  <c r="L238" i="17"/>
  <c r="Q18" i="43"/>
  <c r="Q23" i="43"/>
  <c r="Q27" i="43"/>
  <c r="Q32" i="43"/>
  <c r="Q37" i="43"/>
  <c r="Q40" i="43"/>
  <c r="Q42" i="43"/>
  <c r="M230" i="17"/>
  <c r="N230" i="17" s="1"/>
  <c r="O230" i="17" s="1"/>
  <c r="Q44" i="43"/>
  <c r="L278" i="17"/>
  <c r="M278" i="17" s="1"/>
  <c r="M277" i="17"/>
  <c r="N277" i="17" s="1"/>
  <c r="O277" i="17" s="1"/>
  <c r="P277" i="17" s="1"/>
  <c r="AP75" i="43"/>
  <c r="AR75" i="43" s="1"/>
  <c r="Q84" i="43"/>
  <c r="Q88" i="43"/>
  <c r="M95" i="17"/>
  <c r="Q134" i="43"/>
  <c r="Q174" i="43"/>
  <c r="Q175" i="43"/>
  <c r="AJ175" i="43"/>
  <c r="N176" i="17"/>
  <c r="O176" i="17" s="1"/>
  <c r="N178" i="17"/>
  <c r="O178" i="17" s="1"/>
  <c r="N77" i="43"/>
  <c r="L284" i="17"/>
  <c r="M284" i="17" s="1"/>
  <c r="M283" i="17"/>
  <c r="L18" i="17"/>
  <c r="M18" i="17" s="1"/>
  <c r="M17" i="17"/>
  <c r="N17" i="17" s="1"/>
  <c r="O17" i="17" s="1"/>
  <c r="Q85" i="43"/>
  <c r="Q89" i="43"/>
  <c r="Q123" i="43"/>
  <c r="P162" i="43"/>
  <c r="AP171" i="43"/>
  <c r="M306" i="17"/>
  <c r="R180" i="43"/>
  <c r="P244" i="17"/>
  <c r="N291" i="17"/>
  <c r="O291" i="17" s="1"/>
  <c r="Q39" i="43"/>
  <c r="AP39" i="43"/>
  <c r="L167" i="17"/>
  <c r="M167" i="17" s="1"/>
  <c r="N167" i="17" s="1"/>
  <c r="O167" i="17" s="1"/>
  <c r="P167" i="17" s="1"/>
  <c r="M166" i="17"/>
  <c r="N166" i="17" s="1"/>
  <c r="O166" i="17" s="1"/>
  <c r="Q56" i="43"/>
  <c r="X56" i="43" s="1"/>
  <c r="Y56" i="43" s="1"/>
  <c r="AA56" i="43" s="1"/>
  <c r="L86" i="17"/>
  <c r="M85" i="17"/>
  <c r="Q85" i="17" s="1"/>
  <c r="L90" i="17"/>
  <c r="M89" i="17"/>
  <c r="Q89" i="17" s="1"/>
  <c r="Q91" i="43"/>
  <c r="Q121" i="43"/>
  <c r="Q124" i="43"/>
  <c r="Q127" i="43"/>
  <c r="Q130" i="43"/>
  <c r="Q131" i="43"/>
  <c r="Q177" i="43"/>
  <c r="R223" i="43"/>
  <c r="X227" i="43"/>
  <c r="Y227" i="43" s="1"/>
  <c r="AA227" i="43" s="1"/>
  <c r="X260" i="43"/>
  <c r="Y260" i="43" s="1"/>
  <c r="AA260" i="43" s="1"/>
  <c r="Q16" i="43"/>
  <c r="Q22" i="43"/>
  <c r="Q26" i="43"/>
  <c r="Q30" i="43"/>
  <c r="Q35" i="43"/>
  <c r="L34" i="17"/>
  <c r="M34" i="17" s="1"/>
  <c r="M33" i="17"/>
  <c r="N33" i="17" s="1"/>
  <c r="O33" i="17" s="1"/>
  <c r="M299" i="17"/>
  <c r="L300" i="17"/>
  <c r="L321" i="17"/>
  <c r="M320" i="17"/>
  <c r="N320" i="17" s="1"/>
  <c r="O320" i="17" s="1"/>
  <c r="P320" i="17" s="1"/>
  <c r="M132" i="17"/>
  <c r="Q132" i="17" s="1"/>
  <c r="L133" i="17"/>
  <c r="L130" i="17"/>
  <c r="R130" i="17" s="1"/>
  <c r="Q158" i="43"/>
  <c r="AP173" i="43"/>
  <c r="Q183" i="43"/>
  <c r="P185" i="43"/>
  <c r="N187" i="43"/>
  <c r="M265" i="17"/>
  <c r="L266" i="17"/>
  <c r="M266" i="17" s="1"/>
  <c r="Q170" i="43"/>
  <c r="Q171" i="43"/>
  <c r="M15" i="17"/>
  <c r="X266" i="43"/>
  <c r="Y266" i="43" s="1"/>
  <c r="AA266" i="43" s="1"/>
  <c r="Q327" i="17"/>
  <c r="R327" i="17" s="1"/>
  <c r="S327" i="17" s="1"/>
  <c r="Q172" i="43"/>
  <c r="Q173" i="43"/>
  <c r="J90" i="17"/>
  <c r="K90" i="17" s="1"/>
  <c r="R90" i="17" s="1"/>
  <c r="P22" i="44"/>
  <c r="Q55" i="44"/>
  <c r="Q63" i="44"/>
  <c r="N107" i="44"/>
  <c r="N158" i="44" s="1"/>
  <c r="M84" i="42"/>
  <c r="N84" i="42" s="1"/>
  <c r="O84" i="42" s="1"/>
  <c r="P84" i="42" s="1"/>
  <c r="M109" i="42"/>
  <c r="N109" i="42" s="1"/>
  <c r="O109" i="42" s="1"/>
  <c r="P109" i="42" s="1"/>
  <c r="M111" i="42"/>
  <c r="N111" i="42" s="1"/>
  <c r="O111" i="42" s="1"/>
  <c r="P111" i="42" s="1"/>
  <c r="O181" i="17"/>
  <c r="P333" i="17" l="1"/>
  <c r="R49" i="17"/>
  <c r="Q93" i="17"/>
  <c r="Q188" i="17"/>
  <c r="Q97" i="17"/>
  <c r="Q13" i="17"/>
  <c r="P326" i="17"/>
  <c r="P177" i="17"/>
  <c r="Q177" i="17"/>
  <c r="R177" i="17"/>
  <c r="R135" i="17"/>
  <c r="R18" i="17"/>
  <c r="R31" i="17"/>
  <c r="P263" i="17"/>
  <c r="P230" i="17"/>
  <c r="R54" i="17"/>
  <c r="R43" i="17"/>
  <c r="S43" i="17" s="1"/>
  <c r="P28" i="17"/>
  <c r="Q28" i="17"/>
  <c r="R28" i="17"/>
  <c r="P216" i="17"/>
  <c r="R97" i="17"/>
  <c r="P289" i="17"/>
  <c r="R184" i="17"/>
  <c r="Q184" i="17"/>
  <c r="P184" i="17"/>
  <c r="P196" i="17" s="1"/>
  <c r="E18" i="26" s="1"/>
  <c r="AF18" i="26" s="1"/>
  <c r="P178" i="17"/>
  <c r="R178" i="17"/>
  <c r="Q178" i="17"/>
  <c r="P226" i="17"/>
  <c r="P283" i="17"/>
  <c r="Q283" i="17" s="1"/>
  <c r="R283" i="17" s="1"/>
  <c r="S283" i="17" s="1"/>
  <c r="R20" i="17"/>
  <c r="R86" i="17"/>
  <c r="R92" i="17"/>
  <c r="P209" i="17"/>
  <c r="Q390" i="39"/>
  <c r="R390" i="39" s="1"/>
  <c r="Q161" i="17"/>
  <c r="R190" i="17"/>
  <c r="S190" i="17" s="1"/>
  <c r="R22" i="17"/>
  <c r="R129" i="17"/>
  <c r="P245" i="17"/>
  <c r="R165" i="17"/>
  <c r="P15" i="17"/>
  <c r="R15" i="17"/>
  <c r="Q15" i="17"/>
  <c r="R133" i="17"/>
  <c r="P166" i="17"/>
  <c r="Q166" i="17"/>
  <c r="R166" i="17"/>
  <c r="R14" i="17"/>
  <c r="R45" i="17"/>
  <c r="Q33" i="17"/>
  <c r="R167" i="17"/>
  <c r="P242" i="17"/>
  <c r="Q242" i="17" s="1"/>
  <c r="R242" i="17" s="1"/>
  <c r="S242" i="17" s="1"/>
  <c r="R21" i="17"/>
  <c r="Q21" i="17"/>
  <c r="P213" i="17"/>
  <c r="P164" i="17"/>
  <c r="R164" i="17"/>
  <c r="P95" i="17"/>
  <c r="Q95" i="17"/>
  <c r="R95" i="17"/>
  <c r="P297" i="17"/>
  <c r="Q299" i="39"/>
  <c r="R299" i="39" s="1"/>
  <c r="Q17" i="17"/>
  <c r="R40" i="39"/>
  <c r="R57" i="39"/>
  <c r="R30" i="39"/>
  <c r="R15" i="39"/>
  <c r="R310" i="39"/>
  <c r="T48" i="42"/>
  <c r="T113" i="42"/>
  <c r="R91" i="39"/>
  <c r="R84" i="39"/>
  <c r="R293" i="39"/>
  <c r="R306" i="39"/>
  <c r="R462" i="39"/>
  <c r="N453" i="39"/>
  <c r="R309" i="39"/>
  <c r="R438" i="39"/>
  <c r="R296" i="39"/>
  <c r="R483" i="39"/>
  <c r="R295" i="39"/>
  <c r="R471" i="39"/>
  <c r="R95" i="39"/>
  <c r="R101" i="39"/>
  <c r="R394" i="39"/>
  <c r="R466" i="39"/>
  <c r="R21" i="39"/>
  <c r="L453" i="39"/>
  <c r="D29" i="26" s="1"/>
  <c r="AE29" i="26" s="1"/>
  <c r="AD29" i="26" s="1"/>
  <c r="P426" i="39"/>
  <c r="R73" i="39"/>
  <c r="R17" i="39"/>
  <c r="M453" i="39"/>
  <c r="R300" i="39"/>
  <c r="R305" i="39"/>
  <c r="R294" i="39"/>
  <c r="R499" i="39"/>
  <c r="R290" i="39"/>
  <c r="R396" i="39"/>
  <c r="R489" i="39"/>
  <c r="R26" i="39"/>
  <c r="R485" i="39"/>
  <c r="R56" i="39"/>
  <c r="R55" i="39"/>
  <c r="R441" i="39"/>
  <c r="R397" i="39"/>
  <c r="R286" i="39"/>
  <c r="R284" i="39"/>
  <c r="R279" i="39"/>
  <c r="R461" i="39"/>
  <c r="R96" i="39"/>
  <c r="R389" i="39"/>
  <c r="R464" i="39"/>
  <c r="R427" i="39"/>
  <c r="R297" i="39"/>
  <c r="R75" i="39"/>
  <c r="R437" i="39"/>
  <c r="R439" i="39"/>
  <c r="R440" i="39"/>
  <c r="R307" i="39"/>
  <c r="R496" i="39"/>
  <c r="R108" i="39"/>
  <c r="R298" i="39"/>
  <c r="R393" i="39"/>
  <c r="R494" i="39"/>
  <c r="R430" i="39"/>
  <c r="R395" i="39"/>
  <c r="R301" i="39"/>
  <c r="R435" i="39"/>
  <c r="R43" i="39"/>
  <c r="R442" i="39"/>
  <c r="R487" i="39"/>
  <c r="R33" i="39"/>
  <c r="R49" i="39"/>
  <c r="R302" i="39"/>
  <c r="R428" i="39"/>
  <c r="R76" i="39"/>
  <c r="R443" i="39"/>
  <c r="R391" i="39"/>
  <c r="R85" i="39"/>
  <c r="R69" i="39"/>
  <c r="R497" i="39"/>
  <c r="R492" i="39"/>
  <c r="R50" i="39"/>
  <c r="R46" i="39"/>
  <c r="R59" i="39"/>
  <c r="R495" i="39"/>
  <c r="R65" i="39"/>
  <c r="R100" i="39"/>
  <c r="R476" i="39"/>
  <c r="R425" i="39"/>
  <c r="R107" i="39"/>
  <c r="R64" i="39"/>
  <c r="R16" i="39"/>
  <c r="R114" i="39"/>
  <c r="R498" i="39"/>
  <c r="R303" i="39"/>
  <c r="R398" i="39"/>
  <c r="R468" i="39"/>
  <c r="R304" i="39"/>
  <c r="P431" i="39"/>
  <c r="R475" i="39"/>
  <c r="R416" i="39"/>
  <c r="R82" i="39"/>
  <c r="R399" i="39"/>
  <c r="R98" i="39"/>
  <c r="R92" i="39"/>
  <c r="R38" i="39"/>
  <c r="R119" i="39"/>
  <c r="R32" i="39"/>
  <c r="R532" i="39"/>
  <c r="R28" i="39"/>
  <c r="R392" i="39"/>
  <c r="P123" i="39"/>
  <c r="Q123" i="39" s="1"/>
  <c r="R436" i="39"/>
  <c r="R491" i="39"/>
  <c r="R39" i="39"/>
  <c r="R282" i="39"/>
  <c r="T82" i="42"/>
  <c r="T71" i="42"/>
  <c r="T67" i="42"/>
  <c r="T35" i="42"/>
  <c r="T61" i="42"/>
  <c r="T89" i="42"/>
  <c r="T133" i="42"/>
  <c r="T44" i="42"/>
  <c r="T91" i="42"/>
  <c r="T145" i="42"/>
  <c r="T72" i="42"/>
  <c r="T141" i="42"/>
  <c r="T64" i="42"/>
  <c r="T96" i="42"/>
  <c r="T92" i="42"/>
  <c r="T70" i="42"/>
  <c r="T60" i="42"/>
  <c r="T94" i="42"/>
  <c r="T37" i="42"/>
  <c r="T131" i="42"/>
  <c r="R13" i="42"/>
  <c r="S13" i="42" s="1"/>
  <c r="T134" i="42"/>
  <c r="T115" i="42"/>
  <c r="T58" i="42"/>
  <c r="T149" i="42"/>
  <c r="T69" i="42"/>
  <c r="T43" i="42"/>
  <c r="T55" i="42"/>
  <c r="T36" i="42"/>
  <c r="T139" i="42"/>
  <c r="T87" i="42"/>
  <c r="T86" i="42"/>
  <c r="T129" i="42"/>
  <c r="T68" i="42"/>
  <c r="R23" i="42"/>
  <c r="T31" i="42"/>
  <c r="T148" i="42"/>
  <c r="T54" i="42"/>
  <c r="T34" i="42"/>
  <c r="T65" i="42"/>
  <c r="R20" i="42"/>
  <c r="S20" i="42" s="1"/>
  <c r="T56" i="42"/>
  <c r="T78" i="42"/>
  <c r="T143" i="42"/>
  <c r="T62" i="42"/>
  <c r="T29" i="42"/>
  <c r="R157" i="42"/>
  <c r="R19" i="42"/>
  <c r="S19" i="42" s="1"/>
  <c r="T75" i="42"/>
  <c r="R21" i="42"/>
  <c r="S21" i="42" s="1"/>
  <c r="R107" i="42"/>
  <c r="R22" i="42"/>
  <c r="S22" i="42" s="1"/>
  <c r="T84" i="42"/>
  <c r="T41" i="42"/>
  <c r="T74" i="42"/>
  <c r="T47" i="42"/>
  <c r="T144" i="42"/>
  <c r="T138" i="42"/>
  <c r="T81" i="42"/>
  <c r="R111" i="42"/>
  <c r="T111" i="42" s="1"/>
  <c r="T107" i="42"/>
  <c r="T95" i="42"/>
  <c r="T39" i="42"/>
  <c r="R83" i="42"/>
  <c r="Q167" i="17"/>
  <c r="S167" i="17" s="1"/>
  <c r="Q22" i="17"/>
  <c r="P22" i="17"/>
  <c r="P21" i="17"/>
  <c r="N14" i="17"/>
  <c r="O14" i="17" s="1"/>
  <c r="M128" i="17"/>
  <c r="Q128" i="17" s="1"/>
  <c r="M196" i="17"/>
  <c r="D18" i="26" s="1"/>
  <c r="AE18" i="26" s="1"/>
  <c r="V247" i="43"/>
  <c r="AB247" i="43" s="1"/>
  <c r="AC247" i="43" s="1"/>
  <c r="T247" i="43"/>
  <c r="AB105" i="43"/>
  <c r="AP105" i="43" s="1"/>
  <c r="AR176" i="43"/>
  <c r="T105" i="43"/>
  <c r="T94" i="43"/>
  <c r="T49" i="43"/>
  <c r="V49" i="43"/>
  <c r="V62" i="43"/>
  <c r="T62" i="43"/>
  <c r="AR39" i="43"/>
  <c r="AB272" i="43"/>
  <c r="AC272" i="43" s="1"/>
  <c r="V234" i="43"/>
  <c r="AB234" i="43" s="1"/>
  <c r="AC234" i="43" s="1"/>
  <c r="T234" i="43"/>
  <c r="V47" i="43"/>
  <c r="AL47" i="43" s="1"/>
  <c r="T47" i="43"/>
  <c r="T227" i="43"/>
  <c r="V227" i="43"/>
  <c r="T121" i="43"/>
  <c r="V121" i="43"/>
  <c r="AB121" i="43" s="1"/>
  <c r="AC121" i="43" s="1"/>
  <c r="AR142" i="43"/>
  <c r="AC73" i="43"/>
  <c r="B41" i="26"/>
  <c r="AC41" i="26" s="1"/>
  <c r="AD41" i="26" s="1"/>
  <c r="AB109" i="43"/>
  <c r="AC109" i="43" s="1"/>
  <c r="AR109" i="43" s="1"/>
  <c r="T46" i="43"/>
  <c r="V46" i="43"/>
  <c r="AB46" i="43" s="1"/>
  <c r="AC46" i="43" s="1"/>
  <c r="T233" i="43"/>
  <c r="V233" i="43"/>
  <c r="AB233" i="43" s="1"/>
  <c r="AC233" i="43" s="1"/>
  <c r="V71" i="43"/>
  <c r="T71" i="43"/>
  <c r="T59" i="43"/>
  <c r="V59" i="43"/>
  <c r="AL59" i="43" s="1"/>
  <c r="AB66" i="43"/>
  <c r="AP66" i="43" s="1"/>
  <c r="AP104" i="43"/>
  <c r="AR104" i="43" s="1"/>
  <c r="T84" i="43"/>
  <c r="V84" i="43"/>
  <c r="T100" i="43"/>
  <c r="V100" i="43"/>
  <c r="AL100" i="43" s="1"/>
  <c r="V21" i="43"/>
  <c r="AB21" i="43" s="1"/>
  <c r="AC21" i="43" s="1"/>
  <c r="T21" i="43"/>
  <c r="V262" i="43"/>
  <c r="AB262" i="43" s="1"/>
  <c r="AC262" i="43" s="1"/>
  <c r="T262" i="43"/>
  <c r="V111" i="43"/>
  <c r="AB111" i="43" s="1"/>
  <c r="AC111" i="43" s="1"/>
  <c r="AR111" i="43" s="1"/>
  <c r="T111" i="43"/>
  <c r="V171" i="43"/>
  <c r="T171" i="43"/>
  <c r="AL46" i="43"/>
  <c r="AB94" i="43"/>
  <c r="AC94" i="43" s="1"/>
  <c r="AN94" i="43" s="1"/>
  <c r="AR94" i="43" s="1"/>
  <c r="AC157" i="43"/>
  <c r="P155" i="44"/>
  <c r="AB248" i="43"/>
  <c r="AC248" i="43" s="1"/>
  <c r="AR107" i="43"/>
  <c r="V20" i="43"/>
  <c r="T20" i="43"/>
  <c r="T248" i="43"/>
  <c r="V43" i="43"/>
  <c r="T43" i="43"/>
  <c r="AL121" i="43"/>
  <c r="AB267" i="43"/>
  <c r="AC267" i="43" s="1"/>
  <c r="V258" i="43"/>
  <c r="V32" i="43"/>
  <c r="T32" i="43"/>
  <c r="V221" i="43"/>
  <c r="AB221" i="43" s="1"/>
  <c r="AC221" i="43" s="1"/>
  <c r="T221" i="43"/>
  <c r="AL159" i="43"/>
  <c r="AL111" i="43"/>
  <c r="Q165" i="42"/>
  <c r="R165" i="42" s="1"/>
  <c r="AC23" i="26"/>
  <c r="AD25" i="26"/>
  <c r="AD43" i="26"/>
  <c r="C25" i="26"/>
  <c r="O107" i="42"/>
  <c r="P107" i="42" s="1"/>
  <c r="O343" i="39"/>
  <c r="P343" i="39" s="1"/>
  <c r="Q343" i="39" s="1"/>
  <c r="R343" i="39" s="1"/>
  <c r="P200" i="39"/>
  <c r="P229" i="39"/>
  <c r="R229" i="39" s="1"/>
  <c r="P226" i="39"/>
  <c r="R226" i="39" s="1"/>
  <c r="P275" i="39"/>
  <c r="R275" i="39" s="1"/>
  <c r="O369" i="39"/>
  <c r="P369" i="39" s="1"/>
  <c r="Q369" i="39" s="1"/>
  <c r="R369" i="39" s="1"/>
  <c r="P225" i="39"/>
  <c r="R225" i="39" s="1"/>
  <c r="O357" i="39"/>
  <c r="P357" i="39" s="1"/>
  <c r="O358" i="39"/>
  <c r="P358" i="39" s="1"/>
  <c r="P248" i="39"/>
  <c r="R248" i="39" s="1"/>
  <c r="P233" i="39"/>
  <c r="R233" i="39" s="1"/>
  <c r="P274" i="39"/>
  <c r="P205" i="39"/>
  <c r="R205" i="39" s="1"/>
  <c r="P222" i="39"/>
  <c r="R222" i="39" s="1"/>
  <c r="O373" i="39"/>
  <c r="P373" i="39" s="1"/>
  <c r="O342" i="39"/>
  <c r="P342" i="39" s="1"/>
  <c r="Q342" i="39" s="1"/>
  <c r="R342" i="39" s="1"/>
  <c r="P220" i="39"/>
  <c r="P245" i="39"/>
  <c r="R245" i="39" s="1"/>
  <c r="P211" i="39"/>
  <c r="R211" i="39" s="1"/>
  <c r="O377" i="39"/>
  <c r="P377" i="39" s="1"/>
  <c r="Q377" i="39" s="1"/>
  <c r="R377" i="39" s="1"/>
  <c r="P209" i="39"/>
  <c r="R209" i="39" s="1"/>
  <c r="P203" i="39"/>
  <c r="O525" i="39"/>
  <c r="P525" i="39" s="1"/>
  <c r="Q525" i="39" s="1"/>
  <c r="R525" i="39" s="1"/>
  <c r="P241" i="39"/>
  <c r="R241" i="39" s="1"/>
  <c r="O352" i="39"/>
  <c r="P352" i="39" s="1"/>
  <c r="Q352" i="39" s="1"/>
  <c r="R352" i="39" s="1"/>
  <c r="P251" i="39"/>
  <c r="R251" i="39" s="1"/>
  <c r="P262" i="39"/>
  <c r="O356" i="39"/>
  <c r="P356" i="39" s="1"/>
  <c r="Q356" i="39" s="1"/>
  <c r="R356" i="39" s="1"/>
  <c r="P215" i="39"/>
  <c r="R215" i="39" s="1"/>
  <c r="P254" i="39"/>
  <c r="R254" i="39" s="1"/>
  <c r="O355" i="39"/>
  <c r="P355" i="39" s="1"/>
  <c r="O338" i="39"/>
  <c r="P338" i="39" s="1"/>
  <c r="Q338" i="39" s="1"/>
  <c r="R338" i="39" s="1"/>
  <c r="P199" i="39"/>
  <c r="R199" i="39" s="1"/>
  <c r="O383" i="39"/>
  <c r="P383" i="39" s="1"/>
  <c r="Q383" i="39" s="1"/>
  <c r="R383" i="39" s="1"/>
  <c r="P213" i="39"/>
  <c r="R213" i="39" s="1"/>
  <c r="O378" i="39"/>
  <c r="P378" i="39" s="1"/>
  <c r="Q378" i="39" s="1"/>
  <c r="R378" i="39" s="1"/>
  <c r="O366" i="39"/>
  <c r="P366" i="39" s="1"/>
  <c r="Q366" i="39" s="1"/>
  <c r="R366" i="39" s="1"/>
  <c r="P260" i="39"/>
  <c r="P252" i="39"/>
  <c r="R252" i="39" s="1"/>
  <c r="P216" i="39"/>
  <c r="R216" i="39" s="1"/>
  <c r="O385" i="39"/>
  <c r="P385" i="39" s="1"/>
  <c r="O376" i="39"/>
  <c r="P376" i="39" s="1"/>
  <c r="Q376" i="39" s="1"/>
  <c r="R376" i="39" s="1"/>
  <c r="O344" i="39"/>
  <c r="P344" i="39" s="1"/>
  <c r="Q344" i="39" s="1"/>
  <c r="R344" i="39" s="1"/>
  <c r="P255" i="39"/>
  <c r="R255" i="39" s="1"/>
  <c r="P246" i="39"/>
  <c r="R246" i="39" s="1"/>
  <c r="P249" i="39"/>
  <c r="R249" i="39" s="1"/>
  <c r="P217" i="39"/>
  <c r="R217" i="39" s="1"/>
  <c r="P256" i="39"/>
  <c r="M191" i="39"/>
  <c r="M513" i="39" s="1"/>
  <c r="O387" i="39"/>
  <c r="P387" i="39" s="1"/>
  <c r="Q387" i="39" s="1"/>
  <c r="R387" i="39" s="1"/>
  <c r="O524" i="39"/>
  <c r="O386" i="39"/>
  <c r="P386" i="39" s="1"/>
  <c r="Q386" i="39" s="1"/>
  <c r="R386" i="39" s="1"/>
  <c r="L191" i="39"/>
  <c r="L513" i="39" s="1"/>
  <c r="O388" i="39"/>
  <c r="P388" i="39" s="1"/>
  <c r="Q388" i="39" s="1"/>
  <c r="R388" i="39" s="1"/>
  <c r="O379" i="39"/>
  <c r="P379" i="39" s="1"/>
  <c r="Q379" i="39" s="1"/>
  <c r="R379" i="39" s="1"/>
  <c r="P250" i="39"/>
  <c r="R250" i="39" s="1"/>
  <c r="P221" i="39"/>
  <c r="R221" i="39" s="1"/>
  <c r="O361" i="39"/>
  <c r="P361" i="39" s="1"/>
  <c r="Q361" i="39" s="1"/>
  <c r="R361" i="39" s="1"/>
  <c r="P242" i="39"/>
  <c r="R242" i="39" s="1"/>
  <c r="O368" i="39"/>
  <c r="P368" i="39" s="1"/>
  <c r="Q368" i="39" s="1"/>
  <c r="R368" i="39" s="1"/>
  <c r="P271" i="39"/>
  <c r="P268" i="39"/>
  <c r="R268" i="39" s="1"/>
  <c r="P237" i="39"/>
  <c r="R237" i="39" s="1"/>
  <c r="O349" i="39"/>
  <c r="P349" i="39" s="1"/>
  <c r="Q349" i="39" s="1"/>
  <c r="R349" i="39" s="1"/>
  <c r="P195" i="39"/>
  <c r="R195" i="39" s="1"/>
  <c r="P201" i="39"/>
  <c r="R201" i="39" s="1"/>
  <c r="P196" i="39"/>
  <c r="R196" i="39" s="1"/>
  <c r="O337" i="39"/>
  <c r="O534" i="39"/>
  <c r="P534" i="39" s="1"/>
  <c r="Q534" i="39" s="1"/>
  <c r="R534" i="39" s="1"/>
  <c r="P214" i="39"/>
  <c r="R214" i="39" s="1"/>
  <c r="O522" i="39"/>
  <c r="P522" i="39" s="1"/>
  <c r="Q522" i="39" s="1"/>
  <c r="R522" i="39" s="1"/>
  <c r="P266" i="39"/>
  <c r="R266" i="39" s="1"/>
  <c r="P247" i="39"/>
  <c r="R247" i="39" s="1"/>
  <c r="O351" i="39"/>
  <c r="P351" i="39" s="1"/>
  <c r="O340" i="39"/>
  <c r="P340" i="39" s="1"/>
  <c r="Q340" i="39" s="1"/>
  <c r="R340" i="39" s="1"/>
  <c r="P273" i="39"/>
  <c r="R273" i="39" s="1"/>
  <c r="P267" i="39"/>
  <c r="R267" i="39" s="1"/>
  <c r="P238" i="39"/>
  <c r="R238" i="39" s="1"/>
  <c r="O374" i="39"/>
  <c r="P374" i="39" s="1"/>
  <c r="P264" i="39"/>
  <c r="R264" i="39" s="1"/>
  <c r="P231" i="39"/>
  <c r="R231" i="39" s="1"/>
  <c r="O365" i="39"/>
  <c r="P365" i="39" s="1"/>
  <c r="Q365" i="39" s="1"/>
  <c r="R365" i="39" s="1"/>
  <c r="P197" i="39"/>
  <c r="R197" i="39" s="1"/>
  <c r="P208" i="39"/>
  <c r="O380" i="39"/>
  <c r="P380" i="39" s="1"/>
  <c r="Q380" i="39" s="1"/>
  <c r="R380" i="39" s="1"/>
  <c r="O367" i="39"/>
  <c r="P367" i="39" s="1"/>
  <c r="Q367" i="39" s="1"/>
  <c r="R367" i="39" s="1"/>
  <c r="P240" i="39"/>
  <c r="O346" i="39"/>
  <c r="P346" i="39" s="1"/>
  <c r="Q346" i="39" s="1"/>
  <c r="R346" i="39" s="1"/>
  <c r="P210" i="39"/>
  <c r="O523" i="39"/>
  <c r="P523" i="39" s="1"/>
  <c r="Q523" i="39" s="1"/>
  <c r="R523" i="39" s="1"/>
  <c r="P276" i="39"/>
  <c r="R276" i="39" s="1"/>
  <c r="O531" i="39"/>
  <c r="P531" i="39" s="1"/>
  <c r="Q531" i="39" s="1"/>
  <c r="R531" i="39" s="1"/>
  <c r="O371" i="39"/>
  <c r="P371" i="39" s="1"/>
  <c r="O370" i="39"/>
  <c r="P370" i="39" s="1"/>
  <c r="Q370" i="39" s="1"/>
  <c r="R370" i="39" s="1"/>
  <c r="P265" i="39"/>
  <c r="R265" i="39" s="1"/>
  <c r="P232" i="39"/>
  <c r="R232" i="39" s="1"/>
  <c r="O348" i="39"/>
  <c r="P348" i="39" s="1"/>
  <c r="Q348" i="39" s="1"/>
  <c r="R348" i="39" s="1"/>
  <c r="P261" i="39"/>
  <c r="R261" i="39" s="1"/>
  <c r="P227" i="39"/>
  <c r="R227" i="39" s="1"/>
  <c r="O339" i="39"/>
  <c r="P339" i="39" s="1"/>
  <c r="P204" i="39"/>
  <c r="R204" i="39" s="1"/>
  <c r="P207" i="39"/>
  <c r="R207" i="39" s="1"/>
  <c r="O363" i="39"/>
  <c r="P363" i="39" s="1"/>
  <c r="Q363" i="39" s="1"/>
  <c r="R363" i="39" s="1"/>
  <c r="P272" i="39"/>
  <c r="P236" i="39"/>
  <c r="R236" i="39" s="1"/>
  <c r="P202" i="39"/>
  <c r="O382" i="39"/>
  <c r="P382" i="39" s="1"/>
  <c r="Q382" i="39" s="1"/>
  <c r="R382" i="39" s="1"/>
  <c r="P239" i="39"/>
  <c r="R239" i="39" s="1"/>
  <c r="O347" i="39"/>
  <c r="P347" i="39" s="1"/>
  <c r="O354" i="39"/>
  <c r="P354" i="39" s="1"/>
  <c r="Q354" i="39" s="1"/>
  <c r="R354" i="39" s="1"/>
  <c r="P263" i="39"/>
  <c r="R263" i="39" s="1"/>
  <c r="P228" i="39"/>
  <c r="O353" i="39"/>
  <c r="P353" i="39" s="1"/>
  <c r="Q353" i="39" s="1"/>
  <c r="R353" i="39" s="1"/>
  <c r="P257" i="39"/>
  <c r="R257" i="39" s="1"/>
  <c r="P223" i="39"/>
  <c r="R223" i="39" s="1"/>
  <c r="O350" i="39"/>
  <c r="P350" i="39" s="1"/>
  <c r="Q350" i="39" s="1"/>
  <c r="R350" i="39" s="1"/>
  <c r="P218" i="39"/>
  <c r="R218" i="39" s="1"/>
  <c r="P219" i="39"/>
  <c r="R219" i="39" s="1"/>
  <c r="O360" i="39"/>
  <c r="P360" i="39" s="1"/>
  <c r="P269" i="39"/>
  <c r="P234" i="39"/>
  <c r="R234" i="39" s="1"/>
  <c r="O381" i="39"/>
  <c r="P381" i="39" s="1"/>
  <c r="O359" i="39"/>
  <c r="P359" i="39" s="1"/>
  <c r="Q359" i="39" s="1"/>
  <c r="R359" i="39" s="1"/>
  <c r="O521" i="39"/>
  <c r="P521" i="39" s="1"/>
  <c r="Q521" i="39" s="1"/>
  <c r="R521" i="39" s="1"/>
  <c r="P270" i="39"/>
  <c r="R270" i="39" s="1"/>
  <c r="P235" i="39"/>
  <c r="R235" i="39" s="1"/>
  <c r="O364" i="39"/>
  <c r="P364" i="39" s="1"/>
  <c r="O341" i="39"/>
  <c r="P341" i="39" s="1"/>
  <c r="Q341" i="39" s="1"/>
  <c r="R341" i="39" s="1"/>
  <c r="P259" i="39"/>
  <c r="R259" i="39" s="1"/>
  <c r="P224" i="39"/>
  <c r="R224" i="39" s="1"/>
  <c r="O362" i="39"/>
  <c r="P362" i="39" s="1"/>
  <c r="Q362" i="39" s="1"/>
  <c r="R362" i="39" s="1"/>
  <c r="P253" i="39"/>
  <c r="R253" i="39" s="1"/>
  <c r="O375" i="39"/>
  <c r="P375" i="39" s="1"/>
  <c r="Q375" i="39" s="1"/>
  <c r="R375" i="39" s="1"/>
  <c r="O345" i="39"/>
  <c r="P345" i="39" s="1"/>
  <c r="Q345" i="39" s="1"/>
  <c r="R345" i="39" s="1"/>
  <c r="P206" i="39"/>
  <c r="P212" i="39"/>
  <c r="R212" i="39" s="1"/>
  <c r="O372" i="39"/>
  <c r="P372" i="39" s="1"/>
  <c r="Q372" i="39" s="1"/>
  <c r="R372" i="39" s="1"/>
  <c r="O535" i="39"/>
  <c r="P535" i="39" s="1"/>
  <c r="Q535" i="39" s="1"/>
  <c r="R535" i="39" s="1"/>
  <c r="P230" i="39"/>
  <c r="R230" i="39" s="1"/>
  <c r="P198" i="39"/>
  <c r="R198" i="39" s="1"/>
  <c r="O384" i="39"/>
  <c r="P384" i="39" s="1"/>
  <c r="Q384" i="39" s="1"/>
  <c r="R384" i="39" s="1"/>
  <c r="Q159" i="42"/>
  <c r="E49" i="26" s="1"/>
  <c r="AF49" i="26" s="1"/>
  <c r="S188" i="17"/>
  <c r="M108" i="42"/>
  <c r="N108" i="42" s="1"/>
  <c r="O108" i="42" s="1"/>
  <c r="P56" i="42"/>
  <c r="S97" i="17"/>
  <c r="AJ55" i="44"/>
  <c r="N296" i="17"/>
  <c r="O296" i="17" s="1"/>
  <c r="L98" i="17"/>
  <c r="M98" i="17" s="1"/>
  <c r="N98" i="17" s="1"/>
  <c r="O98" i="17" s="1"/>
  <c r="M211" i="17"/>
  <c r="N211" i="17" s="1"/>
  <c r="O211" i="17" s="1"/>
  <c r="P211" i="17" s="1"/>
  <c r="AE98" i="44"/>
  <c r="X98" i="44" s="1"/>
  <c r="Y98" i="44" s="1"/>
  <c r="AA98" i="44" s="1"/>
  <c r="L92" i="17"/>
  <c r="M92" i="17" s="1"/>
  <c r="N92" i="17" s="1"/>
  <c r="O92" i="17" s="1"/>
  <c r="M30" i="17"/>
  <c r="S77" i="17"/>
  <c r="N165" i="17"/>
  <c r="O165" i="17" s="1"/>
  <c r="P165" i="17" s="1"/>
  <c r="S122" i="17"/>
  <c r="Q232" i="17"/>
  <c r="R232" i="17" s="1"/>
  <c r="S232" i="17" s="1"/>
  <c r="S121" i="17"/>
  <c r="AE114" i="44"/>
  <c r="X114" i="44" s="1"/>
  <c r="Y114" i="44" s="1"/>
  <c r="AA114" i="44" s="1"/>
  <c r="AE102" i="44"/>
  <c r="X102" i="44" s="1"/>
  <c r="Y102" i="44" s="1"/>
  <c r="AA102" i="44" s="1"/>
  <c r="AE127" i="44"/>
  <c r="R127" i="44" s="1"/>
  <c r="T127" i="44" s="1"/>
  <c r="AE143" i="44"/>
  <c r="X143" i="44" s="1"/>
  <c r="Y143" i="44" s="1"/>
  <c r="AA143" i="44" s="1"/>
  <c r="Q245" i="17"/>
  <c r="R245" i="17" s="1"/>
  <c r="S245" i="17" s="1"/>
  <c r="AE206" i="44"/>
  <c r="X206" i="44" s="1"/>
  <c r="Y206" i="44" s="1"/>
  <c r="AA206" i="44" s="1"/>
  <c r="AE180" i="44"/>
  <c r="X180" i="44" s="1"/>
  <c r="Y180" i="44" s="1"/>
  <c r="AA180" i="44" s="1"/>
  <c r="AE83" i="44"/>
  <c r="R83" i="44" s="1"/>
  <c r="V83" i="44" s="1"/>
  <c r="AE13" i="44"/>
  <c r="R13" i="44" s="1"/>
  <c r="T13" i="44" s="1"/>
  <c r="M164" i="17"/>
  <c r="N164" i="17" s="1"/>
  <c r="O164" i="17" s="1"/>
  <c r="AE188" i="44"/>
  <c r="R188" i="44" s="1"/>
  <c r="V188" i="44" s="1"/>
  <c r="AE147" i="44"/>
  <c r="X147" i="44" s="1"/>
  <c r="Y147" i="44" s="1"/>
  <c r="AA147" i="44" s="1"/>
  <c r="AE126" i="44"/>
  <c r="X126" i="44" s="1"/>
  <c r="Y126" i="44" s="1"/>
  <c r="AE31" i="44"/>
  <c r="R31" i="44" s="1"/>
  <c r="T31" i="44" s="1"/>
  <c r="L217" i="17"/>
  <c r="M217" i="17" s="1"/>
  <c r="N217" i="17" s="1"/>
  <c r="O217" i="17" s="1"/>
  <c r="AE113" i="44"/>
  <c r="X113" i="44" s="1"/>
  <c r="Y113" i="44" s="1"/>
  <c r="AA113" i="44" s="1"/>
  <c r="AE150" i="44"/>
  <c r="R150" i="44" s="1"/>
  <c r="V150" i="44" s="1"/>
  <c r="AE61" i="44"/>
  <c r="R61" i="44" s="1"/>
  <c r="V61" i="44" s="1"/>
  <c r="AL61" i="44" s="1"/>
  <c r="AE115" i="44"/>
  <c r="R115" i="44" s="1"/>
  <c r="T115" i="44" s="1"/>
  <c r="X115" i="44" s="1"/>
  <c r="Y115" i="44" s="1"/>
  <c r="AA115" i="44" s="1"/>
  <c r="AE18" i="44"/>
  <c r="X18" i="44" s="1"/>
  <c r="Y18" i="44" s="1"/>
  <c r="AA18" i="44" s="1"/>
  <c r="AE79" i="44"/>
  <c r="X79" i="44" s="1"/>
  <c r="Y79" i="44" s="1"/>
  <c r="AA79" i="44" s="1"/>
  <c r="AE125" i="44"/>
  <c r="X125" i="44" s="1"/>
  <c r="Y125" i="44" s="1"/>
  <c r="AA125" i="44" s="1"/>
  <c r="AE93" i="44"/>
  <c r="X93" i="44" s="1"/>
  <c r="Y93" i="44" s="1"/>
  <c r="AA93" i="44" s="1"/>
  <c r="AE65" i="44"/>
  <c r="X65" i="44" s="1"/>
  <c r="Y65" i="44" s="1"/>
  <c r="AA65" i="44" s="1"/>
  <c r="M223" i="17"/>
  <c r="N223" i="17" s="1"/>
  <c r="AE36" i="44"/>
  <c r="X36" i="44" s="1"/>
  <c r="Y36" i="44" s="1"/>
  <c r="AA36" i="44" s="1"/>
  <c r="AE55" i="44"/>
  <c r="R55" i="44" s="1"/>
  <c r="T55" i="44" s="1"/>
  <c r="AE70" i="44"/>
  <c r="R70" i="44" s="1"/>
  <c r="V70" i="44" s="1"/>
  <c r="AL70" i="44" s="1"/>
  <c r="AE89" i="44"/>
  <c r="X89" i="44" s="1"/>
  <c r="Y89" i="44" s="1"/>
  <c r="AA89" i="44" s="1"/>
  <c r="AE129" i="44"/>
  <c r="X129" i="44" s="1"/>
  <c r="Y129" i="44" s="1"/>
  <c r="AA129" i="44" s="1"/>
  <c r="AE97" i="44"/>
  <c r="X97" i="44" s="1"/>
  <c r="Y97" i="44" s="1"/>
  <c r="AA97" i="44" s="1"/>
  <c r="AE207" i="44"/>
  <c r="R207" i="44" s="1"/>
  <c r="T207" i="44" s="1"/>
  <c r="AE210" i="44"/>
  <c r="R210" i="44" s="1"/>
  <c r="V210" i="44" s="1"/>
  <c r="AE12" i="44"/>
  <c r="X12" i="44" s="1"/>
  <c r="Y12" i="44" s="1"/>
  <c r="AA12" i="44" s="1"/>
  <c r="AE140" i="44"/>
  <c r="R140" i="44" s="1"/>
  <c r="T140" i="44" s="1"/>
  <c r="AE185" i="44"/>
  <c r="R185" i="44" s="1"/>
  <c r="V185" i="44" s="1"/>
  <c r="AE152" i="44"/>
  <c r="X152" i="44" s="1"/>
  <c r="Y152" i="44" s="1"/>
  <c r="AA152" i="44" s="1"/>
  <c r="AE133" i="44"/>
  <c r="R133" i="44" s="1"/>
  <c r="T133" i="44" s="1"/>
  <c r="AE28" i="44"/>
  <c r="X28" i="44" s="1"/>
  <c r="Y28" i="44" s="1"/>
  <c r="AA28" i="44" s="1"/>
  <c r="AE196" i="44"/>
  <c r="R196" i="44" s="1"/>
  <c r="V196" i="44" s="1"/>
  <c r="AE99" i="44"/>
  <c r="X99" i="44" s="1"/>
  <c r="Y99" i="44" s="1"/>
  <c r="AA99" i="44" s="1"/>
  <c r="AE137" i="44"/>
  <c r="X137" i="44" s="1"/>
  <c r="Y137" i="44" s="1"/>
  <c r="AA137" i="44" s="1"/>
  <c r="AE141" i="44"/>
  <c r="X141" i="44" s="1"/>
  <c r="Y141" i="44" s="1"/>
  <c r="AA141" i="44" s="1"/>
  <c r="AE33" i="44"/>
  <c r="X33" i="44" s="1"/>
  <c r="Y33" i="44" s="1"/>
  <c r="AA33" i="44" s="1"/>
  <c r="AE117" i="44"/>
  <c r="R117" i="44" s="1"/>
  <c r="T117" i="44" s="1"/>
  <c r="AE144" i="44"/>
  <c r="R144" i="44" s="1"/>
  <c r="T144" i="44" s="1"/>
  <c r="AE35" i="44"/>
  <c r="X35" i="44" s="1"/>
  <c r="Y35" i="44" s="1"/>
  <c r="AA35" i="44" s="1"/>
  <c r="AE131" i="44"/>
  <c r="R131" i="44" s="1"/>
  <c r="V131" i="44" s="1"/>
  <c r="AE41" i="44"/>
  <c r="X41" i="44" s="1"/>
  <c r="Y41" i="44" s="1"/>
  <c r="AA41" i="44" s="1"/>
  <c r="AE209" i="44"/>
  <c r="R209" i="44" s="1"/>
  <c r="AE187" i="44"/>
  <c r="X187" i="44" s="1"/>
  <c r="Y187" i="44" s="1"/>
  <c r="AA187" i="44" s="1"/>
  <c r="AE100" i="44"/>
  <c r="X100" i="44" s="1"/>
  <c r="Y100" i="44" s="1"/>
  <c r="AA100" i="44" s="1"/>
  <c r="AE105" i="44"/>
  <c r="X105" i="44" s="1"/>
  <c r="Y105" i="44" s="1"/>
  <c r="AA105" i="44" s="1"/>
  <c r="AE139" i="44"/>
  <c r="R139" i="44" s="1"/>
  <c r="AE73" i="44"/>
  <c r="R73" i="44" s="1"/>
  <c r="T73" i="44" s="1"/>
  <c r="AE77" i="44"/>
  <c r="R77" i="44" s="1"/>
  <c r="V77" i="44" s="1"/>
  <c r="AE34" i="44"/>
  <c r="X34" i="44" s="1"/>
  <c r="Y34" i="44" s="1"/>
  <c r="AA34" i="44" s="1"/>
  <c r="AE66" i="44"/>
  <c r="R66" i="44" s="1"/>
  <c r="T66" i="44" s="1"/>
  <c r="AE38" i="44"/>
  <c r="R38" i="44" s="1"/>
  <c r="V38" i="44" s="1"/>
  <c r="AE128" i="44"/>
  <c r="R128" i="44" s="1"/>
  <c r="V128" i="44" s="1"/>
  <c r="AE80" i="44"/>
  <c r="X80" i="44" s="1"/>
  <c r="Y80" i="44" s="1"/>
  <c r="AA80" i="44" s="1"/>
  <c r="AE81" i="44"/>
  <c r="X81" i="44" s="1"/>
  <c r="Y81" i="44" s="1"/>
  <c r="AA81" i="44" s="1"/>
  <c r="AE84" i="44"/>
  <c r="R84" i="44" s="1"/>
  <c r="T84" i="44" s="1"/>
  <c r="AE29" i="44"/>
  <c r="X29" i="44" s="1"/>
  <c r="Y29" i="44" s="1"/>
  <c r="AA29" i="44" s="1"/>
  <c r="AE68" i="44"/>
  <c r="X68" i="44" s="1"/>
  <c r="Y68" i="44" s="1"/>
  <c r="AA68" i="44" s="1"/>
  <c r="AE82" i="44"/>
  <c r="R82" i="44" s="1"/>
  <c r="T82" i="44" s="1"/>
  <c r="AE197" i="44"/>
  <c r="X197" i="44" s="1"/>
  <c r="Y197" i="44" s="1"/>
  <c r="AA197" i="44" s="1"/>
  <c r="AE195" i="44"/>
  <c r="R195" i="44" s="1"/>
  <c r="T195" i="44" s="1"/>
  <c r="AE124" i="44"/>
  <c r="X124" i="44" s="1"/>
  <c r="Y124" i="44" s="1"/>
  <c r="AA124" i="44" s="1"/>
  <c r="AE101" i="44"/>
  <c r="X101" i="44" s="1"/>
  <c r="Y101" i="44" s="1"/>
  <c r="AA101" i="44" s="1"/>
  <c r="AE116" i="44"/>
  <c r="R116" i="44" s="1"/>
  <c r="V116" i="44" s="1"/>
  <c r="AL116" i="44" s="1"/>
  <c r="AE20" i="44"/>
  <c r="X20" i="44" s="1"/>
  <c r="Y20" i="44" s="1"/>
  <c r="AA20" i="44" s="1"/>
  <c r="AE203" i="44"/>
  <c r="R203" i="44" s="1"/>
  <c r="T203" i="44" s="1"/>
  <c r="AE46" i="44"/>
  <c r="X46" i="44" s="1"/>
  <c r="Y46" i="44" s="1"/>
  <c r="AA46" i="44" s="1"/>
  <c r="AE202" i="44"/>
  <c r="X202" i="44" s="1"/>
  <c r="Y202" i="44" s="1"/>
  <c r="AA202" i="44" s="1"/>
  <c r="AE181" i="44"/>
  <c r="R181" i="44" s="1"/>
  <c r="V181" i="44" s="1"/>
  <c r="AE194" i="44"/>
  <c r="X194" i="44" s="1"/>
  <c r="Y194" i="44" s="1"/>
  <c r="AA194" i="44" s="1"/>
  <c r="AE112" i="44"/>
  <c r="R112" i="44" s="1"/>
  <c r="V112" i="44" s="1"/>
  <c r="AE15" i="44"/>
  <c r="R15" i="44" s="1"/>
  <c r="AE44" i="44"/>
  <c r="X44" i="44" s="1"/>
  <c r="Y44" i="44" s="1"/>
  <c r="AE63" i="44"/>
  <c r="X63" i="44" s="1"/>
  <c r="Y63" i="44" s="1"/>
  <c r="AA63" i="44" s="1"/>
  <c r="AE200" i="44"/>
  <c r="X200" i="44" s="1"/>
  <c r="Y200" i="44" s="1"/>
  <c r="AA200" i="44" s="1"/>
  <c r="AE86" i="44"/>
  <c r="X86" i="44" s="1"/>
  <c r="Y86" i="44" s="1"/>
  <c r="AA86" i="44" s="1"/>
  <c r="AE135" i="44"/>
  <c r="R135" i="44" s="1"/>
  <c r="V135" i="44" s="1"/>
  <c r="AL135" i="44" s="1"/>
  <c r="AE37" i="44"/>
  <c r="X37" i="44" s="1"/>
  <c r="Y37" i="44" s="1"/>
  <c r="AA37" i="44" s="1"/>
  <c r="AE179" i="44"/>
  <c r="X179" i="44" s="1"/>
  <c r="Y179" i="44" s="1"/>
  <c r="AA179" i="44" s="1"/>
  <c r="AE153" i="44"/>
  <c r="X153" i="44" s="1"/>
  <c r="Y153" i="44" s="1"/>
  <c r="AA153" i="44" s="1"/>
  <c r="AE103" i="44"/>
  <c r="X103" i="44" s="1"/>
  <c r="Y103" i="44" s="1"/>
  <c r="AA103" i="44" s="1"/>
  <c r="AE30" i="44"/>
  <c r="X30" i="44" s="1"/>
  <c r="Y30" i="44" s="1"/>
  <c r="AA30" i="44" s="1"/>
  <c r="AE95" i="44"/>
  <c r="X95" i="44" s="1"/>
  <c r="Y95" i="44" s="1"/>
  <c r="AA95" i="44" s="1"/>
  <c r="AE136" i="44"/>
  <c r="R136" i="44" s="1"/>
  <c r="V136" i="44" s="1"/>
  <c r="AE39" i="44"/>
  <c r="X39" i="44" s="1"/>
  <c r="Y39" i="44" s="1"/>
  <c r="AA39" i="44" s="1"/>
  <c r="AE59" i="44"/>
  <c r="R59" i="44" s="1"/>
  <c r="AE88" i="44"/>
  <c r="R88" i="44" s="1"/>
  <c r="T88" i="44" s="1"/>
  <c r="Q209" i="17"/>
  <c r="R209" i="17" s="1"/>
  <c r="S209" i="17" s="1"/>
  <c r="S91" i="17"/>
  <c r="Q304" i="17"/>
  <c r="R304" i="17" s="1"/>
  <c r="S304" i="17" s="1"/>
  <c r="Q289" i="17"/>
  <c r="R289" i="17" s="1"/>
  <c r="S289" i="17" s="1"/>
  <c r="Q15" i="42"/>
  <c r="E45" i="26" s="1"/>
  <c r="AF45" i="26" s="1"/>
  <c r="N288" i="17"/>
  <c r="O288" i="17" s="1"/>
  <c r="P288" i="17" s="1"/>
  <c r="Q288" i="17" s="1"/>
  <c r="R288" i="17" s="1"/>
  <c r="S288" i="17" s="1"/>
  <c r="AJ33" i="44"/>
  <c r="AP33" i="44" s="1"/>
  <c r="S44" i="17"/>
  <c r="N18" i="17"/>
  <c r="O18" i="17" s="1"/>
  <c r="S50" i="17"/>
  <c r="AE19" i="44"/>
  <c r="R19" i="44" s="1"/>
  <c r="AE16" i="44"/>
  <c r="X16" i="44" s="1"/>
  <c r="Y16" i="44" s="1"/>
  <c r="AA16" i="44" s="1"/>
  <c r="AE148" i="44"/>
  <c r="R148" i="44" s="1"/>
  <c r="V148" i="44" s="1"/>
  <c r="AE149" i="44"/>
  <c r="R149" i="44" s="1"/>
  <c r="V149" i="44" s="1"/>
  <c r="AE104" i="44"/>
  <c r="X104" i="44" s="1"/>
  <c r="Y104" i="44" s="1"/>
  <c r="AA104" i="44" s="1"/>
  <c r="AE40" i="44"/>
  <c r="R40" i="44" s="1"/>
  <c r="T40" i="44" s="1"/>
  <c r="AE64" i="44"/>
  <c r="R64" i="44" s="1"/>
  <c r="V64" i="44" s="1"/>
  <c r="AE183" i="44"/>
  <c r="X183" i="44" s="1"/>
  <c r="Y183" i="44" s="1"/>
  <c r="AA183" i="44" s="1"/>
  <c r="AE205" i="44"/>
  <c r="R205" i="44" s="1"/>
  <c r="T205" i="44" s="1"/>
  <c r="AE85" i="44"/>
  <c r="X85" i="44" s="1"/>
  <c r="Y85" i="44" s="1"/>
  <c r="AA85" i="44" s="1"/>
  <c r="AE74" i="44"/>
  <c r="X74" i="44" s="1"/>
  <c r="Y74" i="44" s="1"/>
  <c r="AA74" i="44" s="1"/>
  <c r="AE132" i="44"/>
  <c r="R132" i="44" s="1"/>
  <c r="V132" i="44" s="1"/>
  <c r="AE96" i="44"/>
  <c r="X96" i="44" s="1"/>
  <c r="Y96" i="44" s="1"/>
  <c r="AA96" i="44" s="1"/>
  <c r="AE71" i="44"/>
  <c r="R71" i="44" s="1"/>
  <c r="T71" i="44" s="1"/>
  <c r="AE60" i="44"/>
  <c r="X60" i="44" s="1"/>
  <c r="Y60" i="44" s="1"/>
  <c r="AA60" i="44" s="1"/>
  <c r="AE151" i="44"/>
  <c r="X151" i="44" s="1"/>
  <c r="Y151" i="44" s="1"/>
  <c r="AA151" i="44" s="1"/>
  <c r="AE43" i="44"/>
  <c r="X43" i="44" s="1"/>
  <c r="Y43" i="44" s="1"/>
  <c r="AA43" i="44" s="1"/>
  <c r="AE134" i="44"/>
  <c r="R134" i="44" s="1"/>
  <c r="T134" i="44" s="1"/>
  <c r="R91" i="44"/>
  <c r="V91" i="44" s="1"/>
  <c r="AB91" i="44" s="1"/>
  <c r="AE62" i="44"/>
  <c r="X62" i="44" s="1"/>
  <c r="Y62" i="44" s="1"/>
  <c r="AA62" i="44" s="1"/>
  <c r="AE208" i="44"/>
  <c r="X208" i="44" s="1"/>
  <c r="Y208" i="44" s="1"/>
  <c r="AA208" i="44" s="1"/>
  <c r="AE78" i="44"/>
  <c r="R78" i="44" s="1"/>
  <c r="T78" i="44" s="1"/>
  <c r="AE192" i="44"/>
  <c r="R192" i="44" s="1"/>
  <c r="V192" i="44" s="1"/>
  <c r="AE56" i="44"/>
  <c r="X56" i="44" s="1"/>
  <c r="Y56" i="44" s="1"/>
  <c r="AA56" i="44" s="1"/>
  <c r="AE27" i="44"/>
  <c r="R27" i="44" s="1"/>
  <c r="V27" i="44" s="1"/>
  <c r="AE87" i="44"/>
  <c r="R87" i="44" s="1"/>
  <c r="T87" i="44" s="1"/>
  <c r="AE199" i="44"/>
  <c r="R199" i="44" s="1"/>
  <c r="T199" i="44" s="1"/>
  <c r="AE57" i="44"/>
  <c r="X57" i="44" s="1"/>
  <c r="Y57" i="44" s="1"/>
  <c r="AA57" i="44" s="1"/>
  <c r="AE72" i="44"/>
  <c r="R72" i="44" s="1"/>
  <c r="T72" i="44" s="1"/>
  <c r="AE198" i="44"/>
  <c r="X198" i="44" s="1"/>
  <c r="Y198" i="44" s="1"/>
  <c r="AA198" i="44" s="1"/>
  <c r="AE201" i="44"/>
  <c r="X201" i="44" s="1"/>
  <c r="Y201" i="44" s="1"/>
  <c r="AA201" i="44" s="1"/>
  <c r="AE182" i="44"/>
  <c r="X182" i="44" s="1"/>
  <c r="Y182" i="44" s="1"/>
  <c r="AA182" i="44" s="1"/>
  <c r="AE142" i="44"/>
  <c r="X142" i="44" s="1"/>
  <c r="Y142" i="44" s="1"/>
  <c r="AA142" i="44" s="1"/>
  <c r="AE186" i="44"/>
  <c r="R186" i="44" s="1"/>
  <c r="V186" i="44" s="1"/>
  <c r="AE145" i="44"/>
  <c r="R145" i="44" s="1"/>
  <c r="V145" i="44" s="1"/>
  <c r="AL145" i="44" s="1"/>
  <c r="AE69" i="44"/>
  <c r="X69" i="44" s="1"/>
  <c r="Y69" i="44" s="1"/>
  <c r="AA69" i="44" s="1"/>
  <c r="AE204" i="44"/>
  <c r="X204" i="44" s="1"/>
  <c r="Y204" i="44" s="1"/>
  <c r="AA204" i="44" s="1"/>
  <c r="AE190" i="44"/>
  <c r="R190" i="44" s="1"/>
  <c r="T190" i="44" s="1"/>
  <c r="R130" i="44"/>
  <c r="V130" i="44" s="1"/>
  <c r="AE184" i="44"/>
  <c r="R184" i="44" s="1"/>
  <c r="V184" i="44" s="1"/>
  <c r="AE14" i="44"/>
  <c r="R14" i="44" s="1"/>
  <c r="T14" i="44" s="1"/>
  <c r="AE53" i="44"/>
  <c r="X53" i="44" s="1"/>
  <c r="Y53" i="44" s="1"/>
  <c r="AA53" i="44" s="1"/>
  <c r="AE193" i="44"/>
  <c r="R193" i="44" s="1"/>
  <c r="T193" i="44" s="1"/>
  <c r="AE17" i="44"/>
  <c r="R17" i="44" s="1"/>
  <c r="T17" i="44" s="1"/>
  <c r="AE92" i="44"/>
  <c r="R92" i="44" s="1"/>
  <c r="T92" i="44" s="1"/>
  <c r="AE45" i="44"/>
  <c r="X45" i="44" s="1"/>
  <c r="Y45" i="44" s="1"/>
  <c r="AA45" i="44" s="1"/>
  <c r="AE146" i="44"/>
  <c r="R146" i="44" s="1"/>
  <c r="AE32" i="44"/>
  <c r="R32" i="44" s="1"/>
  <c r="T32" i="44" s="1"/>
  <c r="AE42" i="44"/>
  <c r="X42" i="44" s="1"/>
  <c r="Y42" i="44" s="1"/>
  <c r="AA42" i="44" s="1"/>
  <c r="AE191" i="44"/>
  <c r="R191" i="44" s="1"/>
  <c r="V191" i="44" s="1"/>
  <c r="AE138" i="44"/>
  <c r="R138" i="44" s="1"/>
  <c r="V138" i="44" s="1"/>
  <c r="AE189" i="44"/>
  <c r="X189" i="44" s="1"/>
  <c r="Y189" i="44" s="1"/>
  <c r="AA189" i="44" s="1"/>
  <c r="AE94" i="44"/>
  <c r="X94" i="44" s="1"/>
  <c r="Y94" i="44" s="1"/>
  <c r="AA94" i="44" s="1"/>
  <c r="AE58" i="44"/>
  <c r="X58" i="44" s="1"/>
  <c r="Y58" i="44" s="1"/>
  <c r="AA58" i="44" s="1"/>
  <c r="AE90" i="44"/>
  <c r="R90" i="44" s="1"/>
  <c r="T90" i="44" s="1"/>
  <c r="AE54" i="44"/>
  <c r="R54" i="44" s="1"/>
  <c r="T54" i="44" s="1"/>
  <c r="AE176" i="44"/>
  <c r="X176" i="44" s="1"/>
  <c r="Y176" i="44" s="1"/>
  <c r="AA176" i="44" s="1"/>
  <c r="N305" i="17"/>
  <c r="O305" i="17" s="1"/>
  <c r="P305" i="17" s="1"/>
  <c r="Q305" i="17" s="1"/>
  <c r="R305" i="17" s="1"/>
  <c r="S305" i="17" s="1"/>
  <c r="S65" i="17"/>
  <c r="S71" i="17"/>
  <c r="S69" i="17"/>
  <c r="R11" i="17"/>
  <c r="P165" i="42"/>
  <c r="P524" i="39"/>
  <c r="Q524" i="39" s="1"/>
  <c r="R524" i="39" s="1"/>
  <c r="C29" i="26"/>
  <c r="L129" i="17"/>
  <c r="M129" i="17" s="1"/>
  <c r="N129" i="17" s="1"/>
  <c r="O129" i="17" s="1"/>
  <c r="Q219" i="17"/>
  <c r="R219" i="17" s="1"/>
  <c r="S219" i="17" s="1"/>
  <c r="AJ150" i="44"/>
  <c r="AP150" i="44" s="1"/>
  <c r="AE75" i="44"/>
  <c r="X75" i="44" s="1"/>
  <c r="Y75" i="44" s="1"/>
  <c r="AA75" i="44" s="1"/>
  <c r="AE67" i="44"/>
  <c r="R67" i="44" s="1"/>
  <c r="AJ81" i="44"/>
  <c r="AP81" i="44" s="1"/>
  <c r="M311" i="17"/>
  <c r="N311" i="17" s="1"/>
  <c r="O311" i="17" s="1"/>
  <c r="P311" i="17" s="1"/>
  <c r="Q297" i="17"/>
  <c r="R297" i="17" s="1"/>
  <c r="S297" i="17" s="1"/>
  <c r="S134" i="17"/>
  <c r="L135" i="17"/>
  <c r="M135" i="17" s="1"/>
  <c r="N135" i="17" s="1"/>
  <c r="O135" i="17" s="1"/>
  <c r="AB224" i="43"/>
  <c r="AC224" i="43" s="1"/>
  <c r="AN46" i="43"/>
  <c r="AR46" i="43" s="1"/>
  <c r="AJ28" i="44"/>
  <c r="AP28" i="44" s="1"/>
  <c r="AJ114" i="43"/>
  <c r="N34" i="17"/>
  <c r="O34" i="17" s="1"/>
  <c r="N227" i="17"/>
  <c r="O227" i="17" s="1"/>
  <c r="AB86" i="43"/>
  <c r="AC86" i="43" s="1"/>
  <c r="AN86" i="43" s="1"/>
  <c r="AR86" i="43" s="1"/>
  <c r="N31" i="17"/>
  <c r="O31" i="17" s="1"/>
  <c r="P303" i="17"/>
  <c r="Q303" i="17" s="1"/>
  <c r="R303" i="17" s="1"/>
  <c r="S303" i="17" s="1"/>
  <c r="AB134" i="43"/>
  <c r="AC134" i="43" s="1"/>
  <c r="AN134" i="43" s="1"/>
  <c r="AR134" i="43" s="1"/>
  <c r="AC82" i="43"/>
  <c r="AB120" i="43"/>
  <c r="AC120" i="43" s="1"/>
  <c r="V91" i="43"/>
  <c r="T91" i="43"/>
  <c r="AL42" i="43"/>
  <c r="V252" i="43"/>
  <c r="AB252" i="43" s="1"/>
  <c r="AC252" i="43" s="1"/>
  <c r="T252" i="43"/>
  <c r="V173" i="43"/>
  <c r="AL173" i="43" s="1"/>
  <c r="T173" i="43"/>
  <c r="AB277" i="43"/>
  <c r="AC277" i="43" s="1"/>
  <c r="V119" i="43"/>
  <c r="AB119" i="43" s="1"/>
  <c r="AC119" i="43" s="1"/>
  <c r="AN119" i="43" s="1"/>
  <c r="AR119" i="43" s="1"/>
  <c r="T119" i="43"/>
  <c r="V97" i="43"/>
  <c r="T97" i="43"/>
  <c r="V34" i="43"/>
  <c r="AB34" i="43" s="1"/>
  <c r="AC34" i="43" s="1"/>
  <c r="T34" i="43"/>
  <c r="V85" i="43"/>
  <c r="AL85" i="43" s="1"/>
  <c r="T85" i="43"/>
  <c r="V92" i="43"/>
  <c r="AL92" i="43" s="1"/>
  <c r="T92" i="43"/>
  <c r="T183" i="43"/>
  <c r="V183" i="43"/>
  <c r="AL183" i="43" s="1"/>
  <c r="AL142" i="43"/>
  <c r="T232" i="43"/>
  <c r="V232" i="43"/>
  <c r="AB232" i="43" s="1"/>
  <c r="AC232" i="43" s="1"/>
  <c r="V126" i="43"/>
  <c r="T126" i="43"/>
  <c r="T57" i="43"/>
  <c r="V250" i="43"/>
  <c r="AB250" i="43" s="1"/>
  <c r="AC250" i="43" s="1"/>
  <c r="T250" i="43"/>
  <c r="T143" i="43"/>
  <c r="V143" i="43"/>
  <c r="AL143" i="43" s="1"/>
  <c r="V255" i="43"/>
  <c r="AB255" i="43" s="1"/>
  <c r="AC255" i="43" s="1"/>
  <c r="T255" i="43"/>
  <c r="V256" i="43"/>
  <c r="T256" i="43"/>
  <c r="V95" i="43"/>
  <c r="AB95" i="43" s="1"/>
  <c r="AC95" i="43" s="1"/>
  <c r="AN95" i="43" s="1"/>
  <c r="T95" i="43"/>
  <c r="Q107" i="44"/>
  <c r="Q158" i="44" s="1"/>
  <c r="AR74" i="43"/>
  <c r="V64" i="43"/>
  <c r="T64" i="43"/>
  <c r="T30" i="43"/>
  <c r="V30" i="43"/>
  <c r="AL30" i="43" s="1"/>
  <c r="AB254" i="43"/>
  <c r="AC254" i="43" s="1"/>
  <c r="T40" i="43"/>
  <c r="V40" i="43"/>
  <c r="AL40" i="43" s="1"/>
  <c r="T269" i="43"/>
  <c r="V269" i="43"/>
  <c r="AB269" i="43" s="1"/>
  <c r="AC269" i="43" s="1"/>
  <c r="T55" i="43"/>
  <c r="AB256" i="43"/>
  <c r="AC256" i="43" s="1"/>
  <c r="V110" i="43"/>
  <c r="AB110" i="43" s="1"/>
  <c r="AC110" i="43" s="1"/>
  <c r="T110" i="43"/>
  <c r="R68" i="43"/>
  <c r="X68" i="43"/>
  <c r="Y68" i="43" s="1"/>
  <c r="AA68" i="43" s="1"/>
  <c r="AL90" i="43"/>
  <c r="V70" i="43"/>
  <c r="T70" i="43"/>
  <c r="AB98" i="43"/>
  <c r="AC98" i="43" s="1"/>
  <c r="AN98" i="43" s="1"/>
  <c r="AR98" i="43" s="1"/>
  <c r="V271" i="43"/>
  <c r="AB271" i="43" s="1"/>
  <c r="AC271" i="43" s="1"/>
  <c r="T271" i="43"/>
  <c r="T120" i="43"/>
  <c r="V120" i="43"/>
  <c r="AL120" i="43" s="1"/>
  <c r="R145" i="43"/>
  <c r="T224" i="43"/>
  <c r="T257" i="43"/>
  <c r="V257" i="43"/>
  <c r="AB257" i="43" s="1"/>
  <c r="AC257" i="43" s="1"/>
  <c r="T124" i="43"/>
  <c r="V124" i="43"/>
  <c r="AP74" i="43"/>
  <c r="AL74" i="43"/>
  <c r="V27" i="43"/>
  <c r="T27" i="43"/>
  <c r="AB30" i="43"/>
  <c r="AC30" i="43" s="1"/>
  <c r="AN30" i="43" s="1"/>
  <c r="AR30" i="43" s="1"/>
  <c r="V254" i="43"/>
  <c r="T254" i="43"/>
  <c r="V83" i="43"/>
  <c r="T83" i="43"/>
  <c r="V53" i="43"/>
  <c r="AL53" i="43" s="1"/>
  <c r="T53" i="43"/>
  <c r="X53" i="43" s="1"/>
  <c r="Y53" i="43" s="1"/>
  <c r="AA53" i="43" s="1"/>
  <c r="T60" i="43"/>
  <c r="V60" i="43"/>
  <c r="T210" i="43"/>
  <c r="V210" i="43"/>
  <c r="AB210" i="43" s="1"/>
  <c r="AC210" i="43" s="1"/>
  <c r="AP110" i="43"/>
  <c r="V99" i="43"/>
  <c r="T99" i="43"/>
  <c r="V23" i="43"/>
  <c r="AB23" i="43" s="1"/>
  <c r="AC23" i="43" s="1"/>
  <c r="AN23" i="43" s="1"/>
  <c r="AR23" i="43" s="1"/>
  <c r="T23" i="43"/>
  <c r="AL54" i="43"/>
  <c r="AL44" i="43"/>
  <c r="AL138" i="43"/>
  <c r="M87" i="17"/>
  <c r="L88" i="17"/>
  <c r="M88" i="17" s="1"/>
  <c r="N88" i="17" s="1"/>
  <c r="O88" i="17" s="1"/>
  <c r="V133" i="43"/>
  <c r="AL133" i="43" s="1"/>
  <c r="T133" i="43"/>
  <c r="Q54" i="43"/>
  <c r="X54" i="43"/>
  <c r="Y54" i="43" s="1"/>
  <c r="AA54" i="43" s="1"/>
  <c r="AB54" i="43" s="1"/>
  <c r="AC54" i="43" s="1"/>
  <c r="P158" i="44"/>
  <c r="AB26" i="43"/>
  <c r="AC26" i="43" s="1"/>
  <c r="AN26" i="43" s="1"/>
  <c r="AR26" i="43" s="1"/>
  <c r="AP69" i="44"/>
  <c r="T158" i="43"/>
  <c r="V158" i="43"/>
  <c r="T160" i="43"/>
  <c r="V160" i="43"/>
  <c r="AB160" i="43" s="1"/>
  <c r="AC160" i="43" s="1"/>
  <c r="V52" i="43"/>
  <c r="T52" i="43"/>
  <c r="AB179" i="43"/>
  <c r="AC179" i="43" s="1"/>
  <c r="AN179" i="43" s="1"/>
  <c r="AR179" i="43" s="1"/>
  <c r="T138" i="43"/>
  <c r="V138" i="43"/>
  <c r="V251" i="43"/>
  <c r="AB251" i="43" s="1"/>
  <c r="AC251" i="43" s="1"/>
  <c r="T251" i="43"/>
  <c r="T245" i="43"/>
  <c r="V245" i="43"/>
  <c r="AB245" i="43" s="1"/>
  <c r="AC245" i="43" s="1"/>
  <c r="T112" i="43"/>
  <c r="V112" i="43"/>
  <c r="AL112" i="43" s="1"/>
  <c r="R102" i="43"/>
  <c r="R114" i="43" s="1"/>
  <c r="X102" i="43"/>
  <c r="Y102" i="43" s="1"/>
  <c r="AA102" i="43" s="1"/>
  <c r="AB93" i="43"/>
  <c r="AC93" i="43" s="1"/>
  <c r="AB170" i="43"/>
  <c r="AC170" i="43" s="1"/>
  <c r="AN170" i="43" s="1"/>
  <c r="AR170" i="43" s="1"/>
  <c r="Q138" i="43"/>
  <c r="X138" i="43"/>
  <c r="Y138" i="43" s="1"/>
  <c r="AA138" i="43" s="1"/>
  <c r="AB138" i="43" s="1"/>
  <c r="AC138" i="43" s="1"/>
  <c r="AL66" i="43"/>
  <c r="V259" i="43"/>
  <c r="AB259" i="43" s="1"/>
  <c r="AC259" i="43" s="1"/>
  <c r="T259" i="43"/>
  <c r="V101" i="43"/>
  <c r="AB101" i="43" s="1"/>
  <c r="AP101" i="43" s="1"/>
  <c r="T101" i="43"/>
  <c r="AB183" i="43"/>
  <c r="AC183" i="43" s="1"/>
  <c r="X22" i="43"/>
  <c r="Y22" i="43" s="1"/>
  <c r="AA22" i="43" s="1"/>
  <c r="AA77" i="43" s="1"/>
  <c r="R22" i="43"/>
  <c r="AJ22" i="43"/>
  <c r="AP22" i="43"/>
  <c r="N284" i="17"/>
  <c r="O284" i="17" s="1"/>
  <c r="P284" i="17" s="1"/>
  <c r="Q284" i="17" s="1"/>
  <c r="R284" i="17" s="1"/>
  <c r="S284" i="17" s="1"/>
  <c r="AJ145" i="43"/>
  <c r="P77" i="43"/>
  <c r="AP145" i="43"/>
  <c r="T65" i="43"/>
  <c r="AP58" i="44"/>
  <c r="AR141" i="43"/>
  <c r="AE76" i="44"/>
  <c r="R76" i="44" s="1"/>
  <c r="V76" i="44" s="1"/>
  <c r="V235" i="43"/>
  <c r="AB235" i="43" s="1"/>
  <c r="AC235" i="43" s="1"/>
  <c r="T235" i="43"/>
  <c r="V132" i="43"/>
  <c r="AB132" i="43" s="1"/>
  <c r="AC132" i="43" s="1"/>
  <c r="AN132" i="43" s="1"/>
  <c r="AR132" i="43" s="1"/>
  <c r="T132" i="43"/>
  <c r="V36" i="43"/>
  <c r="T36" i="43"/>
  <c r="V87" i="43"/>
  <c r="T87" i="43"/>
  <c r="T108" i="43"/>
  <c r="X108" i="43" s="1"/>
  <c r="Y108" i="43" s="1"/>
  <c r="AA108" i="43" s="1"/>
  <c r="V108" i="43"/>
  <c r="AL108" i="43" s="1"/>
  <c r="T98" i="43"/>
  <c r="V98" i="43"/>
  <c r="AL98" i="43" s="1"/>
  <c r="AB258" i="43"/>
  <c r="AC258" i="43" s="1"/>
  <c r="V69" i="43"/>
  <c r="T69" i="43"/>
  <c r="AL137" i="43"/>
  <c r="T261" i="43"/>
  <c r="V261" i="43"/>
  <c r="AP112" i="43"/>
  <c r="V208" i="43"/>
  <c r="AB208" i="43" s="1"/>
  <c r="AC208" i="43" s="1"/>
  <c r="T208" i="43"/>
  <c r="V140" i="43"/>
  <c r="AL140" i="43" s="1"/>
  <c r="T140" i="43"/>
  <c r="X140" i="43" s="1"/>
  <c r="Y140" i="43" s="1"/>
  <c r="AA140" i="43" s="1"/>
  <c r="V72" i="43"/>
  <c r="T72" i="43"/>
  <c r="V130" i="43"/>
  <c r="T130" i="43"/>
  <c r="AL131" i="43"/>
  <c r="V61" i="43"/>
  <c r="T61" i="43"/>
  <c r="T135" i="43"/>
  <c r="V135" i="43"/>
  <c r="AL135" i="43" s="1"/>
  <c r="V89" i="43"/>
  <c r="T89" i="43"/>
  <c r="T184" i="43"/>
  <c r="V184" i="43"/>
  <c r="AL184" i="43" s="1"/>
  <c r="AB261" i="43"/>
  <c r="AC261" i="43" s="1"/>
  <c r="V96" i="43"/>
  <c r="T96" i="43"/>
  <c r="AB137" i="43"/>
  <c r="AC137" i="43" s="1"/>
  <c r="AP140" i="44"/>
  <c r="Q271" i="17"/>
  <c r="R271" i="17" s="1"/>
  <c r="S271" i="17" s="1"/>
  <c r="AP43" i="44"/>
  <c r="AJ20" i="44"/>
  <c r="AP20" i="44" s="1"/>
  <c r="AP82" i="44"/>
  <c r="S192" i="17"/>
  <c r="K513" i="39"/>
  <c r="B27" i="26"/>
  <c r="B35" i="26" s="1"/>
  <c r="R214" i="44"/>
  <c r="V214" i="44" s="1"/>
  <c r="AB214" i="44" s="1"/>
  <c r="AC214" i="44" s="1"/>
  <c r="N264" i="17"/>
  <c r="O264" i="17" s="1"/>
  <c r="P264" i="17" s="1"/>
  <c r="Q264" i="17" s="1"/>
  <c r="R264" i="17" s="1"/>
  <c r="S264" i="17" s="1"/>
  <c r="N241" i="17"/>
  <c r="O241" i="17" s="1"/>
  <c r="P241" i="17" s="1"/>
  <c r="Q241" i="17" s="1"/>
  <c r="R241" i="17" s="1"/>
  <c r="S241" i="17" s="1"/>
  <c r="Q247" i="17"/>
  <c r="R247" i="17" s="1"/>
  <c r="S247" i="17" s="1"/>
  <c r="N272" i="17"/>
  <c r="O272" i="17" s="1"/>
  <c r="P272" i="17" s="1"/>
  <c r="Q272" i="17" s="1"/>
  <c r="R272" i="17" s="1"/>
  <c r="S272" i="17" s="1"/>
  <c r="M210" i="17"/>
  <c r="Q215" i="17"/>
  <c r="R215" i="17" s="1"/>
  <c r="S215" i="17" s="1"/>
  <c r="M212" i="17"/>
  <c r="N212" i="17" s="1"/>
  <c r="O212" i="17" s="1"/>
  <c r="P212" i="17" s="1"/>
  <c r="Q212" i="17" s="1"/>
  <c r="R212" i="17" s="1"/>
  <c r="S212" i="17" s="1"/>
  <c r="M231" i="17"/>
  <c r="AP39" i="44"/>
  <c r="N312" i="17"/>
  <c r="O312" i="17" s="1"/>
  <c r="P312" i="17" s="1"/>
  <c r="Q312" i="17" s="1"/>
  <c r="R312" i="17" s="1"/>
  <c r="S312" i="17" s="1"/>
  <c r="M248" i="17"/>
  <c r="N248" i="17" s="1"/>
  <c r="O248" i="17" s="1"/>
  <c r="P248" i="17" s="1"/>
  <c r="Q248" i="17" s="1"/>
  <c r="R248" i="17" s="1"/>
  <c r="S248" i="17" s="1"/>
  <c r="N229" i="17"/>
  <c r="O229" i="17" s="1"/>
  <c r="P229" i="17" s="1"/>
  <c r="Q229" i="17" s="1"/>
  <c r="R229" i="17" s="1"/>
  <c r="S229" i="17" s="1"/>
  <c r="M234" i="17"/>
  <c r="L112" i="17" s="1"/>
  <c r="R112" i="17" s="1"/>
  <c r="M214" i="17"/>
  <c r="N214" i="17" s="1"/>
  <c r="O214" i="17" s="1"/>
  <c r="P214" i="17" s="1"/>
  <c r="Q214" i="17" s="1"/>
  <c r="Q233" i="17"/>
  <c r="R233" i="17" s="1"/>
  <c r="S233" i="17" s="1"/>
  <c r="Q263" i="17"/>
  <c r="R263" i="17" s="1"/>
  <c r="S263" i="17" s="1"/>
  <c r="M243" i="17"/>
  <c r="N243" i="17" s="1"/>
  <c r="O243" i="17" s="1"/>
  <c r="P243" i="17" s="1"/>
  <c r="Q243" i="17" s="1"/>
  <c r="R243" i="17" s="1"/>
  <c r="S243" i="17" s="1"/>
  <c r="Q228" i="17"/>
  <c r="R228" i="17" s="1"/>
  <c r="S228" i="17" s="1"/>
  <c r="V214" i="43"/>
  <c r="AB214" i="43" s="1"/>
  <c r="AC214" i="43" s="1"/>
  <c r="T214" i="43"/>
  <c r="AP97" i="44"/>
  <c r="AJ152" i="44"/>
  <c r="AP152" i="44" s="1"/>
  <c r="AP137" i="44"/>
  <c r="AJ65" i="44"/>
  <c r="AP65" i="44" s="1"/>
  <c r="AP31" i="44"/>
  <c r="AP126" i="44"/>
  <c r="AJ90" i="44"/>
  <c r="AP90" i="44" s="1"/>
  <c r="AJ113" i="44"/>
  <c r="AP129" i="44"/>
  <c r="AP77" i="44"/>
  <c r="AJ84" i="44"/>
  <c r="AP84" i="44" s="1"/>
  <c r="AJ95" i="44"/>
  <c r="AP95" i="44" s="1"/>
  <c r="AJ18" i="44"/>
  <c r="AP18" i="44" s="1"/>
  <c r="AP134" i="44"/>
  <c r="AP93" i="44"/>
  <c r="N246" i="17"/>
  <c r="O246" i="17" s="1"/>
  <c r="P246" i="17" s="1"/>
  <c r="Q246" i="17" s="1"/>
  <c r="R246" i="17" s="1"/>
  <c r="S246" i="17" s="1"/>
  <c r="Q213" i="17"/>
  <c r="R213" i="17" s="1"/>
  <c r="S213" i="17" s="1"/>
  <c r="AN34" i="43"/>
  <c r="AR34" i="43" s="1"/>
  <c r="AN42" i="43"/>
  <c r="AR42" i="43" s="1"/>
  <c r="AN57" i="43"/>
  <c r="AR57" i="43" s="1"/>
  <c r="AN182" i="43"/>
  <c r="AR182" i="43" s="1"/>
  <c r="V177" i="43"/>
  <c r="T177" i="43"/>
  <c r="AB239" i="43"/>
  <c r="AC239" i="43" s="1"/>
  <c r="L27" i="17"/>
  <c r="M27" i="17" s="1"/>
  <c r="N27" i="17" s="1"/>
  <c r="O27" i="17" s="1"/>
  <c r="M26" i="17"/>
  <c r="Q26" i="17" s="1"/>
  <c r="V50" i="43"/>
  <c r="T50" i="43"/>
  <c r="AN122" i="43"/>
  <c r="AR122" i="43" s="1"/>
  <c r="AN82" i="43"/>
  <c r="AR82" i="43" s="1"/>
  <c r="AB106" i="43"/>
  <c r="AP106" i="43" s="1"/>
  <c r="AN25" i="43"/>
  <c r="AR25" i="43"/>
  <c r="Q77" i="43"/>
  <c r="R56" i="43"/>
  <c r="R77" i="43" s="1"/>
  <c r="V31" i="43"/>
  <c r="T31" i="43"/>
  <c r="V24" i="43"/>
  <c r="T24" i="43"/>
  <c r="AC67" i="43"/>
  <c r="AP67" i="43"/>
  <c r="AB100" i="43"/>
  <c r="AP100" i="43" s="1"/>
  <c r="V270" i="43"/>
  <c r="AB270" i="43" s="1"/>
  <c r="AC270" i="43" s="1"/>
  <c r="T270" i="43"/>
  <c r="V17" i="43"/>
  <c r="T17" i="43"/>
  <c r="AN44" i="43"/>
  <c r="AR44" i="43" s="1"/>
  <c r="V48" i="43"/>
  <c r="AB48" i="43" s="1"/>
  <c r="AC48" i="43" s="1"/>
  <c r="AN48" i="43" s="1"/>
  <c r="AR48" i="43" s="1"/>
  <c r="T48" i="43"/>
  <c r="AC101" i="43"/>
  <c r="AR101" i="43" s="1"/>
  <c r="N295" i="17"/>
  <c r="O295" i="17" s="1"/>
  <c r="P295" i="17" s="1"/>
  <c r="Q295" i="17" s="1"/>
  <c r="R295" i="17" s="1"/>
  <c r="N185" i="17"/>
  <c r="O185" i="17" s="1"/>
  <c r="O159" i="17"/>
  <c r="S185" i="17"/>
  <c r="N191" i="39"/>
  <c r="N513" i="39" s="1"/>
  <c r="N278" i="17"/>
  <c r="O278" i="17" s="1"/>
  <c r="P278" i="17" s="1"/>
  <c r="Q278" i="17" s="1"/>
  <c r="R278" i="17" s="1"/>
  <c r="S278" i="17" s="1"/>
  <c r="O63" i="42"/>
  <c r="P63" i="42" s="1"/>
  <c r="R225" i="17"/>
  <c r="S225" i="17" s="1"/>
  <c r="AJ124" i="44"/>
  <c r="AP124" i="44" s="1"/>
  <c r="N323" i="17"/>
  <c r="O323" i="17" s="1"/>
  <c r="P323" i="17" s="1"/>
  <c r="Q323" i="17" s="1"/>
  <c r="R323" i="17" s="1"/>
  <c r="S323" i="17" s="1"/>
  <c r="Y11" i="43"/>
  <c r="AB11" i="43"/>
  <c r="AC11" i="43" s="1"/>
  <c r="AP74" i="44"/>
  <c r="AJ96" i="44"/>
  <c r="AP96" i="44" s="1"/>
  <c r="AP145" i="44"/>
  <c r="Q333" i="17"/>
  <c r="R333" i="17" s="1"/>
  <c r="S333" i="17" s="1"/>
  <c r="AJ143" i="44"/>
  <c r="AP143" i="44" s="1"/>
  <c r="AJ100" i="44"/>
  <c r="Q226" i="17"/>
  <c r="R226" i="17" s="1"/>
  <c r="S226" i="17" s="1"/>
  <c r="AP87" i="44"/>
  <c r="AP103" i="44"/>
  <c r="AP54" i="44"/>
  <c r="X130" i="44"/>
  <c r="Y130" i="44" s="1"/>
  <c r="AA130" i="44" s="1"/>
  <c r="AP12" i="44"/>
  <c r="AJ130" i="44"/>
  <c r="AP130" i="44" s="1"/>
  <c r="AP127" i="44"/>
  <c r="AJ80" i="44"/>
  <c r="AP80" i="44" s="1"/>
  <c r="AP102" i="44"/>
  <c r="S28" i="17"/>
  <c r="AP36" i="44"/>
  <c r="AP144" i="44"/>
  <c r="AJ89" i="44"/>
  <c r="AP89" i="44" s="1"/>
  <c r="AJ32" i="44"/>
  <c r="AP32" i="44" s="1"/>
  <c r="AJ79" i="44"/>
  <c r="AP79" i="44" s="1"/>
  <c r="AJ60" i="44"/>
  <c r="AP60" i="44" s="1"/>
  <c r="AP149" i="44"/>
  <c r="N24" i="17"/>
  <c r="O24" i="17" s="1"/>
  <c r="Q285" i="17"/>
  <c r="R285" i="17" s="1"/>
  <c r="S285" i="17" s="1"/>
  <c r="AJ38" i="44"/>
  <c r="AP38" i="44" s="1"/>
  <c r="AJ41" i="44"/>
  <c r="AP41" i="44" s="1"/>
  <c r="AP98" i="44"/>
  <c r="AJ14" i="44"/>
  <c r="AP14" i="44" s="1"/>
  <c r="S141" i="17"/>
  <c r="AJ72" i="44"/>
  <c r="AP72" i="44" s="1"/>
  <c r="J27" i="17"/>
  <c r="K27" i="17" s="1"/>
  <c r="AP88" i="44"/>
  <c r="AJ131" i="44"/>
  <c r="AP131" i="44" s="1"/>
  <c r="O57" i="42"/>
  <c r="R57" i="42" s="1"/>
  <c r="AJ66" i="44"/>
  <c r="AP66" i="44" s="1"/>
  <c r="AJ142" i="44"/>
  <c r="AP142" i="44" s="1"/>
  <c r="AP135" i="44"/>
  <c r="Q216" i="17"/>
  <c r="R216" i="17" s="1"/>
  <c r="S216" i="17" s="1"/>
  <c r="AJ30" i="44"/>
  <c r="AP30" i="44" s="1"/>
  <c r="AJ147" i="44"/>
  <c r="AP147" i="44" s="1"/>
  <c r="AP62" i="44"/>
  <c r="AJ40" i="44"/>
  <c r="AP40" i="44" s="1"/>
  <c r="AJ104" i="44"/>
  <c r="AP104" i="44" s="1"/>
  <c r="AJ141" i="44"/>
  <c r="AP141" i="44" s="1"/>
  <c r="AJ53" i="44"/>
  <c r="AP53" i="44" s="1"/>
  <c r="N269" i="17"/>
  <c r="O269" i="17" s="1"/>
  <c r="P269" i="17" s="1"/>
  <c r="Q269" i="17" s="1"/>
  <c r="R269" i="17" s="1"/>
  <c r="S269" i="17" s="1"/>
  <c r="Q302" i="17"/>
  <c r="R302" i="17" s="1"/>
  <c r="S302" i="17" s="1"/>
  <c r="S177" i="17"/>
  <c r="S161" i="17"/>
  <c r="S182" i="17"/>
  <c r="AP146" i="44"/>
  <c r="AJ133" i="44"/>
  <c r="AP133" i="44" s="1"/>
  <c r="AJ42" i="44"/>
  <c r="AP42" i="44" s="1"/>
  <c r="S93" i="17"/>
  <c r="N94" i="17"/>
  <c r="O94" i="17" s="1"/>
  <c r="R324" i="17"/>
  <c r="O324" i="17"/>
  <c r="P324" i="17" s="1"/>
  <c r="Q324" i="17" s="1"/>
  <c r="N20" i="17"/>
  <c r="O20" i="17" s="1"/>
  <c r="AP67" i="44"/>
  <c r="AP37" i="44"/>
  <c r="AP86" i="44"/>
  <c r="AJ16" i="44"/>
  <c r="AP16" i="44" s="1"/>
  <c r="AP139" i="44"/>
  <c r="AP45" i="44"/>
  <c r="AJ19" i="44"/>
  <c r="AP19" i="44" s="1"/>
  <c r="AJ73" i="44"/>
  <c r="AP73" i="44" s="1"/>
  <c r="AJ57" i="44"/>
  <c r="AP57" i="44" s="1"/>
  <c r="AP46" i="44"/>
  <c r="S23" i="17"/>
  <c r="AP56" i="44"/>
  <c r="AJ68" i="44"/>
  <c r="AP68" i="44" s="1"/>
  <c r="O166" i="42"/>
  <c r="AP70" i="44"/>
  <c r="AJ138" i="44"/>
  <c r="AP138" i="44" s="1"/>
  <c r="AP15" i="44"/>
  <c r="R279" i="17"/>
  <c r="S279" i="17" s="1"/>
  <c r="AJ64" i="44"/>
  <c r="AP64" i="44" s="1"/>
  <c r="AJ132" i="44"/>
  <c r="AP132" i="44" s="1"/>
  <c r="AJ85" i="44"/>
  <c r="AP85" i="44" s="1"/>
  <c r="AJ105" i="44"/>
  <c r="AP105" i="44" s="1"/>
  <c r="AP101" i="44"/>
  <c r="AJ151" i="44"/>
  <c r="AP151" i="44" s="1"/>
  <c r="AP61" i="44"/>
  <c r="S63" i="17"/>
  <c r="R262" i="17"/>
  <c r="S262" i="17" s="1"/>
  <c r="N286" i="17"/>
  <c r="O286" i="17" s="1"/>
  <c r="P286" i="17" s="1"/>
  <c r="Q286" i="17" s="1"/>
  <c r="R286" i="17" s="1"/>
  <c r="S286" i="17" s="1"/>
  <c r="S58" i="17"/>
  <c r="S56" i="17"/>
  <c r="S59" i="17"/>
  <c r="S149" i="17"/>
  <c r="AP44" i="44"/>
  <c r="AJ44" i="44"/>
  <c r="AJ17" i="44"/>
  <c r="AP17" i="44" s="1"/>
  <c r="AJ112" i="44"/>
  <c r="AJ83" i="44"/>
  <c r="AP83" i="44" s="1"/>
  <c r="AP148" i="44"/>
  <c r="AJ148" i="44"/>
  <c r="AJ59" i="44"/>
  <c r="AP59" i="44" s="1"/>
  <c r="AJ128" i="44"/>
  <c r="AP128" i="44" s="1"/>
  <c r="AJ71" i="44"/>
  <c r="AP71" i="44" s="1"/>
  <c r="AJ136" i="44"/>
  <c r="AP136" i="44" s="1"/>
  <c r="AJ94" i="44"/>
  <c r="AP94" i="44" s="1"/>
  <c r="AJ13" i="44"/>
  <c r="AP13" i="44" s="1"/>
  <c r="AP34" i="44"/>
  <c r="AP35" i="44"/>
  <c r="AJ27" i="44"/>
  <c r="AP27" i="44" s="1"/>
  <c r="N220" i="17"/>
  <c r="O220" i="17" s="1"/>
  <c r="P220" i="17" s="1"/>
  <c r="Q220" i="17" s="1"/>
  <c r="R220" i="17" s="1"/>
  <c r="S220" i="17" s="1"/>
  <c r="N280" i="17"/>
  <c r="O280" i="17" s="1"/>
  <c r="P280" i="17" s="1"/>
  <c r="Q280" i="17" s="1"/>
  <c r="R280" i="17" s="1"/>
  <c r="S280" i="17" s="1"/>
  <c r="R290" i="17"/>
  <c r="S290" i="17" s="1"/>
  <c r="AJ76" i="44"/>
  <c r="AP76" i="44" s="1"/>
  <c r="AJ75" i="44"/>
  <c r="AP75" i="44" s="1"/>
  <c r="AJ125" i="44"/>
  <c r="AP125" i="44" s="1"/>
  <c r="AJ29" i="44"/>
  <c r="AP29" i="44" s="1"/>
  <c r="AJ78" i="44"/>
  <c r="AP78" i="44" s="1"/>
  <c r="N319" i="17"/>
  <c r="O319" i="17" s="1"/>
  <c r="P319" i="17" s="1"/>
  <c r="Q319" i="17" s="1"/>
  <c r="R319" i="17" s="1"/>
  <c r="S319" i="17" s="1"/>
  <c r="N29" i="17"/>
  <c r="O29" i="17" s="1"/>
  <c r="J217" i="17"/>
  <c r="K217" i="17" s="1"/>
  <c r="P135" i="42"/>
  <c r="P153" i="42" s="1"/>
  <c r="Q230" i="17"/>
  <c r="R230" i="17" s="1"/>
  <c r="S230" i="17" s="1"/>
  <c r="Q277" i="17"/>
  <c r="R277" i="17" s="1"/>
  <c r="S277" i="17" s="1"/>
  <c r="S47" i="17"/>
  <c r="S111" i="17"/>
  <c r="Q276" i="17"/>
  <c r="R276" i="17" s="1"/>
  <c r="S276" i="17" s="1"/>
  <c r="S49" i="17"/>
  <c r="S189" i="17"/>
  <c r="S17" i="17"/>
  <c r="S137" i="17"/>
  <c r="S51" i="17"/>
  <c r="S108" i="17"/>
  <c r="S166" i="17"/>
  <c r="Q291" i="17"/>
  <c r="R291" i="17" s="1"/>
  <c r="S291" i="17" s="1"/>
  <c r="S40" i="17"/>
  <c r="S57" i="17"/>
  <c r="S42" i="17"/>
  <c r="S191" i="17"/>
  <c r="S148" i="17"/>
  <c r="S186" i="17"/>
  <c r="S48" i="17"/>
  <c r="S139" i="17"/>
  <c r="S52" i="17"/>
  <c r="S45" i="17"/>
  <c r="Q320" i="17"/>
  <c r="R320" i="17" s="1"/>
  <c r="S320" i="17" s="1"/>
  <c r="S110" i="17"/>
  <c r="S109" i="17"/>
  <c r="AN128" i="43"/>
  <c r="AR128" i="43" s="1"/>
  <c r="AN51" i="43"/>
  <c r="AR51" i="43" s="1"/>
  <c r="AN15" i="43"/>
  <c r="AR15" i="43" s="1"/>
  <c r="AN178" i="43"/>
  <c r="AR178" i="43" s="1"/>
  <c r="AN29" i="43"/>
  <c r="AR29" i="43"/>
  <c r="S54" i="17"/>
  <c r="M110" i="42"/>
  <c r="N110" i="42" s="1"/>
  <c r="O110" i="42" s="1"/>
  <c r="N183" i="17"/>
  <c r="O183" i="17" s="1"/>
  <c r="S183" i="17"/>
  <c r="S38" i="17"/>
  <c r="M133" i="17"/>
  <c r="N133" i="17" s="1"/>
  <c r="O133" i="17" s="1"/>
  <c r="M300" i="17"/>
  <c r="N300" i="17" s="1"/>
  <c r="O300" i="17" s="1"/>
  <c r="P300" i="17" s="1"/>
  <c r="N326" i="17"/>
  <c r="O326" i="17" s="1"/>
  <c r="Q326" i="17"/>
  <c r="R326" i="17" s="1"/>
  <c r="S326" i="17" s="1"/>
  <c r="AB260" i="43"/>
  <c r="AC260" i="43" s="1"/>
  <c r="M259" i="17"/>
  <c r="M90" i="17"/>
  <c r="N90" i="17" s="1"/>
  <c r="O90" i="17" s="1"/>
  <c r="N306" i="17"/>
  <c r="N224" i="17"/>
  <c r="O224" i="17" s="1"/>
  <c r="P224" i="17" s="1"/>
  <c r="S143" i="17"/>
  <c r="AL55" i="43"/>
  <c r="AP55" i="43"/>
  <c r="V35" i="43"/>
  <c r="AL35" i="43" s="1"/>
  <c r="T35" i="43"/>
  <c r="AL14" i="43"/>
  <c r="AJ77" i="43"/>
  <c r="AN160" i="43"/>
  <c r="AR160" i="43" s="1"/>
  <c r="AN21" i="43"/>
  <c r="AR21" i="43" s="1"/>
  <c r="AN28" i="43"/>
  <c r="AR28" i="43" s="1"/>
  <c r="AN174" i="43"/>
  <c r="AR174" i="43"/>
  <c r="AN136" i="43"/>
  <c r="AR136" i="43" s="1"/>
  <c r="AN123" i="43"/>
  <c r="AR123" i="43" s="1"/>
  <c r="AR73" i="43"/>
  <c r="S176" i="17"/>
  <c r="S178" i="17"/>
  <c r="S53" i="17"/>
  <c r="N132" i="17"/>
  <c r="O132" i="17" s="1"/>
  <c r="S132" i="17"/>
  <c r="N299" i="17"/>
  <c r="AB227" i="43"/>
  <c r="AC227" i="43" s="1"/>
  <c r="Q145" i="43"/>
  <c r="N85" i="17"/>
  <c r="M307" i="17"/>
  <c r="N307" i="17" s="1"/>
  <c r="O307" i="17" s="1"/>
  <c r="P307" i="17" s="1"/>
  <c r="N191" i="43"/>
  <c r="N95" i="17"/>
  <c r="O95" i="17" s="1"/>
  <c r="S95" i="17"/>
  <c r="N180" i="17"/>
  <c r="O180" i="17" s="1"/>
  <c r="S180" i="17"/>
  <c r="AB18" i="43"/>
  <c r="AC18" i="43"/>
  <c r="AB14" i="43"/>
  <c r="AC14" i="43" s="1"/>
  <c r="AC105" i="43"/>
  <c r="AR105" i="43" s="1"/>
  <c r="AR137" i="43"/>
  <c r="AN137" i="43"/>
  <c r="AC169" i="43"/>
  <c r="AN90" i="43"/>
  <c r="AR90" i="43" s="1"/>
  <c r="AR103" i="43"/>
  <c r="AB45" i="43"/>
  <c r="AC45" i="43" s="1"/>
  <c r="M85" i="42"/>
  <c r="N85" i="42" s="1"/>
  <c r="O85" i="42" s="1"/>
  <c r="P85" i="42" s="1"/>
  <c r="N15" i="17"/>
  <c r="O15" i="17" s="1"/>
  <c r="S15" i="17"/>
  <c r="Q185" i="43"/>
  <c r="R185" i="43" s="1"/>
  <c r="R187" i="43" s="1"/>
  <c r="AJ185" i="43"/>
  <c r="AJ187" i="43" s="1"/>
  <c r="P187" i="43"/>
  <c r="T223" i="43"/>
  <c r="V223" i="43"/>
  <c r="AB223" i="43" s="1"/>
  <c r="AC223" i="43" s="1"/>
  <c r="M86" i="17"/>
  <c r="N86" i="17" s="1"/>
  <c r="O86" i="17" s="1"/>
  <c r="Q244" i="17"/>
  <c r="R244" i="17" s="1"/>
  <c r="S244" i="17" s="1"/>
  <c r="N283" i="17"/>
  <c r="O283" i="17" s="1"/>
  <c r="M96" i="17"/>
  <c r="N96" i="17" s="1"/>
  <c r="Q114" i="43"/>
  <c r="M238" i="17"/>
  <c r="T19" i="43"/>
  <c r="V19" i="43"/>
  <c r="AL19" i="43" s="1"/>
  <c r="AB127" i="43"/>
  <c r="M162" i="17"/>
  <c r="Q162" i="17" s="1"/>
  <c r="L163" i="17"/>
  <c r="M163" i="17" s="1"/>
  <c r="N163" i="17" s="1"/>
  <c r="O163" i="17" s="1"/>
  <c r="P163" i="17" s="1"/>
  <c r="V33" i="43"/>
  <c r="T33" i="43"/>
  <c r="AB58" i="43"/>
  <c r="AP58" i="43" s="1"/>
  <c r="V16" i="43"/>
  <c r="AL16" i="43" s="1"/>
  <c r="T16" i="43"/>
  <c r="AN38" i="43"/>
  <c r="AR38" i="43" s="1"/>
  <c r="AP65" i="43"/>
  <c r="AR65" i="43" s="1"/>
  <c r="AN172" i="43"/>
  <c r="AR172" i="43" s="1"/>
  <c r="AN159" i="43"/>
  <c r="AR159" i="43"/>
  <c r="AN157" i="43"/>
  <c r="AR157" i="43" s="1"/>
  <c r="AN120" i="43"/>
  <c r="AR120" i="43" s="1"/>
  <c r="AN121" i="43"/>
  <c r="AR121" i="43" s="1"/>
  <c r="M112" i="42"/>
  <c r="N112" i="42" s="1"/>
  <c r="O112" i="42" s="1"/>
  <c r="P112" i="42" s="1"/>
  <c r="S55" i="17"/>
  <c r="N266" i="17"/>
  <c r="O266" i="17" s="1"/>
  <c r="P266" i="17" s="1"/>
  <c r="S33" i="17"/>
  <c r="AB266" i="43"/>
  <c r="AC266" i="43" s="1"/>
  <c r="M16" i="17"/>
  <c r="N16" i="17" s="1"/>
  <c r="O16" i="17" s="1"/>
  <c r="N265" i="17"/>
  <c r="M130" i="17"/>
  <c r="Q130" i="17" s="1"/>
  <c r="L131" i="17"/>
  <c r="R131" i="17" s="1"/>
  <c r="M321" i="17"/>
  <c r="N321" i="17" s="1"/>
  <c r="O321" i="17" s="1"/>
  <c r="P321" i="17" s="1"/>
  <c r="S140" i="17"/>
  <c r="N89" i="17"/>
  <c r="O89" i="17" s="1"/>
  <c r="S89" i="17"/>
  <c r="V180" i="43"/>
  <c r="T180" i="43"/>
  <c r="Q162" i="43"/>
  <c r="R162" i="43" s="1"/>
  <c r="P164" i="43"/>
  <c r="AJ162" i="43"/>
  <c r="AL175" i="43"/>
  <c r="AB47" i="43"/>
  <c r="AC47" i="43" s="1"/>
  <c r="AB19" i="43"/>
  <c r="AC19" i="43" s="1"/>
  <c r="T45" i="43"/>
  <c r="AP63" i="43"/>
  <c r="AR63" i="43" s="1"/>
  <c r="AN54" i="43"/>
  <c r="AR54" i="43" s="1"/>
  <c r="AN156" i="43"/>
  <c r="AN139" i="43"/>
  <c r="AR139" i="43" s="1"/>
  <c r="AN41" i="43"/>
  <c r="AR41" i="43"/>
  <c r="Q282" i="17"/>
  <c r="R282" i="17" s="1"/>
  <c r="S282" i="17" s="1"/>
  <c r="R27" i="17" l="1"/>
  <c r="S21" i="17"/>
  <c r="Q164" i="17"/>
  <c r="N30" i="17"/>
  <c r="O30" i="17" s="1"/>
  <c r="Q30" i="17"/>
  <c r="N87" i="17"/>
  <c r="O87" i="17" s="1"/>
  <c r="Q87" i="17"/>
  <c r="R163" i="17"/>
  <c r="R88" i="17"/>
  <c r="R98" i="17"/>
  <c r="T20" i="42"/>
  <c r="T21" i="42"/>
  <c r="T19" i="42"/>
  <c r="T156" i="42"/>
  <c r="T18" i="42"/>
  <c r="S22" i="17"/>
  <c r="T22" i="42"/>
  <c r="T23" i="42"/>
  <c r="T157" i="42"/>
  <c r="C41" i="26"/>
  <c r="T13" i="42"/>
  <c r="T83" i="42"/>
  <c r="T57" i="42"/>
  <c r="R63" i="42"/>
  <c r="R85" i="42"/>
  <c r="R112" i="42"/>
  <c r="R110" i="42"/>
  <c r="T110" i="42" s="1"/>
  <c r="R108" i="42"/>
  <c r="T108" i="42" s="1"/>
  <c r="AC91" i="44"/>
  <c r="AN91" i="44" s="1"/>
  <c r="AP91" i="44"/>
  <c r="Q29" i="17"/>
  <c r="Q133" i="17"/>
  <c r="Q34" i="17"/>
  <c r="Q165" i="17"/>
  <c r="S165" i="17" s="1"/>
  <c r="Q94" i="17"/>
  <c r="Q31" i="17"/>
  <c r="Q18" i="17"/>
  <c r="Q96" i="17"/>
  <c r="Q129" i="17"/>
  <c r="Q16" i="17"/>
  <c r="Q88" i="17"/>
  <c r="Q24" i="17"/>
  <c r="P27" i="17"/>
  <c r="Q27" i="17"/>
  <c r="Q92" i="17"/>
  <c r="Q163" i="17"/>
  <c r="Q86" i="17"/>
  <c r="Q20" i="17"/>
  <c r="Q90" i="17"/>
  <c r="Q135" i="17"/>
  <c r="Q98" i="17"/>
  <c r="Q14" i="17"/>
  <c r="P129" i="17"/>
  <c r="P133" i="17"/>
  <c r="P135" i="17"/>
  <c r="S135" i="17" s="1"/>
  <c r="P94" i="17"/>
  <c r="P98" i="17"/>
  <c r="P92" i="17"/>
  <c r="S92" i="17" s="1"/>
  <c r="P90" i="17"/>
  <c r="P20" i="17"/>
  <c r="P88" i="17"/>
  <c r="P86" i="17"/>
  <c r="P18" i="17"/>
  <c r="S18" i="17" s="1"/>
  <c r="P24" i="17"/>
  <c r="P31" i="17"/>
  <c r="P34" i="17"/>
  <c r="S34" i="17" s="1"/>
  <c r="P14" i="17"/>
  <c r="P29" i="17"/>
  <c r="P16" i="17"/>
  <c r="N128" i="17"/>
  <c r="AL95" i="43"/>
  <c r="AB112" i="43"/>
  <c r="AC112" i="43" s="1"/>
  <c r="AR112" i="43" s="1"/>
  <c r="AB171" i="43"/>
  <c r="AC171" i="43" s="1"/>
  <c r="AN171" i="43" s="1"/>
  <c r="AR171" i="43" s="1"/>
  <c r="AL171" i="43"/>
  <c r="AB59" i="43"/>
  <c r="AL84" i="43"/>
  <c r="AB84" i="43"/>
  <c r="AC84" i="43" s="1"/>
  <c r="AN84" i="43" s="1"/>
  <c r="AR84" i="43" s="1"/>
  <c r="AL21" i="43"/>
  <c r="AL62" i="43"/>
  <c r="AB62" i="43"/>
  <c r="AB140" i="43"/>
  <c r="AC140" i="43" s="1"/>
  <c r="AR140" i="43" s="1"/>
  <c r="AL71" i="43"/>
  <c r="AB71" i="43"/>
  <c r="AL49" i="43"/>
  <c r="AB49" i="43"/>
  <c r="AC49" i="43" s="1"/>
  <c r="AN49" i="43" s="1"/>
  <c r="AR49" i="43" s="1"/>
  <c r="AB135" i="43"/>
  <c r="AC135" i="43" s="1"/>
  <c r="AN135" i="43" s="1"/>
  <c r="AR135" i="43" s="1"/>
  <c r="AL43" i="43"/>
  <c r="AB43" i="43"/>
  <c r="AC43" i="43" s="1"/>
  <c r="AN43" i="43" s="1"/>
  <c r="AR43" i="43" s="1"/>
  <c r="AR110" i="43"/>
  <c r="AB173" i="43"/>
  <c r="AC173" i="43" s="1"/>
  <c r="AL32" i="43"/>
  <c r="AB32" i="43"/>
  <c r="AC32" i="43" s="1"/>
  <c r="AC100" i="43"/>
  <c r="AR100" i="43" s="1"/>
  <c r="AL34" i="43"/>
  <c r="AL101" i="43"/>
  <c r="AL20" i="43"/>
  <c r="AB20" i="43"/>
  <c r="AC20" i="43" s="1"/>
  <c r="AN20" i="43" s="1"/>
  <c r="AR20" i="43" s="1"/>
  <c r="AC66" i="43"/>
  <c r="AR66" i="43" s="1"/>
  <c r="O96" i="17"/>
  <c r="P96" i="17" s="1"/>
  <c r="L168" i="17"/>
  <c r="Q373" i="39"/>
  <c r="R373" i="39" s="1"/>
  <c r="R262" i="39"/>
  <c r="Q385" i="39"/>
  <c r="R385" i="39" s="1"/>
  <c r="Q25" i="42"/>
  <c r="E47" i="26" s="1"/>
  <c r="AF47" i="26" s="1"/>
  <c r="C27" i="26"/>
  <c r="AC27" i="26"/>
  <c r="Q50" i="42"/>
  <c r="E43" i="26" s="1"/>
  <c r="AF43" i="26" s="1"/>
  <c r="N125" i="42"/>
  <c r="N161" i="42" s="1"/>
  <c r="N103" i="42"/>
  <c r="D39" i="26" s="1"/>
  <c r="AE39" i="26" s="1"/>
  <c r="R200" i="39"/>
  <c r="R220" i="39"/>
  <c r="R256" i="39"/>
  <c r="Q358" i="39"/>
  <c r="R358" i="39" s="1"/>
  <c r="Q347" i="39"/>
  <c r="R347" i="39" s="1"/>
  <c r="Q357" i="39"/>
  <c r="R357" i="39" s="1"/>
  <c r="R274" i="39"/>
  <c r="Q355" i="39"/>
  <c r="R355" i="39" s="1"/>
  <c r="R203" i="39"/>
  <c r="R260" i="39"/>
  <c r="Q381" i="39"/>
  <c r="R381" i="39" s="1"/>
  <c r="Q339" i="39"/>
  <c r="R339" i="39" s="1"/>
  <c r="R28" i="44"/>
  <c r="V28" i="44" s="1"/>
  <c r="AL28" i="44" s="1"/>
  <c r="X15" i="44"/>
  <c r="Y15" i="44" s="1"/>
  <c r="AA15" i="44" s="1"/>
  <c r="X73" i="44"/>
  <c r="Y73" i="44" s="1"/>
  <c r="AA73" i="44" s="1"/>
  <c r="R228" i="39"/>
  <c r="Q364" i="39"/>
  <c r="R364" i="39" s="1"/>
  <c r="R271" i="39"/>
  <c r="R269" i="39"/>
  <c r="R272" i="39"/>
  <c r="D23" i="26"/>
  <c r="D35" i="26" s="1"/>
  <c r="Q371" i="39"/>
  <c r="R371" i="39" s="1"/>
  <c r="R240" i="39"/>
  <c r="Q360" i="39"/>
  <c r="R360" i="39" s="1"/>
  <c r="R153" i="42"/>
  <c r="O333" i="39"/>
  <c r="E25" i="26" s="1"/>
  <c r="AF25" i="26" s="1"/>
  <c r="Q374" i="39"/>
  <c r="R374" i="39" s="1"/>
  <c r="P194" i="39"/>
  <c r="P333" i="39" s="1"/>
  <c r="F25" i="26" s="1"/>
  <c r="AG25" i="26" s="1"/>
  <c r="O411" i="39"/>
  <c r="E27" i="26" s="1"/>
  <c r="AF27" i="26" s="1"/>
  <c r="P191" i="39"/>
  <c r="F23" i="26" s="1"/>
  <c r="R206" i="39"/>
  <c r="Q351" i="39"/>
  <c r="R351" i="39" s="1"/>
  <c r="P337" i="39"/>
  <c r="P411" i="39" s="1"/>
  <c r="F27" i="26" s="1"/>
  <c r="AG27" i="26" s="1"/>
  <c r="O453" i="39"/>
  <c r="E29" i="26" s="1"/>
  <c r="AF29" i="26" s="1"/>
  <c r="R210" i="39"/>
  <c r="R202" i="39"/>
  <c r="R208" i="39"/>
  <c r="P108" i="42"/>
  <c r="O125" i="42"/>
  <c r="P296" i="17"/>
  <c r="Q296" i="17" s="1"/>
  <c r="R296" i="17" s="1"/>
  <c r="S296" i="17" s="1"/>
  <c r="O103" i="42"/>
  <c r="O511" i="39"/>
  <c r="E31" i="26" s="1"/>
  <c r="AF31" i="26" s="1"/>
  <c r="R159" i="42"/>
  <c r="F49" i="26" s="1"/>
  <c r="AG49" i="26" s="1"/>
  <c r="R50" i="42"/>
  <c r="F43" i="26" s="1"/>
  <c r="AG43" i="26" s="1"/>
  <c r="P511" i="39"/>
  <c r="F31" i="26" s="1"/>
  <c r="AG31" i="26" s="1"/>
  <c r="P453" i="39"/>
  <c r="F29" i="26" s="1"/>
  <c r="AG29" i="26" s="1"/>
  <c r="Q153" i="42"/>
  <c r="S30" i="17"/>
  <c r="X196" i="44"/>
  <c r="Y196" i="44" s="1"/>
  <c r="AA196" i="44" s="1"/>
  <c r="AB196" i="44" s="1"/>
  <c r="AC196" i="44" s="1"/>
  <c r="O299" i="17"/>
  <c r="P299" i="17" s="1"/>
  <c r="Q299" i="17" s="1"/>
  <c r="X61" i="44"/>
  <c r="Y61" i="44" s="1"/>
  <c r="AA61" i="44" s="1"/>
  <c r="AB61" i="44" s="1"/>
  <c r="AC61" i="44" s="1"/>
  <c r="AN61" i="44" s="1"/>
  <c r="AR61" i="44" s="1"/>
  <c r="R98" i="44"/>
  <c r="V98" i="44" s="1"/>
  <c r="AL98" i="44" s="1"/>
  <c r="R102" i="44"/>
  <c r="T102" i="44" s="1"/>
  <c r="R200" i="44"/>
  <c r="T200" i="44" s="1"/>
  <c r="R74" i="44"/>
  <c r="T74" i="44" s="1"/>
  <c r="Q211" i="17"/>
  <c r="R211" i="17" s="1"/>
  <c r="S211" i="17" s="1"/>
  <c r="R114" i="44"/>
  <c r="T114" i="44" s="1"/>
  <c r="R68" i="44"/>
  <c r="V68" i="44" s="1"/>
  <c r="AL68" i="44" s="1"/>
  <c r="R143" i="44"/>
  <c r="T143" i="44" s="1"/>
  <c r="V55" i="44"/>
  <c r="AL55" i="44" s="1"/>
  <c r="V115" i="44"/>
  <c r="AL115" i="44" s="1"/>
  <c r="X127" i="44"/>
  <c r="Y127" i="44" s="1"/>
  <c r="AA127" i="44" s="1"/>
  <c r="R81" i="44"/>
  <c r="V81" i="44" s="1"/>
  <c r="AB81" i="44" s="1"/>
  <c r="AC81" i="44" s="1"/>
  <c r="AN81" i="44" s="1"/>
  <c r="AR81" i="44" s="1"/>
  <c r="X132" i="44"/>
  <c r="Y132" i="44" s="1"/>
  <c r="AA132" i="44" s="1"/>
  <c r="AB132" i="44" s="1"/>
  <c r="AC132" i="44" s="1"/>
  <c r="AN132" i="44" s="1"/>
  <c r="AR132" i="44" s="1"/>
  <c r="R125" i="44"/>
  <c r="V125" i="44" s="1"/>
  <c r="AB125" i="44" s="1"/>
  <c r="AC125" i="44" s="1"/>
  <c r="AN125" i="44" s="1"/>
  <c r="R57" i="44"/>
  <c r="V57" i="44" s="1"/>
  <c r="AL57" i="44" s="1"/>
  <c r="R189" i="44"/>
  <c r="T189" i="44" s="1"/>
  <c r="X112" i="44"/>
  <c r="Y112" i="44" s="1"/>
  <c r="AA112" i="44" s="1"/>
  <c r="AB112" i="44" s="1"/>
  <c r="X133" i="44"/>
  <c r="Y133" i="44" s="1"/>
  <c r="AA133" i="44" s="1"/>
  <c r="R62" i="44"/>
  <c r="T62" i="44" s="1"/>
  <c r="X31" i="44"/>
  <c r="Y31" i="44" s="1"/>
  <c r="AA31" i="44" s="1"/>
  <c r="X17" i="44"/>
  <c r="Y17" i="44" s="1"/>
  <c r="AA17" i="44" s="1"/>
  <c r="X149" i="44"/>
  <c r="Y149" i="44" s="1"/>
  <c r="AA149" i="44" s="1"/>
  <c r="AB149" i="44" s="1"/>
  <c r="AC149" i="44" s="1"/>
  <c r="AN149" i="44" s="1"/>
  <c r="AR149" i="44" s="1"/>
  <c r="R129" i="44"/>
  <c r="V129" i="44" s="1"/>
  <c r="AL129" i="44" s="1"/>
  <c r="R179" i="44"/>
  <c r="V179" i="44" s="1"/>
  <c r="AB179" i="44" s="1"/>
  <c r="AC179" i="44" s="1"/>
  <c r="X139" i="44"/>
  <c r="Y139" i="44" s="1"/>
  <c r="AA139" i="44" s="1"/>
  <c r="R101" i="44"/>
  <c r="V101" i="44" s="1"/>
  <c r="AL101" i="44" s="1"/>
  <c r="R206" i="44"/>
  <c r="T206" i="44" s="1"/>
  <c r="X88" i="44"/>
  <c r="Y88" i="44" s="1"/>
  <c r="AA88" i="44" s="1"/>
  <c r="X144" i="44"/>
  <c r="Y144" i="44" s="1"/>
  <c r="AA144" i="44" s="1"/>
  <c r="X188" i="44"/>
  <c r="Y188" i="44" s="1"/>
  <c r="AA188" i="44" s="1"/>
  <c r="AB188" i="44" s="1"/>
  <c r="AC188" i="44" s="1"/>
  <c r="X55" i="44"/>
  <c r="Y55" i="44" s="1"/>
  <c r="AA55" i="44" s="1"/>
  <c r="R180" i="44"/>
  <c r="V180" i="44" s="1"/>
  <c r="AB180" i="44" s="1"/>
  <c r="AC180" i="44" s="1"/>
  <c r="R93" i="44"/>
  <c r="V93" i="44" s="1"/>
  <c r="AL93" i="44" s="1"/>
  <c r="R97" i="44"/>
  <c r="V97" i="44" s="1"/>
  <c r="AB97" i="44" s="1"/>
  <c r="AC97" i="44" s="1"/>
  <c r="AN97" i="44" s="1"/>
  <c r="AR97" i="44" s="1"/>
  <c r="R153" i="44"/>
  <c r="T153" i="44" s="1"/>
  <c r="X84" i="44"/>
  <c r="Y84" i="44" s="1"/>
  <c r="AA84" i="44" s="1"/>
  <c r="R35" i="44"/>
  <c r="T35" i="44" s="1"/>
  <c r="R29" i="44"/>
  <c r="V29" i="44" s="1"/>
  <c r="AB29" i="44" s="1"/>
  <c r="AC29" i="44" s="1"/>
  <c r="AN29" i="44" s="1"/>
  <c r="X77" i="44"/>
  <c r="Y77" i="44" s="1"/>
  <c r="AA77" i="44" s="1"/>
  <c r="AB77" i="44" s="1"/>
  <c r="AC77" i="44" s="1"/>
  <c r="AN77" i="44" s="1"/>
  <c r="AR77" i="44" s="1"/>
  <c r="X13" i="44"/>
  <c r="Y13" i="44" s="1"/>
  <c r="R34" i="44"/>
  <c r="T34" i="44" s="1"/>
  <c r="R99" i="44"/>
  <c r="V99" i="44" s="1"/>
  <c r="AL99" i="44" s="1"/>
  <c r="X210" i="44"/>
  <c r="Y210" i="44" s="1"/>
  <c r="AA210" i="44" s="1"/>
  <c r="AB210" i="44" s="1"/>
  <c r="AC210" i="44" s="1"/>
  <c r="R60" i="44"/>
  <c r="T60" i="44" s="1"/>
  <c r="R30" i="44"/>
  <c r="V30" i="44" s="1"/>
  <c r="AB30" i="44" s="1"/>
  <c r="AC30" i="44" s="1"/>
  <c r="AN30" i="44" s="1"/>
  <c r="AR30" i="44" s="1"/>
  <c r="R41" i="44"/>
  <c r="V41" i="44" s="1"/>
  <c r="AL41" i="44" s="1"/>
  <c r="X203" i="44"/>
  <c r="Y203" i="44" s="1"/>
  <c r="AA203" i="44" s="1"/>
  <c r="R63" i="44"/>
  <c r="V63" i="44" s="1"/>
  <c r="AB63" i="44" s="1"/>
  <c r="X150" i="44"/>
  <c r="Y150" i="44" s="1"/>
  <c r="AA150" i="44" s="1"/>
  <c r="AB150" i="44" s="1"/>
  <c r="AC150" i="44" s="1"/>
  <c r="AN150" i="44" s="1"/>
  <c r="AR150" i="44" s="1"/>
  <c r="R37" i="44"/>
  <c r="V37" i="44" s="1"/>
  <c r="AL37" i="44" s="1"/>
  <c r="R124" i="44"/>
  <c r="T124" i="44" s="1"/>
  <c r="R152" i="44"/>
  <c r="V152" i="44" s="1"/>
  <c r="AL152" i="44" s="1"/>
  <c r="R80" i="44"/>
  <c r="T80" i="44" s="1"/>
  <c r="R194" i="44"/>
  <c r="V194" i="44" s="1"/>
  <c r="AB194" i="44" s="1"/>
  <c r="AC194" i="44" s="1"/>
  <c r="R113" i="44"/>
  <c r="T113" i="44" s="1"/>
  <c r="R44" i="44"/>
  <c r="T44" i="44" s="1"/>
  <c r="R65" i="44"/>
  <c r="V65" i="44" s="1"/>
  <c r="AB65" i="44" s="1"/>
  <c r="AC65" i="44" s="1"/>
  <c r="AN65" i="44" s="1"/>
  <c r="AR65" i="44" s="1"/>
  <c r="R204" i="44"/>
  <c r="T204" i="44" s="1"/>
  <c r="T116" i="44"/>
  <c r="X116" i="44" s="1"/>
  <c r="Y116" i="44" s="1"/>
  <c r="AA116" i="44" s="1"/>
  <c r="R20" i="44"/>
  <c r="V20" i="44" s="1"/>
  <c r="AL20" i="44" s="1"/>
  <c r="R103" i="44"/>
  <c r="V103" i="44" s="1"/>
  <c r="AL103" i="44" s="1"/>
  <c r="X207" i="44"/>
  <c r="Y207" i="44" s="1"/>
  <c r="AA207" i="44" s="1"/>
  <c r="X83" i="44"/>
  <c r="Y83" i="44" s="1"/>
  <c r="AA83" i="44" s="1"/>
  <c r="AB83" i="44" s="1"/>
  <c r="AC83" i="44" s="1"/>
  <c r="AN83" i="44" s="1"/>
  <c r="X131" i="44"/>
  <c r="Y131" i="44" s="1"/>
  <c r="AA131" i="44" s="1"/>
  <c r="AB131" i="44" s="1"/>
  <c r="AC131" i="44" s="1"/>
  <c r="AN131" i="44" s="1"/>
  <c r="X72" i="44"/>
  <c r="Y72" i="44" s="1"/>
  <c r="AA72" i="44" s="1"/>
  <c r="X128" i="44"/>
  <c r="Y128" i="44" s="1"/>
  <c r="AA128" i="44" s="1"/>
  <c r="AB128" i="44" s="1"/>
  <c r="AC128" i="44" s="1"/>
  <c r="AN128" i="44" s="1"/>
  <c r="AR128" i="44" s="1"/>
  <c r="X70" i="44"/>
  <c r="Y70" i="44" s="1"/>
  <c r="AA70" i="44" s="1"/>
  <c r="AB70" i="44" s="1"/>
  <c r="AC70" i="44" s="1"/>
  <c r="AN70" i="44" s="1"/>
  <c r="AR70" i="44" s="1"/>
  <c r="R15" i="42"/>
  <c r="F45" i="26" s="1"/>
  <c r="AG45" i="26" s="1"/>
  <c r="R39" i="44"/>
  <c r="T39" i="44" s="1"/>
  <c r="R18" i="44"/>
  <c r="T18" i="44" s="1"/>
  <c r="X54" i="44"/>
  <c r="Y54" i="44" s="1"/>
  <c r="AA54" i="44" s="1"/>
  <c r="R36" i="44"/>
  <c r="V36" i="44" s="1"/>
  <c r="R147" i="44"/>
  <c r="V147" i="44" s="1"/>
  <c r="AB147" i="44" s="1"/>
  <c r="AC147" i="44" s="1"/>
  <c r="X135" i="44"/>
  <c r="Y135" i="44" s="1"/>
  <c r="AA135" i="44" s="1"/>
  <c r="AB135" i="44" s="1"/>
  <c r="AC135" i="44" s="1"/>
  <c r="AN135" i="44" s="1"/>
  <c r="AR135" i="44" s="1"/>
  <c r="R12" i="44"/>
  <c r="T12" i="44" s="1"/>
  <c r="X185" i="44"/>
  <c r="Y185" i="44" s="1"/>
  <c r="AA185" i="44" s="1"/>
  <c r="AB185" i="44" s="1"/>
  <c r="AC185" i="44" s="1"/>
  <c r="X195" i="44"/>
  <c r="Y195" i="44" s="1"/>
  <c r="AA195" i="44" s="1"/>
  <c r="S164" i="17"/>
  <c r="R100" i="44"/>
  <c r="V100" i="44" s="1"/>
  <c r="AB100" i="44" s="1"/>
  <c r="AC100" i="44" s="1"/>
  <c r="AN100" i="44" s="1"/>
  <c r="X181" i="44"/>
  <c r="Y181" i="44" s="1"/>
  <c r="AA181" i="44" s="1"/>
  <c r="AB181" i="44" s="1"/>
  <c r="AC181" i="44" s="1"/>
  <c r="R33" i="44"/>
  <c r="V33" i="44" s="1"/>
  <c r="AL33" i="44" s="1"/>
  <c r="X199" i="44"/>
  <c r="Y199" i="44" s="1"/>
  <c r="AA199" i="44" s="1"/>
  <c r="X138" i="44"/>
  <c r="Y138" i="44" s="1"/>
  <c r="AA138" i="44" s="1"/>
  <c r="AB138" i="44" s="1"/>
  <c r="AC138" i="44" s="1"/>
  <c r="AN138" i="44" s="1"/>
  <c r="AR138" i="44" s="1"/>
  <c r="X148" i="44"/>
  <c r="Y148" i="44" s="1"/>
  <c r="AA148" i="44" s="1"/>
  <c r="AB148" i="44" s="1"/>
  <c r="AC148" i="44" s="1"/>
  <c r="AN148" i="44" s="1"/>
  <c r="X59" i="44"/>
  <c r="Y59" i="44" s="1"/>
  <c r="AA59" i="44" s="1"/>
  <c r="R126" i="44"/>
  <c r="V126" i="44" s="1"/>
  <c r="AL126" i="44" s="1"/>
  <c r="X193" i="44"/>
  <c r="Y193" i="44" s="1"/>
  <c r="AA193" i="44" s="1"/>
  <c r="R105" i="44"/>
  <c r="V105" i="44" s="1"/>
  <c r="AL105" i="44" s="1"/>
  <c r="R89" i="44"/>
  <c r="T89" i="44" s="1"/>
  <c r="V117" i="44"/>
  <c r="AL117" i="44" s="1"/>
  <c r="X145" i="44"/>
  <c r="Y145" i="44" s="1"/>
  <c r="AA145" i="44" s="1"/>
  <c r="AB145" i="44" s="1"/>
  <c r="AC145" i="44" s="1"/>
  <c r="AN145" i="44" s="1"/>
  <c r="AR145" i="44" s="1"/>
  <c r="R79" i="44"/>
  <c r="T79" i="44" s="1"/>
  <c r="X117" i="44"/>
  <c r="Y117" i="44" s="1"/>
  <c r="AA117" i="44" s="1"/>
  <c r="X140" i="44"/>
  <c r="Y140" i="44" s="1"/>
  <c r="AA140" i="44" s="1"/>
  <c r="R187" i="44"/>
  <c r="V187" i="44" s="1"/>
  <c r="AB187" i="44" s="1"/>
  <c r="AC187" i="44" s="1"/>
  <c r="X82" i="44"/>
  <c r="Y82" i="44" s="1"/>
  <c r="AA82" i="44" s="1"/>
  <c r="X27" i="44"/>
  <c r="Y27" i="44" s="1"/>
  <c r="AA27" i="44" s="1"/>
  <c r="AB27" i="44" s="1"/>
  <c r="AC27" i="44" s="1"/>
  <c r="AN27" i="44" s="1"/>
  <c r="R141" i="44"/>
  <c r="T141" i="44" s="1"/>
  <c r="X32" i="44"/>
  <c r="Y32" i="44" s="1"/>
  <c r="AA32" i="44" s="1"/>
  <c r="R202" i="44"/>
  <c r="T202" i="44" s="1"/>
  <c r="R95" i="44"/>
  <c r="V95" i="44" s="1"/>
  <c r="AB95" i="44" s="1"/>
  <c r="AC95" i="44" s="1"/>
  <c r="AN95" i="44" s="1"/>
  <c r="AR95" i="44" s="1"/>
  <c r="X66" i="44"/>
  <c r="Y66" i="44" s="1"/>
  <c r="AA66" i="44" s="1"/>
  <c r="R46" i="44"/>
  <c r="T46" i="44" s="1"/>
  <c r="Q311" i="17"/>
  <c r="R311" i="17" s="1"/>
  <c r="S311" i="17" s="1"/>
  <c r="R86" i="44"/>
  <c r="T86" i="44" s="1"/>
  <c r="R137" i="44"/>
  <c r="V137" i="44" s="1"/>
  <c r="AB137" i="44" s="1"/>
  <c r="AC137" i="44" s="1"/>
  <c r="AN137" i="44" s="1"/>
  <c r="AR137" i="44" s="1"/>
  <c r="X38" i="44"/>
  <c r="Y38" i="44" s="1"/>
  <c r="AA38" i="44" s="1"/>
  <c r="AB38" i="44" s="1"/>
  <c r="AC38" i="44" s="1"/>
  <c r="AN38" i="44" s="1"/>
  <c r="AR38" i="44" s="1"/>
  <c r="X209" i="44"/>
  <c r="Y209" i="44" s="1"/>
  <c r="AA209" i="44" s="1"/>
  <c r="R197" i="44"/>
  <c r="T197" i="44" s="1"/>
  <c r="X136" i="44"/>
  <c r="Y136" i="44" s="1"/>
  <c r="AA136" i="44" s="1"/>
  <c r="AB136" i="44" s="1"/>
  <c r="AC136" i="44" s="1"/>
  <c r="AN136" i="44" s="1"/>
  <c r="X192" i="44"/>
  <c r="Y192" i="44" s="1"/>
  <c r="AA192" i="44" s="1"/>
  <c r="AB192" i="44" s="1"/>
  <c r="AC192" i="44" s="1"/>
  <c r="X146" i="44"/>
  <c r="Y146" i="44" s="1"/>
  <c r="AA146" i="44" s="1"/>
  <c r="R201" i="44"/>
  <c r="T201" i="44" s="1"/>
  <c r="X64" i="44"/>
  <c r="Y64" i="44" s="1"/>
  <c r="AA64" i="44" s="1"/>
  <c r="AB64" i="44" s="1"/>
  <c r="AC64" i="44" s="1"/>
  <c r="AN64" i="44" s="1"/>
  <c r="AR64" i="44" s="1"/>
  <c r="X90" i="44"/>
  <c r="Y90" i="44" s="1"/>
  <c r="AA90" i="44" s="1"/>
  <c r="X190" i="44"/>
  <c r="Y190" i="44" s="1"/>
  <c r="AA190" i="44" s="1"/>
  <c r="R69" i="44"/>
  <c r="T69" i="44" s="1"/>
  <c r="T130" i="44"/>
  <c r="X40" i="44"/>
  <c r="Y40" i="44" s="1"/>
  <c r="AA40" i="44" s="1"/>
  <c r="X78" i="44"/>
  <c r="Y78" i="44" s="1"/>
  <c r="AA78" i="44" s="1"/>
  <c r="X92" i="44"/>
  <c r="Y92" i="44" s="1"/>
  <c r="AA92" i="44" s="1"/>
  <c r="R58" i="44"/>
  <c r="T58" i="44" s="1"/>
  <c r="R45" i="44"/>
  <c r="T45" i="44" s="1"/>
  <c r="X71" i="44"/>
  <c r="Y71" i="44" s="1"/>
  <c r="AA71" i="44" s="1"/>
  <c r="R198" i="44"/>
  <c r="V198" i="44" s="1"/>
  <c r="AB198" i="44" s="1"/>
  <c r="AC198" i="44" s="1"/>
  <c r="R94" i="44"/>
  <c r="T94" i="44" s="1"/>
  <c r="R104" i="44"/>
  <c r="V104" i="44" s="1"/>
  <c r="AB104" i="44" s="1"/>
  <c r="AC104" i="44" s="1"/>
  <c r="AN104" i="44" s="1"/>
  <c r="AR104" i="44" s="1"/>
  <c r="R151" i="44"/>
  <c r="V151" i="44" s="1"/>
  <c r="AB151" i="44" s="1"/>
  <c r="AC151" i="44" s="1"/>
  <c r="AN151" i="44" s="1"/>
  <c r="AR151" i="44" s="1"/>
  <c r="R53" i="44"/>
  <c r="T53" i="44" s="1"/>
  <c r="R176" i="44"/>
  <c r="V176" i="44" s="1"/>
  <c r="AB176" i="44" s="1"/>
  <c r="AC176" i="44" s="1"/>
  <c r="R16" i="44"/>
  <c r="T16" i="44" s="1"/>
  <c r="X87" i="44"/>
  <c r="Y87" i="44" s="1"/>
  <c r="AA87" i="44" s="1"/>
  <c r="R56" i="44"/>
  <c r="T56" i="44" s="1"/>
  <c r="X14" i="44"/>
  <c r="Y14" i="44" s="1"/>
  <c r="AA14" i="44" s="1"/>
  <c r="X184" i="44"/>
  <c r="Y184" i="44" s="1"/>
  <c r="AA184" i="44" s="1"/>
  <c r="AB184" i="44" s="1"/>
  <c r="AC184" i="44" s="1"/>
  <c r="X19" i="44"/>
  <c r="Y19" i="44" s="1"/>
  <c r="AA19" i="44" s="1"/>
  <c r="R183" i="44"/>
  <c r="T183" i="44" s="1"/>
  <c r="T91" i="44"/>
  <c r="X205" i="44"/>
  <c r="Y205" i="44" s="1"/>
  <c r="AA205" i="44" s="1"/>
  <c r="R43" i="44"/>
  <c r="V43" i="44" s="1"/>
  <c r="AL43" i="44" s="1"/>
  <c r="R85" i="44"/>
  <c r="V85" i="44" s="1"/>
  <c r="AL85" i="44" s="1"/>
  <c r="R96" i="44"/>
  <c r="V96" i="44" s="1"/>
  <c r="R208" i="44"/>
  <c r="V208" i="44" s="1"/>
  <c r="AB208" i="44" s="1"/>
  <c r="AC208" i="44" s="1"/>
  <c r="T145" i="44"/>
  <c r="X191" i="44"/>
  <c r="Y191" i="44" s="1"/>
  <c r="AA191" i="44" s="1"/>
  <c r="AB191" i="44" s="1"/>
  <c r="AC191" i="44" s="1"/>
  <c r="R142" i="44"/>
  <c r="V142" i="44" s="1"/>
  <c r="AB142" i="44" s="1"/>
  <c r="AC142" i="44" s="1"/>
  <c r="AN142" i="44" s="1"/>
  <c r="AR142" i="44" s="1"/>
  <c r="X134" i="44"/>
  <c r="Y134" i="44" s="1"/>
  <c r="AA134" i="44" s="1"/>
  <c r="R182" i="44"/>
  <c r="T182" i="44" s="1"/>
  <c r="X186" i="44"/>
  <c r="Y186" i="44" s="1"/>
  <c r="AA186" i="44" s="1"/>
  <c r="AB186" i="44" s="1"/>
  <c r="AC186" i="44" s="1"/>
  <c r="R42" i="44"/>
  <c r="V42" i="44" s="1"/>
  <c r="AL42" i="44" s="1"/>
  <c r="R75" i="44"/>
  <c r="T75" i="44" s="1"/>
  <c r="M125" i="42"/>
  <c r="X67" i="44"/>
  <c r="Y67" i="44" s="1"/>
  <c r="AA67" i="44" s="1"/>
  <c r="AL131" i="44"/>
  <c r="V127" i="44"/>
  <c r="AL127" i="44" s="1"/>
  <c r="V71" i="44"/>
  <c r="AL83" i="44"/>
  <c r="X76" i="44"/>
  <c r="Y76" i="44" s="1"/>
  <c r="AA76" i="44" s="1"/>
  <c r="AB76" i="44" s="1"/>
  <c r="AC76" i="44" s="1"/>
  <c r="AN76" i="44" s="1"/>
  <c r="AR76" i="44" s="1"/>
  <c r="T83" i="44"/>
  <c r="T128" i="44"/>
  <c r="T214" i="44"/>
  <c r="V17" i="44"/>
  <c r="V203" i="44"/>
  <c r="T77" i="44"/>
  <c r="T61" i="44"/>
  <c r="AR67" i="43"/>
  <c r="AN173" i="43"/>
  <c r="AR173" i="43" s="1"/>
  <c r="T210" i="44"/>
  <c r="T38" i="44"/>
  <c r="AR95" i="43"/>
  <c r="AL89" i="43"/>
  <c r="AB89" i="43"/>
  <c r="AC89" i="43" s="1"/>
  <c r="AN89" i="43" s="1"/>
  <c r="AR89" i="43" s="1"/>
  <c r="AB184" i="43"/>
  <c r="AC184" i="43" s="1"/>
  <c r="AN183" i="43"/>
  <c r="AR183" i="43" s="1"/>
  <c r="AL110" i="43"/>
  <c r="AL160" i="43"/>
  <c r="AL91" i="43"/>
  <c r="AB91" i="43"/>
  <c r="AC91" i="43" s="1"/>
  <c r="AN91" i="43" s="1"/>
  <c r="AR91" i="43" s="1"/>
  <c r="S87" i="17"/>
  <c r="AB53" i="43"/>
  <c r="AP53" i="43" s="1"/>
  <c r="AL126" i="43"/>
  <c r="AB126" i="43"/>
  <c r="AC126" i="43" s="1"/>
  <c r="AN126" i="43" s="1"/>
  <c r="AR126" i="43" s="1"/>
  <c r="AL27" i="43"/>
  <c r="AB27" i="43"/>
  <c r="AC27" i="43" s="1"/>
  <c r="AN27" i="43" s="1"/>
  <c r="AR27" i="43" s="1"/>
  <c r="P191" i="43"/>
  <c r="AB72" i="43"/>
  <c r="AL72" i="43"/>
  <c r="AN93" i="43"/>
  <c r="AR93" i="43" s="1"/>
  <c r="AB70" i="43"/>
  <c r="AC70" i="43" s="1"/>
  <c r="AR70" i="43" s="1"/>
  <c r="AL70" i="43"/>
  <c r="AB85" i="43"/>
  <c r="AC85" i="43" s="1"/>
  <c r="AL132" i="43"/>
  <c r="AC106" i="43"/>
  <c r="AR106" i="43" s="1"/>
  <c r="AN138" i="43"/>
  <c r="AR138" i="43"/>
  <c r="V133" i="44"/>
  <c r="AL133" i="44" s="1"/>
  <c r="AB108" i="43"/>
  <c r="AC108" i="43" s="1"/>
  <c r="AR108" i="43" s="1"/>
  <c r="AL99" i="43"/>
  <c r="AB99" i="43"/>
  <c r="AC99" i="43" s="1"/>
  <c r="AR99" i="43" s="1"/>
  <c r="T150" i="44"/>
  <c r="AL87" i="43"/>
  <c r="AB87" i="43"/>
  <c r="AC87" i="43" s="1"/>
  <c r="AN87" i="43" s="1"/>
  <c r="AR87" i="43" s="1"/>
  <c r="AL158" i="43"/>
  <c r="AB158" i="43"/>
  <c r="AC158" i="43" s="1"/>
  <c r="AN158" i="43" s="1"/>
  <c r="AR158" i="43" s="1"/>
  <c r="AL83" i="43"/>
  <c r="AB83" i="43"/>
  <c r="AL124" i="43"/>
  <c r="AB124" i="43"/>
  <c r="AC124" i="43" s="1"/>
  <c r="AB133" i="43"/>
  <c r="AC133" i="43" s="1"/>
  <c r="AN133" i="43" s="1"/>
  <c r="AR133" i="43" s="1"/>
  <c r="AL97" i="43"/>
  <c r="AB97" i="43"/>
  <c r="AC97" i="43" s="1"/>
  <c r="AN97" i="43" s="1"/>
  <c r="AR97" i="43" s="1"/>
  <c r="AB40" i="43"/>
  <c r="AC40" i="43" s="1"/>
  <c r="AN40" i="43" s="1"/>
  <c r="AR40" i="43" s="1"/>
  <c r="AL130" i="43"/>
  <c r="AB130" i="43"/>
  <c r="AC130" i="43" s="1"/>
  <c r="AL23" i="43"/>
  <c r="AL52" i="43"/>
  <c r="AB52" i="43"/>
  <c r="AC52" i="43" s="1"/>
  <c r="AB35" i="43"/>
  <c r="AC35" i="43" s="1"/>
  <c r="AB96" i="43"/>
  <c r="AC96" i="43" s="1"/>
  <c r="AN96" i="43" s="1"/>
  <c r="AR96" i="43" s="1"/>
  <c r="AL96" i="43"/>
  <c r="T102" i="43"/>
  <c r="V102" i="43"/>
  <c r="AL102" i="43" s="1"/>
  <c r="AL64" i="43"/>
  <c r="AB64" i="43"/>
  <c r="AA145" i="43"/>
  <c r="AL69" i="43"/>
  <c r="AB69" i="43"/>
  <c r="AB92" i="43"/>
  <c r="AC92" i="43" s="1"/>
  <c r="AA114" i="43"/>
  <c r="V145" i="43"/>
  <c r="AL61" i="43"/>
  <c r="AB61" i="43"/>
  <c r="AC61" i="43" s="1"/>
  <c r="AN61" i="43" s="1"/>
  <c r="AR61" i="43" s="1"/>
  <c r="AL36" i="43"/>
  <c r="AB36" i="43"/>
  <c r="AC36" i="43" s="1"/>
  <c r="T22" i="43"/>
  <c r="V22" i="43"/>
  <c r="AL22" i="43" s="1"/>
  <c r="AB60" i="43"/>
  <c r="AC60" i="43" s="1"/>
  <c r="E195" i="43"/>
  <c r="V68" i="43"/>
  <c r="AL68" i="43" s="1"/>
  <c r="T68" i="43"/>
  <c r="AL60" i="43"/>
  <c r="AL119" i="43"/>
  <c r="AB143" i="43"/>
  <c r="AC143" i="43" s="1"/>
  <c r="AR143" i="43" s="1"/>
  <c r="N210" i="17"/>
  <c r="O210" i="17" s="1"/>
  <c r="P210" i="17" s="1"/>
  <c r="Q210" i="17" s="1"/>
  <c r="R210" i="17" s="1"/>
  <c r="S210" i="17" s="1"/>
  <c r="L150" i="17"/>
  <c r="N234" i="17"/>
  <c r="O234" i="17" s="1"/>
  <c r="P234" i="17" s="1"/>
  <c r="Q234" i="17" s="1"/>
  <c r="R234" i="17" s="1"/>
  <c r="S234" i="17" s="1"/>
  <c r="M112" i="17"/>
  <c r="N112" i="17" s="1"/>
  <c r="N231" i="17"/>
  <c r="O231" i="17" s="1"/>
  <c r="P231" i="17" s="1"/>
  <c r="Q231" i="17" s="1"/>
  <c r="R231" i="17" s="1"/>
  <c r="S231" i="17" s="1"/>
  <c r="V14" i="44"/>
  <c r="AL14" i="44" s="1"/>
  <c r="V90" i="44"/>
  <c r="V13" i="44"/>
  <c r="AL13" i="44" s="1"/>
  <c r="V82" i="44"/>
  <c r="AL82" i="44" s="1"/>
  <c r="AL27" i="44"/>
  <c r="AL64" i="44"/>
  <c r="S165" i="42"/>
  <c r="L124" i="17"/>
  <c r="B12" i="26" s="1"/>
  <c r="AC12" i="26" s="1"/>
  <c r="M239" i="17"/>
  <c r="N239" i="17" s="1"/>
  <c r="O239" i="17" s="1"/>
  <c r="P239" i="17" s="1"/>
  <c r="Q239" i="17" s="1"/>
  <c r="R239" i="17" s="1"/>
  <c r="S239" i="17" s="1"/>
  <c r="V32" i="44"/>
  <c r="AJ119" i="44"/>
  <c r="V195" i="44"/>
  <c r="T112" i="44"/>
  <c r="V66" i="44"/>
  <c r="AL66" i="44" s="1"/>
  <c r="T191" i="44"/>
  <c r="V134" i="44"/>
  <c r="AL134" i="44" s="1"/>
  <c r="AL130" i="44"/>
  <c r="T136" i="44"/>
  <c r="T149" i="44"/>
  <c r="T27" i="44"/>
  <c r="AL136" i="44"/>
  <c r="V92" i="44"/>
  <c r="AL92" i="44" s="1"/>
  <c r="T181" i="44"/>
  <c r="AL38" i="44"/>
  <c r="V31" i="44"/>
  <c r="AL31" i="44" s="1"/>
  <c r="T186" i="44"/>
  <c r="T185" i="44"/>
  <c r="V88" i="44"/>
  <c r="V140" i="44"/>
  <c r="V84" i="44"/>
  <c r="AL84" i="44" s="1"/>
  <c r="AL76" i="44"/>
  <c r="V199" i="44"/>
  <c r="T76" i="44"/>
  <c r="V56" i="43"/>
  <c r="T56" i="43"/>
  <c r="AL50" i="43"/>
  <c r="AB50" i="43"/>
  <c r="AC50" i="43" s="1"/>
  <c r="AR55" i="43"/>
  <c r="AC58" i="43"/>
  <c r="V54" i="44"/>
  <c r="AL54" i="44" s="1"/>
  <c r="V40" i="44"/>
  <c r="AL40" i="44" s="1"/>
  <c r="T64" i="44"/>
  <c r="T138" i="44"/>
  <c r="AL48" i="43"/>
  <c r="AL31" i="43"/>
  <c r="AB31" i="43"/>
  <c r="AC31" i="43" s="1"/>
  <c r="AN31" i="43" s="1"/>
  <c r="AR31" i="43" s="1"/>
  <c r="N26" i="17"/>
  <c r="O26" i="17" s="1"/>
  <c r="S26" i="17"/>
  <c r="V207" i="44"/>
  <c r="AL17" i="43"/>
  <c r="AB17" i="43"/>
  <c r="AC17" i="43" s="1"/>
  <c r="AN17" i="43" s="1"/>
  <c r="AR17" i="43" s="1"/>
  <c r="AL177" i="43"/>
  <c r="AB177" i="43"/>
  <c r="AC177" i="43" s="1"/>
  <c r="AN177" i="43" s="1"/>
  <c r="AR177" i="43" s="1"/>
  <c r="V87" i="44"/>
  <c r="AL87" i="44" s="1"/>
  <c r="V205" i="44"/>
  <c r="AL24" i="43"/>
  <c r="AB24" i="43"/>
  <c r="AC24" i="43" s="1"/>
  <c r="S295" i="17"/>
  <c r="P57" i="42"/>
  <c r="P103" i="42" s="1"/>
  <c r="P166" i="42"/>
  <c r="O85" i="17"/>
  <c r="V78" i="44"/>
  <c r="V190" i="44"/>
  <c r="T196" i="44"/>
  <c r="V193" i="44"/>
  <c r="V72" i="44"/>
  <c r="AL72" i="44" s="1"/>
  <c r="T184" i="44"/>
  <c r="T188" i="44"/>
  <c r="AJ155" i="44"/>
  <c r="V73" i="44"/>
  <c r="AL73" i="44" s="1"/>
  <c r="AB130" i="44"/>
  <c r="AC130" i="44" s="1"/>
  <c r="AN130" i="44" s="1"/>
  <c r="AR130" i="44" s="1"/>
  <c r="V144" i="44"/>
  <c r="AL144" i="44" s="1"/>
  <c r="B18" i="26"/>
  <c r="AC18" i="26" s="1"/>
  <c r="T135" i="44"/>
  <c r="AL132" i="44"/>
  <c r="T132" i="44"/>
  <c r="S324" i="17"/>
  <c r="T131" i="44"/>
  <c r="T148" i="44"/>
  <c r="T70" i="44"/>
  <c r="AL148" i="44"/>
  <c r="T192" i="44"/>
  <c r="V67" i="44"/>
  <c r="T67" i="44"/>
  <c r="T15" i="44"/>
  <c r="V15" i="44"/>
  <c r="AP22" i="44"/>
  <c r="T146" i="44"/>
  <c r="V146" i="44"/>
  <c r="V19" i="44"/>
  <c r="T19" i="44"/>
  <c r="AJ48" i="44"/>
  <c r="V139" i="44"/>
  <c r="T139" i="44"/>
  <c r="V209" i="44"/>
  <c r="T209" i="44"/>
  <c r="AJ107" i="44"/>
  <c r="AL91" i="44"/>
  <c r="AP48" i="44"/>
  <c r="AJ22" i="44"/>
  <c r="AP155" i="44"/>
  <c r="P217" i="17"/>
  <c r="Q217" i="17" s="1"/>
  <c r="R217" i="17" s="1"/>
  <c r="S217" i="17" s="1"/>
  <c r="T59" i="44"/>
  <c r="V59" i="44"/>
  <c r="AL128" i="44"/>
  <c r="AL112" i="44"/>
  <c r="AL138" i="44"/>
  <c r="AL150" i="44"/>
  <c r="AL77" i="44"/>
  <c r="AL149" i="44"/>
  <c r="AA126" i="44"/>
  <c r="P110" i="42"/>
  <c r="M103" i="42"/>
  <c r="B39" i="26" s="1"/>
  <c r="AC39" i="26" s="1"/>
  <c r="AA44" i="44"/>
  <c r="AN14" i="43"/>
  <c r="AR14" i="43"/>
  <c r="AN35" i="43"/>
  <c r="AR35" i="43"/>
  <c r="N174" i="17"/>
  <c r="M131" i="17"/>
  <c r="P227" i="17"/>
  <c r="O223" i="17"/>
  <c r="P223" i="17" s="1"/>
  <c r="Q223" i="17" s="1"/>
  <c r="R223" i="17" s="1"/>
  <c r="S223" i="17" s="1"/>
  <c r="T162" i="43"/>
  <c r="X162" i="43" s="1"/>
  <c r="Y162" i="43" s="1"/>
  <c r="AA162" i="43" s="1"/>
  <c r="R164" i="43"/>
  <c r="R191" i="43" s="1"/>
  <c r="V162" i="43"/>
  <c r="AL162" i="43" s="1"/>
  <c r="AL164" i="43" s="1"/>
  <c r="N130" i="17"/>
  <c r="O130" i="17" s="1"/>
  <c r="S130" i="17"/>
  <c r="AL33" i="43"/>
  <c r="AB33" i="43"/>
  <c r="AC33" i="43" s="1"/>
  <c r="AC127" i="43"/>
  <c r="AP185" i="43"/>
  <c r="AP187" i="43" s="1"/>
  <c r="O306" i="17"/>
  <c r="P306" i="17" s="1"/>
  <c r="Q306" i="17" s="1"/>
  <c r="M260" i="17"/>
  <c r="N260" i="17" s="1"/>
  <c r="O260" i="17" s="1"/>
  <c r="P260" i="17" s="1"/>
  <c r="Q321" i="17"/>
  <c r="R321" i="17" s="1"/>
  <c r="S321" i="17" s="1"/>
  <c r="S16" i="17"/>
  <c r="AR58" i="43"/>
  <c r="N238" i="17"/>
  <c r="Q164" i="43"/>
  <c r="T185" i="43"/>
  <c r="X185" i="43" s="1"/>
  <c r="Y185" i="43" s="1"/>
  <c r="AA185" i="43" s="1"/>
  <c r="V185" i="43"/>
  <c r="AL185" i="43" s="1"/>
  <c r="N175" i="17"/>
  <c r="O175" i="17" s="1"/>
  <c r="S175" i="17"/>
  <c r="Q307" i="17"/>
  <c r="R307" i="17" s="1"/>
  <c r="S307" i="17" s="1"/>
  <c r="S129" i="17"/>
  <c r="N259" i="17"/>
  <c r="O259" i="17" s="1"/>
  <c r="P259" i="17" s="1"/>
  <c r="Q259" i="17"/>
  <c r="R259" i="17" s="1"/>
  <c r="S259" i="17" s="1"/>
  <c r="S133" i="17"/>
  <c r="AN47" i="43"/>
  <c r="AR47" i="43" s="1"/>
  <c r="AJ164" i="43"/>
  <c r="AJ191" i="43" s="1"/>
  <c r="AP162" i="43"/>
  <c r="AP164" i="43" s="1"/>
  <c r="Q266" i="17"/>
  <c r="R266" i="17" s="1"/>
  <c r="S266" i="17" s="1"/>
  <c r="N162" i="17"/>
  <c r="S162" i="17"/>
  <c r="AN45" i="43"/>
  <c r="AR45" i="43" s="1"/>
  <c r="AN18" i="43"/>
  <c r="AR18" i="43" s="1"/>
  <c r="Q187" i="43"/>
  <c r="R306" i="17"/>
  <c r="AR156" i="43"/>
  <c r="AN19" i="43"/>
  <c r="AR19" i="43" s="1"/>
  <c r="AL180" i="43"/>
  <c r="AL187" i="43" s="1"/>
  <c r="AB180" i="43"/>
  <c r="V187" i="43"/>
  <c r="O265" i="17"/>
  <c r="P265" i="17" s="1"/>
  <c r="Q265" i="17" s="1"/>
  <c r="R265" i="17" s="1"/>
  <c r="S265" i="17" s="1"/>
  <c r="S90" i="17"/>
  <c r="AB16" i="43"/>
  <c r="AC16" i="43" s="1"/>
  <c r="S86" i="17"/>
  <c r="AN169" i="43"/>
  <c r="AR169" i="43" s="1"/>
  <c r="Q224" i="17"/>
  <c r="R224" i="17" s="1"/>
  <c r="S224" i="17" s="1"/>
  <c r="Q300" i="17"/>
  <c r="R300" i="17" s="1"/>
  <c r="S300" i="17" s="1"/>
  <c r="N184" i="17"/>
  <c r="O184" i="17" s="1"/>
  <c r="S184" i="17"/>
  <c r="R214" i="17"/>
  <c r="S214" i="17" s="1"/>
  <c r="R299" i="17" l="1"/>
  <c r="S163" i="17"/>
  <c r="M168" i="17"/>
  <c r="N168" i="17" s="1"/>
  <c r="R168" i="17"/>
  <c r="M150" i="17"/>
  <c r="N150" i="17" s="1"/>
  <c r="O150" i="17" s="1"/>
  <c r="R150" i="17"/>
  <c r="R29" i="17"/>
  <c r="S29" i="17" s="1"/>
  <c r="R96" i="17"/>
  <c r="S96" i="17" s="1"/>
  <c r="S20" i="17"/>
  <c r="S27" i="17"/>
  <c r="S31" i="17"/>
  <c r="T85" i="42"/>
  <c r="T112" i="42"/>
  <c r="T63" i="42"/>
  <c r="P168" i="17"/>
  <c r="P170" i="17" s="1"/>
  <c r="E16" i="26" s="1"/>
  <c r="AF16" i="26" s="1"/>
  <c r="Q168" i="17"/>
  <c r="P150" i="17"/>
  <c r="P112" i="17"/>
  <c r="Q112" i="17"/>
  <c r="S94" i="17"/>
  <c r="S88" i="17"/>
  <c r="S24" i="17"/>
  <c r="AC112" i="44"/>
  <c r="AP112" i="44"/>
  <c r="AC63" i="44"/>
  <c r="AN63" i="44" s="1"/>
  <c r="AP63" i="44"/>
  <c r="AR100" i="44"/>
  <c r="S98" i="17"/>
  <c r="AR91" i="44"/>
  <c r="Q103" i="42"/>
  <c r="AP100" i="44"/>
  <c r="S14" i="17"/>
  <c r="M170" i="17"/>
  <c r="D16" i="26" s="1"/>
  <c r="AE16" i="26" s="1"/>
  <c r="L170" i="17"/>
  <c r="Q196" i="17"/>
  <c r="F18" i="26" s="1"/>
  <c r="AG18" i="26" s="1"/>
  <c r="O128" i="17"/>
  <c r="O174" i="17"/>
  <c r="O196" i="17" s="1"/>
  <c r="N196" i="17"/>
  <c r="L154" i="17"/>
  <c r="S128" i="17"/>
  <c r="AP71" i="43"/>
  <c r="AC71" i="43"/>
  <c r="M161" i="42"/>
  <c r="AP59" i="43"/>
  <c r="AC59" i="43"/>
  <c r="AR59" i="43" s="1"/>
  <c r="AC53" i="43"/>
  <c r="AR53" i="43" s="1"/>
  <c r="AP62" i="43"/>
  <c r="AC62" i="43"/>
  <c r="AR62" i="43" s="1"/>
  <c r="AB22" i="43"/>
  <c r="AC22" i="43" s="1"/>
  <c r="AN22" i="43" s="1"/>
  <c r="AR22" i="43" s="1"/>
  <c r="AN32" i="43"/>
  <c r="AR32" i="43"/>
  <c r="V114" i="43"/>
  <c r="O168" i="17"/>
  <c r="O112" i="17"/>
  <c r="O124" i="17" s="1"/>
  <c r="P124" i="17"/>
  <c r="AB28" i="44"/>
  <c r="AC28" i="44" s="1"/>
  <c r="AN28" i="44" s="1"/>
  <c r="AR28" i="44" s="1"/>
  <c r="F41" i="26"/>
  <c r="AG41" i="26" s="1"/>
  <c r="O161" i="42"/>
  <c r="R25" i="42"/>
  <c r="F47" i="26" s="1"/>
  <c r="AG47" i="26" s="1"/>
  <c r="AG23" i="26"/>
  <c r="F35" i="26"/>
  <c r="AC35" i="26"/>
  <c r="AC36" i="26" s="1"/>
  <c r="AD18" i="26"/>
  <c r="C23" i="26"/>
  <c r="C35" i="26" s="1"/>
  <c r="AE23" i="26"/>
  <c r="AD39" i="26"/>
  <c r="B36" i="26"/>
  <c r="AD27" i="26"/>
  <c r="AB68" i="44"/>
  <c r="AC68" i="44" s="1"/>
  <c r="AN68" i="44" s="1"/>
  <c r="AR68" i="44" s="1"/>
  <c r="T68" i="44"/>
  <c r="S153" i="42"/>
  <c r="G41" i="26" s="1"/>
  <c r="AH41" i="26" s="1"/>
  <c r="T28" i="44"/>
  <c r="Q453" i="39"/>
  <c r="G29" i="26" s="1"/>
  <c r="AH29" i="26" s="1"/>
  <c r="Q333" i="39"/>
  <c r="G25" i="26" s="1"/>
  <c r="AH25" i="26" s="1"/>
  <c r="AL65" i="44"/>
  <c r="Q337" i="39"/>
  <c r="Q411" i="39" s="1"/>
  <c r="G27" i="26" s="1"/>
  <c r="AH27" i="26" s="1"/>
  <c r="AL81" i="44"/>
  <c r="M124" i="17"/>
  <c r="D12" i="26" s="1"/>
  <c r="P125" i="42"/>
  <c r="P161" i="42" s="1"/>
  <c r="AB88" i="44"/>
  <c r="AC88" i="44" s="1"/>
  <c r="AN88" i="44" s="1"/>
  <c r="AR88" i="44" s="1"/>
  <c r="T81" i="44"/>
  <c r="N124" i="17"/>
  <c r="V102" i="44"/>
  <c r="AL102" i="44" s="1"/>
  <c r="P513" i="39"/>
  <c r="AB93" i="44"/>
  <c r="AC93" i="44" s="1"/>
  <c r="AN93" i="44" s="1"/>
  <c r="AR93" i="44" s="1"/>
  <c r="S159" i="42"/>
  <c r="G49" i="26" s="1"/>
  <c r="AH49" i="26" s="1"/>
  <c r="Q511" i="39"/>
  <c r="T50" i="42"/>
  <c r="H43" i="26" s="1"/>
  <c r="AI43" i="26" s="1"/>
  <c r="S50" i="42"/>
  <c r="G43" i="26" s="1"/>
  <c r="AH43" i="26" s="1"/>
  <c r="E41" i="26"/>
  <c r="AF41" i="26" s="1"/>
  <c r="T137" i="44"/>
  <c r="T98" i="44"/>
  <c r="AB98" i="44"/>
  <c r="AC98" i="44" s="1"/>
  <c r="AN98" i="44" s="1"/>
  <c r="AR98" i="44" s="1"/>
  <c r="V143" i="44"/>
  <c r="AB143" i="44" s="1"/>
  <c r="AC143" i="44" s="1"/>
  <c r="AN143" i="44" s="1"/>
  <c r="AR143" i="44" s="1"/>
  <c r="AB101" i="44"/>
  <c r="AC101" i="44" s="1"/>
  <c r="AN101" i="44" s="1"/>
  <c r="V200" i="44"/>
  <c r="AB200" i="44" s="1"/>
  <c r="AC200" i="44" s="1"/>
  <c r="V74" i="44"/>
  <c r="AB74" i="44" s="1"/>
  <c r="AC74" i="44" s="1"/>
  <c r="AN74" i="44" s="1"/>
  <c r="AR74" i="44" s="1"/>
  <c r="AB37" i="44"/>
  <c r="AC37" i="44" s="1"/>
  <c r="AN37" i="44" s="1"/>
  <c r="AR37" i="44" s="1"/>
  <c r="T93" i="44"/>
  <c r="S299" i="17"/>
  <c r="O162" i="17"/>
  <c r="N170" i="17"/>
  <c r="AL142" i="44"/>
  <c r="D37" i="26"/>
  <c r="T125" i="44"/>
  <c r="AL125" i="44"/>
  <c r="V114" i="44"/>
  <c r="AL114" i="44" s="1"/>
  <c r="T126" i="44"/>
  <c r="T97" i="44"/>
  <c r="AL137" i="44"/>
  <c r="AL97" i="44"/>
  <c r="AB99" i="44"/>
  <c r="T37" i="44"/>
  <c r="V58" i="44"/>
  <c r="AL58" i="44" s="1"/>
  <c r="AB115" i="44"/>
  <c r="AC115" i="44" s="1"/>
  <c r="T101" i="44"/>
  <c r="T99" i="44"/>
  <c r="V141" i="44"/>
  <c r="AB141" i="44" s="1"/>
  <c r="AC141" i="44" s="1"/>
  <c r="AN141" i="44" s="1"/>
  <c r="AR141" i="44" s="1"/>
  <c r="AB57" i="44"/>
  <c r="AC57" i="44" s="1"/>
  <c r="AN57" i="44" s="1"/>
  <c r="AR57" i="44" s="1"/>
  <c r="AB129" i="44"/>
  <c r="AC129" i="44" s="1"/>
  <c r="AN129" i="44" s="1"/>
  <c r="V206" i="44"/>
  <c r="AB206" i="44" s="1"/>
  <c r="AC206" i="44" s="1"/>
  <c r="AL63" i="44"/>
  <c r="T180" i="44"/>
  <c r="V189" i="44"/>
  <c r="AB189" i="44" s="1"/>
  <c r="AC189" i="44" s="1"/>
  <c r="AB105" i="44"/>
  <c r="AC105" i="44" s="1"/>
  <c r="AN105" i="44" s="1"/>
  <c r="AR105" i="44" s="1"/>
  <c r="T63" i="44"/>
  <c r="T179" i="44"/>
  <c r="T33" i="44"/>
  <c r="V62" i="44"/>
  <c r="AL62" i="44" s="1"/>
  <c r="T57" i="44"/>
  <c r="V34" i="44"/>
  <c r="AL34" i="44" s="1"/>
  <c r="T129" i="44"/>
  <c r="AB117" i="44"/>
  <c r="AC117" i="44" s="1"/>
  <c r="AR117" i="44" s="1"/>
  <c r="T29" i="44"/>
  <c r="AB17" i="44"/>
  <c r="AC17" i="44" s="1"/>
  <c r="AN17" i="44" s="1"/>
  <c r="AR17" i="44" s="1"/>
  <c r="V18" i="44"/>
  <c r="AB18" i="44" s="1"/>
  <c r="AC18" i="44" s="1"/>
  <c r="AN18" i="44" s="1"/>
  <c r="AR18" i="44" s="1"/>
  <c r="AB207" i="44"/>
  <c r="AC207" i="44" s="1"/>
  <c r="AL29" i="44"/>
  <c r="T194" i="44"/>
  <c r="AB41" i="44"/>
  <c r="AC41" i="44" s="1"/>
  <c r="AN41" i="44" s="1"/>
  <c r="AR41" i="44" s="1"/>
  <c r="T176" i="44"/>
  <c r="V204" i="44"/>
  <c r="AB204" i="44" s="1"/>
  <c r="AC204" i="44" s="1"/>
  <c r="V35" i="44"/>
  <c r="AL35" i="44" s="1"/>
  <c r="AL30" i="44"/>
  <c r="V153" i="44"/>
  <c r="AB153" i="44" s="1"/>
  <c r="AC153" i="44" s="1"/>
  <c r="V60" i="44"/>
  <c r="AL60" i="44" s="1"/>
  <c r="V39" i="44"/>
  <c r="AL39" i="44" s="1"/>
  <c r="AB205" i="44"/>
  <c r="AC205" i="44" s="1"/>
  <c r="T30" i="44"/>
  <c r="AB103" i="44"/>
  <c r="AC103" i="44" s="1"/>
  <c r="AN103" i="44" s="1"/>
  <c r="AR103" i="44" s="1"/>
  <c r="T103" i="44"/>
  <c r="AB199" i="44"/>
  <c r="AC199" i="44" s="1"/>
  <c r="AB140" i="44"/>
  <c r="AC140" i="44" s="1"/>
  <c r="AN140" i="44" s="1"/>
  <c r="AR140" i="44" s="1"/>
  <c r="T41" i="44"/>
  <c r="T119" i="44"/>
  <c r="AB193" i="44"/>
  <c r="AC193" i="44" s="1"/>
  <c r="T100" i="44"/>
  <c r="AB203" i="44"/>
  <c r="AC203" i="44" s="1"/>
  <c r="T187" i="44"/>
  <c r="AL100" i="44"/>
  <c r="R119" i="44"/>
  <c r="V113" i="44"/>
  <c r="AB113" i="44" s="1"/>
  <c r="V80" i="44"/>
  <c r="AL80" i="44" s="1"/>
  <c r="V44" i="44"/>
  <c r="AL44" i="44" s="1"/>
  <c r="AB152" i="44"/>
  <c r="AC152" i="44" s="1"/>
  <c r="AN152" i="44" s="1"/>
  <c r="AR152" i="44" s="1"/>
  <c r="T105" i="44"/>
  <c r="T65" i="44"/>
  <c r="T152" i="44"/>
  <c r="V124" i="44"/>
  <c r="AB124" i="44" s="1"/>
  <c r="AC124" i="44" s="1"/>
  <c r="AN124" i="44" s="1"/>
  <c r="AR124" i="44" s="1"/>
  <c r="AB20" i="44"/>
  <c r="AC20" i="44" s="1"/>
  <c r="AN20" i="44" s="1"/>
  <c r="AR20" i="44" s="1"/>
  <c r="S15" i="42"/>
  <c r="G45" i="26" s="1"/>
  <c r="AH45" i="26" s="1"/>
  <c r="V79" i="44"/>
  <c r="AB79" i="44" s="1"/>
  <c r="AC79" i="44" s="1"/>
  <c r="AN79" i="44" s="1"/>
  <c r="AR79" i="44" s="1"/>
  <c r="T20" i="44"/>
  <c r="R22" i="44"/>
  <c r="AL147" i="44"/>
  <c r="T147" i="44"/>
  <c r="AB33" i="44"/>
  <c r="AC33" i="44" s="1"/>
  <c r="AN33" i="44" s="1"/>
  <c r="AR33" i="44" s="1"/>
  <c r="T36" i="44"/>
  <c r="AB78" i="44"/>
  <c r="AC78" i="44" s="1"/>
  <c r="AN78" i="44" s="1"/>
  <c r="AR78" i="44" s="1"/>
  <c r="V75" i="44"/>
  <c r="AB75" i="44" s="1"/>
  <c r="AC75" i="44" s="1"/>
  <c r="AN75" i="44" s="1"/>
  <c r="V12" i="44"/>
  <c r="AL12" i="44" s="1"/>
  <c r="X119" i="44"/>
  <c r="AB90" i="44"/>
  <c r="AC90" i="44" s="1"/>
  <c r="AN90" i="44" s="1"/>
  <c r="AR90" i="44" s="1"/>
  <c r="AB195" i="44"/>
  <c r="AC195" i="44" s="1"/>
  <c r="Y119" i="44"/>
  <c r="AB32" i="44"/>
  <c r="AC32" i="44" s="1"/>
  <c r="AN32" i="44" s="1"/>
  <c r="AR32" i="44" s="1"/>
  <c r="X155" i="44"/>
  <c r="T142" i="44"/>
  <c r="V201" i="44"/>
  <c r="AB201" i="44" s="1"/>
  <c r="AC201" i="44" s="1"/>
  <c r="V86" i="44"/>
  <c r="AB86" i="44" s="1"/>
  <c r="AC86" i="44" s="1"/>
  <c r="AN86" i="44" s="1"/>
  <c r="AR86" i="44" s="1"/>
  <c r="V53" i="44"/>
  <c r="AL53" i="44" s="1"/>
  <c r="V89" i="44"/>
  <c r="AB89" i="44" s="1"/>
  <c r="AC89" i="44" s="1"/>
  <c r="AN89" i="44" s="1"/>
  <c r="AR89" i="44" s="1"/>
  <c r="AL151" i="44"/>
  <c r="V183" i="44"/>
  <c r="AB183" i="44" s="1"/>
  <c r="AC183" i="44" s="1"/>
  <c r="V202" i="44"/>
  <c r="AB202" i="44" s="1"/>
  <c r="AC202" i="44" s="1"/>
  <c r="AL95" i="44"/>
  <c r="R155" i="44"/>
  <c r="AB71" i="44"/>
  <c r="AC71" i="44" s="1"/>
  <c r="AN71" i="44" s="1"/>
  <c r="AR71" i="44" s="1"/>
  <c r="Y48" i="44"/>
  <c r="X48" i="44"/>
  <c r="AB209" i="44"/>
  <c r="AC209" i="44" s="1"/>
  <c r="T198" i="44"/>
  <c r="V197" i="44"/>
  <c r="AB197" i="44" s="1"/>
  <c r="AC197" i="44" s="1"/>
  <c r="V69" i="44"/>
  <c r="AL69" i="44" s="1"/>
  <c r="V46" i="44"/>
  <c r="AB46" i="44" s="1"/>
  <c r="AC46" i="44" s="1"/>
  <c r="AN46" i="44" s="1"/>
  <c r="AR46" i="44" s="1"/>
  <c r="T95" i="44"/>
  <c r="T96" i="44"/>
  <c r="T43" i="44"/>
  <c r="AB190" i="44"/>
  <c r="AC190" i="44" s="1"/>
  <c r="T151" i="44"/>
  <c r="V56" i="44"/>
  <c r="AB56" i="44" s="1"/>
  <c r="AC56" i="44" s="1"/>
  <c r="AN56" i="44" s="1"/>
  <c r="AR56" i="44" s="1"/>
  <c r="T104" i="44"/>
  <c r="Y155" i="44"/>
  <c r="AL104" i="44"/>
  <c r="V94" i="44"/>
  <c r="AB94" i="44" s="1"/>
  <c r="AC94" i="44" s="1"/>
  <c r="AN94" i="44" s="1"/>
  <c r="V45" i="44"/>
  <c r="AB45" i="44" s="1"/>
  <c r="AC45" i="44" s="1"/>
  <c r="AN45" i="44" s="1"/>
  <c r="AR45" i="44" s="1"/>
  <c r="AL71" i="44"/>
  <c r="AB133" i="44"/>
  <c r="AC133" i="44" s="1"/>
  <c r="AN133" i="44" s="1"/>
  <c r="AR133" i="44" s="1"/>
  <c r="V16" i="44"/>
  <c r="AL16" i="44" s="1"/>
  <c r="AB14" i="44"/>
  <c r="AC14" i="44" s="1"/>
  <c r="AN14" i="44" s="1"/>
  <c r="AR14" i="44" s="1"/>
  <c r="T42" i="44"/>
  <c r="X22" i="44"/>
  <c r="AB85" i="44"/>
  <c r="AC85" i="44" s="1"/>
  <c r="AN85" i="44" s="1"/>
  <c r="AR85" i="44" s="1"/>
  <c r="R48" i="44"/>
  <c r="T208" i="44"/>
  <c r="R107" i="44"/>
  <c r="T85" i="44"/>
  <c r="V182" i="44"/>
  <c r="AB182" i="44" s="1"/>
  <c r="AC182" i="44" s="1"/>
  <c r="AB43" i="44"/>
  <c r="AC43" i="44" s="1"/>
  <c r="AN43" i="44" s="1"/>
  <c r="AR43" i="44" s="1"/>
  <c r="T165" i="42"/>
  <c r="AB127" i="44"/>
  <c r="AC127" i="44" s="1"/>
  <c r="AN127" i="44" s="1"/>
  <c r="AR127" i="44" s="1"/>
  <c r="AL17" i="44"/>
  <c r="AR83" i="44"/>
  <c r="X107" i="44"/>
  <c r="Y107" i="44"/>
  <c r="AR125" i="44"/>
  <c r="AL32" i="44"/>
  <c r="AR27" i="44"/>
  <c r="AL90" i="44"/>
  <c r="AP64" i="43"/>
  <c r="AC64" i="43"/>
  <c r="AC83" i="43"/>
  <c r="AB114" i="43"/>
  <c r="AB68" i="43"/>
  <c r="AN92" i="43"/>
  <c r="AR92" i="43" s="1"/>
  <c r="AB145" i="43"/>
  <c r="AN85" i="43"/>
  <c r="AR85" i="43" s="1"/>
  <c r="AC72" i="43"/>
  <c r="AR72" i="43" s="1"/>
  <c r="AP72" i="43"/>
  <c r="V77" i="43"/>
  <c r="AL145" i="43"/>
  <c r="AN36" i="43"/>
  <c r="AR36" i="43" s="1"/>
  <c r="AC69" i="43"/>
  <c r="AP69" i="43"/>
  <c r="AR52" i="43"/>
  <c r="AN52" i="43"/>
  <c r="AB102" i="43"/>
  <c r="AN184" i="43"/>
  <c r="AR184" i="43" s="1"/>
  <c r="C39" i="26"/>
  <c r="AN124" i="43"/>
  <c r="AR124" i="43"/>
  <c r="AN130" i="43"/>
  <c r="AR130" i="43" s="1"/>
  <c r="AN60" i="43"/>
  <c r="AR60" i="43"/>
  <c r="AN164" i="43"/>
  <c r="AL114" i="43"/>
  <c r="B14" i="26"/>
  <c r="AC14" i="26" s="1"/>
  <c r="AR29" i="44"/>
  <c r="L64" i="17"/>
  <c r="AB82" i="44"/>
  <c r="AC82" i="44" s="1"/>
  <c r="AN82" i="44" s="1"/>
  <c r="AR82" i="44" s="1"/>
  <c r="AB66" i="44"/>
  <c r="AC66" i="44" s="1"/>
  <c r="AN66" i="44" s="1"/>
  <c r="AR66" i="44" s="1"/>
  <c r="AB134" i="44"/>
  <c r="AC134" i="44" s="1"/>
  <c r="AN134" i="44" s="1"/>
  <c r="AR134" i="44" s="1"/>
  <c r="AB92" i="44"/>
  <c r="AL140" i="44"/>
  <c r="B37" i="26"/>
  <c r="B55" i="26" s="1"/>
  <c r="AL88" i="44"/>
  <c r="AB40" i="44"/>
  <c r="AC40" i="44" s="1"/>
  <c r="AN40" i="44" s="1"/>
  <c r="AR40" i="44" s="1"/>
  <c r="AB87" i="44"/>
  <c r="AC87" i="44" s="1"/>
  <c r="AN87" i="44" s="1"/>
  <c r="AR87" i="44" s="1"/>
  <c r="AB84" i="44"/>
  <c r="AC84" i="44" s="1"/>
  <c r="AN84" i="44" s="1"/>
  <c r="AR84" i="44" s="1"/>
  <c r="AB54" i="44"/>
  <c r="AC54" i="44" s="1"/>
  <c r="AN54" i="44" s="1"/>
  <c r="AR54" i="44" s="1"/>
  <c r="AB31" i="44"/>
  <c r="AC31" i="44" s="1"/>
  <c r="AN31" i="44" s="1"/>
  <c r="AR31" i="44" s="1"/>
  <c r="AR136" i="44"/>
  <c r="AN24" i="43"/>
  <c r="AR24" i="43" s="1"/>
  <c r="AL56" i="43"/>
  <c r="AL77" i="43" s="1"/>
  <c r="AB56" i="43"/>
  <c r="AN50" i="43"/>
  <c r="AR50" i="43" s="1"/>
  <c r="Q166" i="42"/>
  <c r="AL78" i="44"/>
  <c r="S85" i="17"/>
  <c r="T153" i="42"/>
  <c r="R453" i="39"/>
  <c r="AB144" i="44"/>
  <c r="AC144" i="44" s="1"/>
  <c r="AN144" i="44" s="1"/>
  <c r="AR144" i="44" s="1"/>
  <c r="AR131" i="44"/>
  <c r="AB72" i="44"/>
  <c r="AC72" i="44" s="1"/>
  <c r="AN72" i="44" s="1"/>
  <c r="AR72" i="44" s="1"/>
  <c r="AB73" i="44"/>
  <c r="AC73" i="44" s="1"/>
  <c r="AN73" i="44" s="1"/>
  <c r="AR73" i="44" s="1"/>
  <c r="AL96" i="44"/>
  <c r="AB96" i="44"/>
  <c r="AC96" i="44" s="1"/>
  <c r="AN96" i="44" s="1"/>
  <c r="AR96" i="44" s="1"/>
  <c r="AR148" i="44"/>
  <c r="AJ158" i="44"/>
  <c r="AB139" i="44"/>
  <c r="AC139" i="44" s="1"/>
  <c r="AN139" i="44" s="1"/>
  <c r="AR139" i="44" s="1"/>
  <c r="AL139" i="44"/>
  <c r="AB19" i="44"/>
  <c r="AC19" i="44" s="1"/>
  <c r="AN19" i="44" s="1"/>
  <c r="AR19" i="44" s="1"/>
  <c r="AL19" i="44"/>
  <c r="AL15" i="44"/>
  <c r="AB15" i="44"/>
  <c r="AC15" i="44" s="1"/>
  <c r="AN15" i="44" s="1"/>
  <c r="AR15" i="44" s="1"/>
  <c r="AL36" i="44"/>
  <c r="AB36" i="44"/>
  <c r="AC36" i="44" s="1"/>
  <c r="AN36" i="44" s="1"/>
  <c r="AR36" i="44" s="1"/>
  <c r="AB42" i="44"/>
  <c r="AC42" i="44" s="1"/>
  <c r="AN42" i="44" s="1"/>
  <c r="AR42" i="44" s="1"/>
  <c r="AL146" i="44"/>
  <c r="AB146" i="44"/>
  <c r="AC146" i="44" s="1"/>
  <c r="AL67" i="44"/>
  <c r="AB67" i="44"/>
  <c r="AC67" i="44" s="1"/>
  <c r="AN67" i="44" s="1"/>
  <c r="AR67" i="44" s="1"/>
  <c r="AA13" i="44"/>
  <c r="Y22" i="44"/>
  <c r="AL59" i="44"/>
  <c r="AB59" i="44"/>
  <c r="AC59" i="44" s="1"/>
  <c r="AN59" i="44" s="1"/>
  <c r="AN112" i="44"/>
  <c r="AN147" i="44"/>
  <c r="AR147" i="44" s="1"/>
  <c r="AB116" i="44"/>
  <c r="AA119" i="44"/>
  <c r="AB55" i="44"/>
  <c r="AA107" i="44"/>
  <c r="AB126" i="44"/>
  <c r="AA155" i="44"/>
  <c r="R511" i="39"/>
  <c r="AA48" i="44"/>
  <c r="AN16" i="43"/>
  <c r="AR16" i="43" s="1"/>
  <c r="B16" i="26"/>
  <c r="AC16" i="26" s="1"/>
  <c r="Q191" i="43"/>
  <c r="AN33" i="43"/>
  <c r="AR33" i="43"/>
  <c r="AB162" i="43"/>
  <c r="AB164" i="43" s="1"/>
  <c r="AA164" i="43"/>
  <c r="N131" i="17"/>
  <c r="Q131" i="17" s="1"/>
  <c r="S306" i="17"/>
  <c r="Q260" i="17"/>
  <c r="R260" i="17" s="1"/>
  <c r="S260" i="17" s="1"/>
  <c r="AC180" i="43"/>
  <c r="E196" i="43"/>
  <c r="E197" i="43" s="1"/>
  <c r="V164" i="43"/>
  <c r="V191" i="43" s="1"/>
  <c r="AB77" i="43"/>
  <c r="AB185" i="43"/>
  <c r="AB187" i="43" s="1"/>
  <c r="AA187" i="43"/>
  <c r="O238" i="17"/>
  <c r="P238" i="17" s="1"/>
  <c r="Q238" i="17" s="1"/>
  <c r="R238" i="17" s="1"/>
  <c r="S238" i="17" s="1"/>
  <c r="AN127" i="43"/>
  <c r="AN145" i="43" s="1"/>
  <c r="AC145" i="43"/>
  <c r="Q227" i="17"/>
  <c r="S124" i="17" l="1"/>
  <c r="M154" i="17"/>
  <c r="M64" i="17"/>
  <c r="M81" i="17" s="1"/>
  <c r="R64" i="17"/>
  <c r="Q150" i="17"/>
  <c r="AR112" i="44"/>
  <c r="AC113" i="44"/>
  <c r="AN113" i="44" s="1"/>
  <c r="AP113" i="44"/>
  <c r="AC92" i="44"/>
  <c r="AN92" i="44" s="1"/>
  <c r="AP92" i="44"/>
  <c r="AC99" i="44"/>
  <c r="AN99" i="44" s="1"/>
  <c r="AP99" i="44"/>
  <c r="AR63" i="44"/>
  <c r="AC55" i="44"/>
  <c r="AN55" i="44" s="1"/>
  <c r="AP55" i="44"/>
  <c r="N154" i="17"/>
  <c r="O170" i="17"/>
  <c r="S174" i="17"/>
  <c r="S196" i="17" s="1"/>
  <c r="H18" i="26" s="1"/>
  <c r="AI18" i="26" s="1"/>
  <c r="R196" i="17"/>
  <c r="G18" i="26" s="1"/>
  <c r="AH18" i="26" s="1"/>
  <c r="AN77" i="43"/>
  <c r="AR64" i="43"/>
  <c r="AR69" i="43"/>
  <c r="E12" i="26"/>
  <c r="AF12" i="26" s="1"/>
  <c r="AR71" i="43"/>
  <c r="AL191" i="43"/>
  <c r="T25" i="42"/>
  <c r="H47" i="26" s="1"/>
  <c r="AI47" i="26" s="1"/>
  <c r="S25" i="42"/>
  <c r="G47" i="26" s="1"/>
  <c r="AH47" i="26" s="1"/>
  <c r="R194" i="39"/>
  <c r="R333" i="39" s="1"/>
  <c r="H25" i="26" s="1"/>
  <c r="AI25" i="26" s="1"/>
  <c r="AE35" i="26"/>
  <c r="AE37" i="26"/>
  <c r="D55" i="26"/>
  <c r="AD16" i="26"/>
  <c r="AG35" i="26"/>
  <c r="AD23" i="26"/>
  <c r="AD35" i="26" s="1"/>
  <c r="C37" i="26"/>
  <c r="C55" i="26" s="1"/>
  <c r="AC37" i="26"/>
  <c r="C12" i="26"/>
  <c r="AE12" i="26"/>
  <c r="AB102" i="44"/>
  <c r="AC102" i="44" s="1"/>
  <c r="AN102" i="44" s="1"/>
  <c r="AR102" i="44" s="1"/>
  <c r="R337" i="39"/>
  <c r="R411" i="39" s="1"/>
  <c r="H27" i="26" s="1"/>
  <c r="AI27" i="26" s="1"/>
  <c r="AL143" i="44"/>
  <c r="Q170" i="17"/>
  <c r="F16" i="26" s="1"/>
  <c r="AG16" i="26" s="1"/>
  <c r="AR101" i="44"/>
  <c r="Q125" i="42"/>
  <c r="Q161" i="42" s="1"/>
  <c r="M198" i="17"/>
  <c r="AL74" i="44"/>
  <c r="T159" i="42"/>
  <c r="H49" i="26" s="1"/>
  <c r="AI49" i="26" s="1"/>
  <c r="AB60" i="44"/>
  <c r="AC60" i="44" s="1"/>
  <c r="AN60" i="44" s="1"/>
  <c r="AR60" i="44" s="1"/>
  <c r="AB39" i="44"/>
  <c r="AC39" i="44" s="1"/>
  <c r="AN39" i="44" s="1"/>
  <c r="AR39" i="44" s="1"/>
  <c r="AB58" i="44"/>
  <c r="AC58" i="44" s="1"/>
  <c r="AN58" i="44" s="1"/>
  <c r="AR58" i="44" s="1"/>
  <c r="N64" i="17"/>
  <c r="AB114" i="44"/>
  <c r="AB35" i="44"/>
  <c r="AC35" i="44" s="1"/>
  <c r="AN35" i="44" s="1"/>
  <c r="AR35" i="44" s="1"/>
  <c r="AL141" i="44"/>
  <c r="AP115" i="44"/>
  <c r="AR115" i="44" s="1"/>
  <c r="AB62" i="44"/>
  <c r="AC62" i="44" s="1"/>
  <c r="AN62" i="44" s="1"/>
  <c r="AR62" i="44" s="1"/>
  <c r="AB34" i="44"/>
  <c r="AC34" i="44" s="1"/>
  <c r="AN34" i="44" s="1"/>
  <c r="AL18" i="44"/>
  <c r="AL22" i="44" s="1"/>
  <c r="AL79" i="44"/>
  <c r="AB80" i="44"/>
  <c r="AC80" i="44" s="1"/>
  <c r="AN80" i="44" s="1"/>
  <c r="AR80" i="44" s="1"/>
  <c r="AL75" i="44"/>
  <c r="AR75" i="44"/>
  <c r="AB44" i="44"/>
  <c r="V119" i="44"/>
  <c r="AL113" i="44"/>
  <c r="AL119" i="44" s="1"/>
  <c r="V155" i="44"/>
  <c r="AL89" i="44"/>
  <c r="T15" i="42"/>
  <c r="H45" i="26" s="1"/>
  <c r="AI45" i="26" s="1"/>
  <c r="AL124" i="44"/>
  <c r="AR94" i="44"/>
  <c r="AL94" i="44"/>
  <c r="AB53" i="44"/>
  <c r="AC53" i="44" s="1"/>
  <c r="AN53" i="44" s="1"/>
  <c r="AR53" i="44" s="1"/>
  <c r="AL86" i="44"/>
  <c r="R158" i="44"/>
  <c r="AB12" i="44"/>
  <c r="AC12" i="44" s="1"/>
  <c r="AN12" i="44" s="1"/>
  <c r="AR12" i="44" s="1"/>
  <c r="T155" i="44"/>
  <c r="AL45" i="44"/>
  <c r="T48" i="44"/>
  <c r="T107" i="44"/>
  <c r="X158" i="44"/>
  <c r="V22" i="44"/>
  <c r="V48" i="44"/>
  <c r="AL46" i="44"/>
  <c r="AB69" i="44"/>
  <c r="AC69" i="44" s="1"/>
  <c r="AN69" i="44" s="1"/>
  <c r="AR69" i="44" s="1"/>
  <c r="V107" i="44"/>
  <c r="AL56" i="44"/>
  <c r="AB16" i="44"/>
  <c r="AC16" i="44" s="1"/>
  <c r="AN16" i="44" s="1"/>
  <c r="AR16" i="44" s="1"/>
  <c r="Y158" i="44"/>
  <c r="L81" i="17"/>
  <c r="L198" i="17" s="1"/>
  <c r="AP68" i="43"/>
  <c r="AC68" i="43"/>
  <c r="AR83" i="43"/>
  <c r="AN83" i="43"/>
  <c r="AN114" i="43" s="1"/>
  <c r="AC185" i="43"/>
  <c r="AR185" i="43" s="1"/>
  <c r="AP102" i="43"/>
  <c r="AP114" i="43" s="1"/>
  <c r="AC102" i="43"/>
  <c r="AR102" i="43" s="1"/>
  <c r="H12" i="26"/>
  <c r="AI12" i="26" s="1"/>
  <c r="D14" i="26"/>
  <c r="AC56" i="43"/>
  <c r="AP56" i="43"/>
  <c r="E39" i="26"/>
  <c r="AF39" i="26" s="1"/>
  <c r="R103" i="42"/>
  <c r="R170" i="17"/>
  <c r="R166" i="42"/>
  <c r="G31" i="26"/>
  <c r="AH31" i="26" s="1"/>
  <c r="H31" i="26"/>
  <c r="AI31" i="26" s="1"/>
  <c r="AN146" i="44"/>
  <c r="AR146" i="44" s="1"/>
  <c r="AB13" i="44"/>
  <c r="AA22" i="44"/>
  <c r="AA158" i="44" s="1"/>
  <c r="AP116" i="44"/>
  <c r="AC116" i="44"/>
  <c r="R125" i="42"/>
  <c r="AC126" i="44"/>
  <c r="AB155" i="44"/>
  <c r="H29" i="26"/>
  <c r="AI29" i="26" s="1"/>
  <c r="AR129" i="44"/>
  <c r="AB191" i="43"/>
  <c r="R227" i="17"/>
  <c r="S227" i="17" s="1"/>
  <c r="AR59" i="44"/>
  <c r="AN180" i="43"/>
  <c r="AN187" i="43" s="1"/>
  <c r="AN191" i="43" s="1"/>
  <c r="AC187" i="43"/>
  <c r="O131" i="17"/>
  <c r="O154" i="17" s="1"/>
  <c r="AA191" i="43"/>
  <c r="AR127" i="43"/>
  <c r="AR145" i="43" s="1"/>
  <c r="AC162" i="43"/>
  <c r="AR55" i="44" l="1"/>
  <c r="P64" i="17"/>
  <c r="Q64" i="17"/>
  <c r="AR99" i="44"/>
  <c r="AC114" i="44"/>
  <c r="AN114" i="44" s="1"/>
  <c r="AN119" i="44" s="1"/>
  <c r="AP114" i="44"/>
  <c r="AP119" i="44" s="1"/>
  <c r="AP158" i="44" s="1"/>
  <c r="P131" i="17"/>
  <c r="P154" i="17" s="1"/>
  <c r="AR92" i="44"/>
  <c r="AR107" i="44" s="1"/>
  <c r="AP107" i="44"/>
  <c r="AR113" i="44"/>
  <c r="AR68" i="43"/>
  <c r="AP77" i="43"/>
  <c r="R124" i="17"/>
  <c r="G12" i="26" s="1"/>
  <c r="AH12" i="26" s="1"/>
  <c r="Q124" i="17"/>
  <c r="F12" i="26" s="1"/>
  <c r="AG12" i="26" s="1"/>
  <c r="N81" i="17"/>
  <c r="N198" i="17" s="1"/>
  <c r="R161" i="42"/>
  <c r="AD12" i="26"/>
  <c r="AE55" i="26"/>
  <c r="AC55" i="26"/>
  <c r="C14" i="26"/>
  <c r="AE14" i="26"/>
  <c r="AD37" i="26"/>
  <c r="AD55" i="26" s="1"/>
  <c r="E37" i="26"/>
  <c r="AR114" i="44"/>
  <c r="AB119" i="44"/>
  <c r="O64" i="17"/>
  <c r="O81" i="17" s="1"/>
  <c r="O198" i="17" s="1"/>
  <c r="H41" i="26"/>
  <c r="AI41" i="26" s="1"/>
  <c r="AL155" i="44"/>
  <c r="AR34" i="44"/>
  <c r="AB48" i="44"/>
  <c r="AC44" i="44"/>
  <c r="AC48" i="44" s="1"/>
  <c r="AC107" i="44"/>
  <c r="AL107" i="44"/>
  <c r="V158" i="44"/>
  <c r="AL48" i="44"/>
  <c r="AB22" i="44"/>
  <c r="AB107" i="44"/>
  <c r="B10" i="26"/>
  <c r="B20" i="26" s="1"/>
  <c r="B57" i="26" s="1"/>
  <c r="AC114" i="43"/>
  <c r="AR114" i="43"/>
  <c r="AP191" i="43"/>
  <c r="D10" i="26"/>
  <c r="AR56" i="43"/>
  <c r="AR77" i="43" s="1"/>
  <c r="AC77" i="43"/>
  <c r="S166" i="42"/>
  <c r="S159" i="17"/>
  <c r="G16" i="26"/>
  <c r="AH16" i="26" s="1"/>
  <c r="S103" i="42"/>
  <c r="C18" i="26"/>
  <c r="AN107" i="44"/>
  <c r="AC13" i="44"/>
  <c r="AN13" i="44" s="1"/>
  <c r="AR116" i="44"/>
  <c r="AC119" i="44"/>
  <c r="S125" i="42"/>
  <c r="AN126" i="44"/>
  <c r="AC155" i="44"/>
  <c r="C16" i="26"/>
  <c r="AR162" i="43"/>
  <c r="AR164" i="43" s="1"/>
  <c r="AC164" i="43"/>
  <c r="AC191" i="43" s="1"/>
  <c r="AR180" i="43"/>
  <c r="AR187" i="43" s="1"/>
  <c r="AR119" i="44" l="1"/>
  <c r="S161" i="42"/>
  <c r="AF37" i="26"/>
  <c r="E55" i="26"/>
  <c r="AE10" i="26"/>
  <c r="AE20" i="26" s="1"/>
  <c r="AE57" i="26" s="1"/>
  <c r="D20" i="26"/>
  <c r="D57" i="26" s="1"/>
  <c r="AD14" i="26"/>
  <c r="B21" i="26"/>
  <c r="AC10" i="26"/>
  <c r="E14" i="26"/>
  <c r="AF14" i="26" s="1"/>
  <c r="AL158" i="44"/>
  <c r="AN44" i="44"/>
  <c r="AR44" i="44" s="1"/>
  <c r="AR48" i="44" s="1"/>
  <c r="S170" i="17"/>
  <c r="F37" i="26"/>
  <c r="AB158" i="44"/>
  <c r="C10" i="26"/>
  <c r="C20" i="26" s="1"/>
  <c r="C57" i="26" s="1"/>
  <c r="F39" i="26"/>
  <c r="AG39" i="26" s="1"/>
  <c r="G39" i="26"/>
  <c r="AH39" i="26" s="1"/>
  <c r="T103" i="42"/>
  <c r="T166" i="42"/>
  <c r="AC22" i="44"/>
  <c r="AC158" i="44" s="1"/>
  <c r="AN22" i="44"/>
  <c r="AR13" i="44"/>
  <c r="AR22" i="44" s="1"/>
  <c r="AR126" i="44"/>
  <c r="AR155" i="44" s="1"/>
  <c r="AN155" i="44"/>
  <c r="T125" i="42"/>
  <c r="Q154" i="17"/>
  <c r="AR191" i="43"/>
  <c r="AE58" i="26" l="1"/>
  <c r="T161" i="42"/>
  <c r="AG37" i="26"/>
  <c r="F55" i="26"/>
  <c r="AF55" i="26"/>
  <c r="AC20" i="26"/>
  <c r="AC57" i="26" s="1"/>
  <c r="AD10" i="26"/>
  <c r="AD20" i="26" s="1"/>
  <c r="AD57" i="26" s="1"/>
  <c r="D58" i="26"/>
  <c r="B58" i="26"/>
  <c r="AN48" i="44"/>
  <c r="AN158" i="44" s="1"/>
  <c r="H16" i="26"/>
  <c r="AI16" i="26" s="1"/>
  <c r="G37" i="26"/>
  <c r="H37" i="26"/>
  <c r="AR158" i="44"/>
  <c r="R154" i="17"/>
  <c r="AH37" i="26" l="1"/>
  <c r="G55" i="26"/>
  <c r="AG55" i="26"/>
  <c r="AI37" i="26"/>
  <c r="AC21" i="26"/>
  <c r="AC58" i="26"/>
  <c r="F14" i="26"/>
  <c r="AG14" i="26" s="1"/>
  <c r="H39" i="26"/>
  <c r="AI39" i="26" s="1"/>
  <c r="G14" i="26"/>
  <c r="AH14" i="26" s="1"/>
  <c r="S131" i="17"/>
  <c r="H55" i="26" l="1"/>
  <c r="S154" i="17"/>
  <c r="AI55" i="26"/>
  <c r="AH55" i="26"/>
  <c r="H14" i="26" l="1"/>
  <c r="AI14" i="26" s="1"/>
  <c r="P81" i="17" l="1"/>
  <c r="E10" i="26" s="1"/>
  <c r="Q81" i="17"/>
  <c r="F10" i="26" l="1"/>
  <c r="Q198" i="17"/>
  <c r="E20" i="26"/>
  <c r="AF10" i="26"/>
  <c r="AF20" i="26" s="1"/>
  <c r="P198" i="17"/>
  <c r="S13" i="17" l="1"/>
  <c r="S81" i="17" s="1"/>
  <c r="R81" i="17"/>
  <c r="F20" i="26"/>
  <c r="F57" i="26" s="1"/>
  <c r="AG10" i="26"/>
  <c r="AG20" i="26" s="1"/>
  <c r="AG57" i="26" s="1"/>
  <c r="F58" i="26" l="1"/>
  <c r="AG58" i="26"/>
  <c r="G10" i="26"/>
  <c r="R198" i="17"/>
  <c r="H10" i="26"/>
  <c r="S198" i="17"/>
  <c r="H20" i="26" l="1"/>
  <c r="AI10" i="26"/>
  <c r="AI20" i="26" s="1"/>
  <c r="AH10" i="26"/>
  <c r="AH20" i="26" s="1"/>
  <c r="G20" i="26"/>
  <c r="R13" i="39"/>
  <c r="R123" i="39"/>
  <c r="R147" i="39"/>
  <c r="R163" i="39"/>
  <c r="R148" i="39"/>
  <c r="R141" i="39"/>
  <c r="R137" i="39"/>
  <c r="R129" i="39"/>
  <c r="R142" i="39"/>
  <c r="R135" i="39"/>
  <c r="R159" i="39"/>
  <c r="R175" i="39"/>
  <c r="R153" i="39"/>
  <c r="R149" i="39"/>
  <c r="R180" i="39"/>
  <c r="R170" i="39"/>
  <c r="R166" i="39"/>
  <c r="R189" i="39"/>
  <c r="R157" i="39"/>
  <c r="R187" i="39"/>
  <c r="R130" i="39"/>
  <c r="R168" i="39"/>
  <c r="R138" i="39"/>
  <c r="R182" i="39"/>
  <c r="R177" i="39"/>
  <c r="R127" i="39"/>
  <c r="R151" i="39"/>
  <c r="R167" i="39"/>
  <c r="R122" i="39"/>
  <c r="R126" i="39"/>
  <c r="R172" i="39"/>
  <c r="R165" i="39"/>
  <c r="R132" i="39"/>
  <c r="R173" i="39"/>
  <c r="R139" i="39"/>
  <c r="R179" i="39"/>
  <c r="R156" i="39"/>
  <c r="R152" i="39"/>
  <c r="R184" i="39"/>
  <c r="R128" i="39"/>
  <c r="R174" i="39"/>
  <c r="R124" i="39"/>
  <c r="R160" i="39"/>
  <c r="R145" i="39"/>
  <c r="R158" i="39"/>
  <c r="R134" i="39"/>
  <c r="R186" i="39"/>
  <c r="R185" i="39"/>
  <c r="R131" i="39"/>
  <c r="R155" i="39"/>
  <c r="R140" i="39"/>
  <c r="R171" i="39"/>
  <c r="R150" i="39"/>
  <c r="R161" i="39"/>
  <c r="R146" i="39"/>
  <c r="R176" i="39"/>
  <c r="R144" i="39"/>
  <c r="R162" i="39"/>
  <c r="R181" i="39"/>
  <c r="R143" i="39"/>
  <c r="R154" i="39"/>
  <c r="R183" i="39"/>
  <c r="R125" i="39"/>
  <c r="R136" i="39"/>
  <c r="R164" i="39"/>
  <c r="R188" i="39"/>
  <c r="R133" i="39"/>
  <c r="R178" i="39"/>
  <c r="R169" i="39"/>
  <c r="O191" i="39"/>
  <c r="O513" i="39" s="1"/>
  <c r="R121" i="39"/>
  <c r="Q191" i="39" l="1"/>
  <c r="Q513" i="39" s="1"/>
  <c r="R191" i="39"/>
  <c r="E23" i="26"/>
  <c r="G23" i="26" l="1"/>
  <c r="G35" i="26" s="1"/>
  <c r="G57" i="26" s="1"/>
  <c r="AF23" i="26"/>
  <c r="AF35" i="26" s="1"/>
  <c r="AF57" i="26" s="1"/>
  <c r="E35" i="26"/>
  <c r="E57" i="26" s="1"/>
  <c r="R513" i="39"/>
  <c r="H23" i="26"/>
  <c r="AH23" i="26" l="1"/>
  <c r="AH35" i="26" s="1"/>
  <c r="AH57" i="26" s="1"/>
  <c r="AH58" i="26" s="1"/>
  <c r="G58" i="26"/>
  <c r="E58" i="26"/>
  <c r="AF58" i="26"/>
  <c r="H35" i="26"/>
  <c r="H57" i="26" s="1"/>
  <c r="AI23" i="26"/>
  <c r="AI35" i="26" s="1"/>
  <c r="AI57" i="26" s="1"/>
  <c r="H58" i="26" l="1"/>
  <c r="AI58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Puryear</author>
    <author>Kristina Snyder</author>
  </authors>
  <commentList>
    <comment ref="L13" authorId="0" shapeId="0" xr:uid="{6C22DD18-9558-4142-9412-63B1193992EB}">
      <text>
        <r>
          <rPr>
            <sz val="9"/>
            <color indexed="81"/>
            <rFont val="Tahoma"/>
            <family val="2"/>
          </rPr>
          <t>Multiple accounts are allowed
Example: 14110,15110 
or a range of accounts 
Example:
14110..15110</t>
        </r>
      </text>
    </comment>
    <comment ref="AK75" authorId="1" shapeId="0" xr:uid="{3B0A2072-531A-450D-A900-ABA72A7923CA}">
      <text>
        <r>
          <rPr>
            <b/>
            <sz val="9"/>
            <color indexed="81"/>
            <rFont val="Tahoma"/>
            <family val="2"/>
          </rPr>
          <t>Kristina Snyder:</t>
        </r>
        <r>
          <rPr>
            <sz val="9"/>
            <color indexed="81"/>
            <rFont val="Tahoma"/>
            <family val="2"/>
          </rPr>
          <t xml:space="preserve">
Transferred to Mason County, should be on the transfer list
</t>
        </r>
        <r>
          <rPr>
            <b/>
            <sz val="9"/>
            <color indexed="81"/>
            <rFont val="Tahoma"/>
            <family val="2"/>
          </rPr>
          <t xml:space="preserve">Brian Vandenburg:
</t>
        </r>
        <r>
          <rPr>
            <sz val="9"/>
            <color indexed="81"/>
            <rFont val="Tahoma"/>
            <family val="2"/>
          </rPr>
          <t>No impact on rates. Left on current filing.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WCI Information Systems Department</author>
    <author>Ben Thompson</author>
    <author>Heather Garland</author>
    <author>Chelsea Paschke</author>
    <author>Hammond, Greg (UTC)</author>
  </authors>
  <commentList>
    <comment ref="C97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WCI Information Systems Department:</t>
        </r>
        <r>
          <rPr>
            <sz val="8"/>
            <color indexed="81"/>
            <rFont val="Tahoma"/>
            <family val="2"/>
          </rPr>
          <t xml:space="preserve">
I transferred this asset over from the 2180 schedule as this is the district the Master Truck Schedule said it belonged to.</t>
        </r>
      </text>
    </comment>
    <comment ref="D107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75 total purchased and 73 allocated to other trucks.</t>
        </r>
      </text>
    </comment>
    <comment ref="D108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75 total purchased and 73 allocated to other trucks.</t>
        </r>
      </text>
    </comment>
    <comment ref="C259" authorId="2" shapeId="0" xr:uid="{00000000-0006-0000-0700-00001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Transferred to 2188.
</t>
        </r>
      </text>
    </comment>
    <comment ref="C262" authorId="3" shapeId="0" xr:uid="{00000000-0006-0000-0700-000012000000}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per district - "RO Trailer, given back to Murreys.  Was used for RO Recycle while we had it" </t>
        </r>
      </text>
    </comment>
    <comment ref="D306" authorId="4" shapeId="0" xr:uid="{00000000-0006-0000-0700-000013000000}">
      <text>
        <r>
          <rPr>
            <b/>
            <sz val="9"/>
            <color indexed="81"/>
            <rFont val="Tahoma"/>
            <family val="2"/>
          </rPr>
          <t>Hammond, Greg (UTC):</t>
        </r>
        <r>
          <rPr>
            <sz val="9"/>
            <color indexed="81"/>
            <rFont val="Tahoma"/>
            <family val="2"/>
          </rPr>
          <t xml:space="preserve">
Not present in prior case - classified as commercial recycling on orig trucks worksheet</t>
        </r>
      </text>
    </comment>
    <comment ref="D322" authorId="4" shapeId="0" xr:uid="{00000000-0006-0000-0700-000014000000}">
      <text>
        <r>
          <rPr>
            <b/>
            <sz val="9"/>
            <color indexed="81"/>
            <rFont val="Tahoma"/>
            <family val="2"/>
          </rPr>
          <t>Hammond, Greg (UTC):</t>
        </r>
        <r>
          <rPr>
            <sz val="9"/>
            <color indexed="81"/>
            <rFont val="Tahoma"/>
            <family val="2"/>
          </rPr>
          <t xml:space="preserve">
Converted from Garbage</t>
        </r>
      </text>
    </comment>
    <comment ref="D330" authorId="4" shapeId="0" xr:uid="{821B4654-D7DA-400A-9D25-16954276EF94}">
      <text>
        <r>
          <rPr>
            <b/>
            <sz val="9"/>
            <color indexed="81"/>
            <rFont val="Tahoma"/>
            <family val="2"/>
          </rPr>
          <t>Hammond, Greg (UTC):</t>
        </r>
        <r>
          <rPr>
            <sz val="9"/>
            <color indexed="81"/>
            <rFont val="Tahoma"/>
            <family val="2"/>
          </rPr>
          <t xml:space="preserve">
Not present in last case</t>
        </r>
      </text>
    </comment>
    <comment ref="D333" authorId="4" shapeId="0" xr:uid="{00000000-0006-0000-0700-000004000000}">
      <text>
        <r>
          <rPr>
            <b/>
            <sz val="9"/>
            <color indexed="81"/>
            <rFont val="Tahoma"/>
            <family val="2"/>
          </rPr>
          <t>Hammond, Greg (UTC):</t>
        </r>
        <r>
          <rPr>
            <sz val="9"/>
            <color indexed="81"/>
            <rFont val="Tahoma"/>
            <family val="2"/>
          </rPr>
          <t xml:space="preserve">
Not present in last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</authors>
  <commentList>
    <comment ref="C1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Old office - will remain as a driver room when new building is built.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HeatherL</author>
    <author>PatrickSa</author>
    <author>heatherg</author>
    <author>WCI Information Systems Department</author>
    <author>Ben Thompson</author>
    <author>WCNX</author>
    <author>jenniferb</author>
    <author>Heather Garland</author>
  </authors>
  <commentList>
    <comment ref="N3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 12/21 I added a $3,819.97 greaser to this truck.  I found it listed on the 2180 listing as I was building that listing.  HL</t>
        </r>
      </text>
    </comment>
    <comment ref="B60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PatrickSa:</t>
        </r>
        <r>
          <rPr>
            <sz val="8"/>
            <color indexed="81"/>
            <rFont val="Tahoma"/>
            <family val="2"/>
          </rPr>
          <t xml:space="preserve">
parent asset # 61093
</t>
        </r>
      </text>
    </comment>
    <comment ref="C69" authorId="2" shapeId="0" xr:uid="{00000000-0006-0000-0A00-000003000000}">
      <text>
        <r>
          <rPr>
            <b/>
            <sz val="9"/>
            <color indexed="81"/>
            <rFont val="Tahoma"/>
            <family val="2"/>
          </rPr>
          <t>heatherg:</t>
        </r>
        <r>
          <rPr>
            <sz val="9"/>
            <color indexed="81"/>
            <rFont val="Tahoma"/>
            <family val="2"/>
          </rPr>
          <t xml:space="preserve">
Used to deliver containers to Elma container repair yard.</t>
        </r>
      </text>
    </comment>
    <comment ref="C93" authorId="3" shapeId="0" xr:uid="{00000000-0006-0000-0A00-000004000000}">
      <text>
        <r>
          <rPr>
            <b/>
            <sz val="8"/>
            <color indexed="81"/>
            <rFont val="Tahoma"/>
            <family val="2"/>
          </rPr>
          <t>WCI Information Systems Department:</t>
        </r>
        <r>
          <rPr>
            <sz val="8"/>
            <color indexed="81"/>
            <rFont val="Tahoma"/>
            <family val="2"/>
          </rPr>
          <t xml:space="preserve">
I transferred this asset over from the 2180 schedule as this is the district the Master Truck Schedule said it belonged to.</t>
        </r>
      </text>
    </comment>
    <comment ref="D109" authorId="4" shapeId="0" xr:uid="{00000000-0006-0000-0A00-000005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75 total purchased and 73 allocated to other trucks.</t>
        </r>
      </text>
    </comment>
    <comment ref="D110" authorId="4" shapeId="0" xr:uid="{00000000-0006-0000-0A00-000006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75 total purchased and 73 allocated to other trucks.</t>
        </r>
      </text>
    </comment>
    <comment ref="C203" authorId="5" shapeId="0" xr:uid="{00000000-0006-0000-0A00-000007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2186 5/2011.</t>
        </r>
      </text>
    </comment>
    <comment ref="C207" authorId="5" shapeId="0" xr:uid="{00000000-0006-0000-0A00-000008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2188.</t>
        </r>
      </text>
    </comment>
    <comment ref="C208" authorId="5" shapeId="0" xr:uid="{00000000-0006-0000-0A00-000009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2186.</t>
        </r>
      </text>
    </comment>
    <comment ref="C209" authorId="5" shapeId="0" xr:uid="{00000000-0006-0000-0A00-00000A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Tranasferred to 2184.
</t>
        </r>
      </text>
    </comment>
    <comment ref="C210" authorId="5" shapeId="0" xr:uid="{00000000-0006-0000-0A00-00000B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PA 2 years ago.</t>
        </r>
      </text>
    </comment>
    <comment ref="C211" authorId="5" shapeId="0" xr:uid="{00000000-0006-0000-0A00-00000C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2186.
</t>
        </r>
      </text>
    </comment>
    <comment ref="D214" authorId="1" shapeId="0" xr:uid="{00000000-0006-0000-0A00-00000D000000}">
      <text>
        <r>
          <rPr>
            <b/>
            <sz val="8"/>
            <color indexed="81"/>
            <rFont val="Tahoma"/>
            <family val="2"/>
          </rPr>
          <t>PatrickSa:</t>
        </r>
        <r>
          <rPr>
            <sz val="8"/>
            <color indexed="81"/>
            <rFont val="Tahoma"/>
            <family val="2"/>
          </rPr>
          <t xml:space="preserve">
now disposed of</t>
        </r>
      </text>
    </comment>
    <comment ref="C245" authorId="2" shapeId="0" xr:uid="{00000000-0006-0000-0A00-00000E000000}">
      <text>
        <r>
          <rPr>
            <b/>
            <sz val="9"/>
            <color indexed="81"/>
            <rFont val="Tahoma"/>
            <family val="2"/>
          </rPr>
          <t>heatherg:</t>
        </r>
        <r>
          <rPr>
            <sz val="9"/>
            <color indexed="81"/>
            <rFont val="Tahoma"/>
            <family val="2"/>
          </rPr>
          <t xml:space="preserve">
Retired Nov 2015 per Jim Roth.</t>
        </r>
      </text>
    </comment>
    <comment ref="C251" authorId="2" shapeId="0" xr:uid="{00000000-0006-0000-0A00-00000F000000}">
      <text>
        <r>
          <rPr>
            <b/>
            <sz val="9"/>
            <color indexed="81"/>
            <rFont val="Tahoma"/>
            <family val="2"/>
          </rPr>
          <t>heatherg:</t>
        </r>
        <r>
          <rPr>
            <sz val="9"/>
            <color indexed="81"/>
            <rFont val="Tahoma"/>
            <family val="2"/>
          </rPr>
          <t xml:space="preserve">
Retired 11/2015 per Jim Roth.</t>
        </r>
      </text>
    </comment>
    <comment ref="B259" authorId="6" shapeId="0" xr:uid="{00000000-0006-0000-0A00-000010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transfer to 2184</t>
        </r>
      </text>
    </comment>
    <comment ref="C277" authorId="7" shapeId="0" xr:uid="{00000000-0006-0000-0A00-00001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Transferred to Gray's.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C144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Purchase of three (3) narrow band radio channels from Olympic Radio, LLC.  Last March, we entered into a 10 year agreement with Olympic Radio to lease 2 narrow band radio channels for all of our 2-way radio communication throughout South LeMay.  The new radios and channels have greatly improved communication throughout the districts.  Therefore, we negotiated an agreement to purchase the channels outright.
</t>
        </r>
      </text>
    </comment>
    <comment ref="C176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2188.</t>
        </r>
      </text>
    </comment>
  </commentList>
</comments>
</file>

<file path=xl/sharedStrings.xml><?xml version="1.0" encoding="utf-8"?>
<sst xmlns="http://schemas.openxmlformats.org/spreadsheetml/2006/main" count="15174" uniqueCount="2302">
  <si>
    <t>TRAVEL FOR 3553</t>
  </si>
  <si>
    <t>TRAVEL FOR 3556</t>
  </si>
  <si>
    <t>TOTAL SERVICE EQUIPMENT</t>
  </si>
  <si>
    <t>COMPUTER</t>
  </si>
  <si>
    <t>USE TAX ON COMPUTERS</t>
  </si>
  <si>
    <t>Trucks</t>
  </si>
  <si>
    <t>Investment</t>
  </si>
  <si>
    <t>20</t>
  </si>
  <si>
    <t>05</t>
  </si>
  <si>
    <t>10</t>
  </si>
  <si>
    <t>39</t>
  </si>
  <si>
    <t>07</t>
  </si>
  <si>
    <t>PAVING AT HOGUM BAY RD</t>
  </si>
  <si>
    <t>LID ASSESSMENT-HOGUM BAY RD</t>
  </si>
  <si>
    <t>TRANSITION PLATES FOR LOADING DOCKS</t>
  </si>
  <si>
    <t>FLOOR SYSTEM -- PACIFIC SHOP</t>
  </si>
  <si>
    <t>HOGUM BAY ROAD LAND IMPROVEMENTS</t>
  </si>
  <si>
    <t>PACIFIC OFFICE</t>
  </si>
  <si>
    <t>PACIFIC SHOP</t>
  </si>
  <si>
    <t>PACIFIC RECYCLE CENTER</t>
  </si>
  <si>
    <t>DIAGNOSTIC COMPUTER-PACIFIC</t>
  </si>
  <si>
    <t>Leasehold Improvements</t>
  </si>
  <si>
    <t>Residential Recycling</t>
  </si>
  <si>
    <t>5 YD F/L CATHEDRAL</t>
  </si>
  <si>
    <t>Land</t>
  </si>
  <si>
    <t xml:space="preserve">Beginning </t>
  </si>
  <si>
    <t>Depreciation Schedule</t>
  </si>
  <si>
    <t>Months in first year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</si>
  <si>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</si>
  <si>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</si>
  <si>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</si>
  <si>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</si>
  <si>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</si>
  <si>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</si>
  <si>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</si>
  <si>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</si>
  <si>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</si>
  <si>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D.</t>
  </si>
  <si>
    <t>Beg of Test Period</t>
  </si>
  <si>
    <t>E.</t>
  </si>
  <si>
    <t>Disposition Date</t>
  </si>
  <si>
    <t>Disposal</t>
  </si>
  <si>
    <t>Total</t>
  </si>
  <si>
    <t>Ending</t>
  </si>
  <si>
    <t>Allocated</t>
  </si>
  <si>
    <t xml:space="preserve"> </t>
  </si>
  <si>
    <t>Date in</t>
  </si>
  <si>
    <t>Salvage</t>
  </si>
  <si>
    <t>Year</t>
  </si>
  <si>
    <t>Asset</t>
  </si>
  <si>
    <t>Test</t>
  </si>
  <si>
    <t>%</t>
  </si>
  <si>
    <t>Accum</t>
  </si>
  <si>
    <t>Branch</t>
  </si>
  <si>
    <t>Accum.</t>
  </si>
  <si>
    <t>Average</t>
  </si>
  <si>
    <t>Building Structures</t>
  </si>
  <si>
    <t xml:space="preserve">Service </t>
  </si>
  <si>
    <t>Value</t>
  </si>
  <si>
    <t xml:space="preserve">Life </t>
  </si>
  <si>
    <t xml:space="preserve">Fully </t>
  </si>
  <si>
    <t xml:space="preserve"> Mo.</t>
  </si>
  <si>
    <t>Depr</t>
  </si>
  <si>
    <t xml:space="preserve">Monthly </t>
  </si>
  <si>
    <t>Depn</t>
  </si>
  <si>
    <t>Test yr.</t>
  </si>
  <si>
    <t>Allo.</t>
  </si>
  <si>
    <t>Test year</t>
  </si>
  <si>
    <t>Depr.</t>
  </si>
  <si>
    <t>B</t>
  </si>
  <si>
    <t>C.</t>
  </si>
  <si>
    <t>Codes</t>
  </si>
  <si>
    <t>No</t>
  </si>
  <si>
    <t>Asset Classification</t>
  </si>
  <si>
    <t>Mo</t>
  </si>
  <si>
    <t>M</t>
  </si>
  <si>
    <t>Years</t>
  </si>
  <si>
    <t>Depn.</t>
  </si>
  <si>
    <t>S/L</t>
  </si>
  <si>
    <t>TOTAL BUILDING STRUCTURES</t>
  </si>
  <si>
    <t>40YD F/L</t>
  </si>
  <si>
    <t>WORK ON #2504</t>
  </si>
  <si>
    <t>FLUP - 4033 - V02221293</t>
  </si>
  <si>
    <t>GRAND TOTAL</t>
  </si>
  <si>
    <t>GREASER SYSTEM FOR 1040</t>
  </si>
  <si>
    <t>Shop Equipment</t>
  </si>
  <si>
    <t>SPRINKLERS IN GREEN BLDG</t>
  </si>
  <si>
    <t>GREASER SYSTEM FOR 1041</t>
  </si>
  <si>
    <t>PACIFIC RADIO SYSTEM</t>
  </si>
  <si>
    <t>TRAVEL/STRIPING COSTS-3552</t>
  </si>
  <si>
    <t>TRAVEL COSTS-3552</t>
  </si>
  <si>
    <t>GREASE SYSTEM ON 2553</t>
  </si>
  <si>
    <t>27 CY LEACH CURBTENDER</t>
  </si>
  <si>
    <t>ASSESSED USE TAX ON CONST. BOX</t>
  </si>
  <si>
    <t>2 YD R/L W/PLASTIC</t>
  </si>
  <si>
    <t>1 YD R/L W/PLASTIC LID</t>
  </si>
  <si>
    <t>3 YD FL W/PLASTIC LIDS</t>
  </si>
  <si>
    <t>2 YD F/L W/PLASTIC LIDS</t>
  </si>
  <si>
    <t>1 YD R/L BINS</t>
  </si>
  <si>
    <t>-</t>
  </si>
  <si>
    <t>Method</t>
  </si>
  <si>
    <t>Accum Depr</t>
  </si>
  <si>
    <t>15</t>
  </si>
  <si>
    <t>MISC TOOLS</t>
  </si>
  <si>
    <t>POWER WASHER</t>
  </si>
  <si>
    <t>A/C MAINTENANCE TOOL</t>
  </si>
  <si>
    <t>AIR COMPRESSOR</t>
  </si>
  <si>
    <t>TOOLS FOR PACIFIC SHOP</t>
  </si>
  <si>
    <t>HEATER -- PACIFIC SHOP</t>
  </si>
  <si>
    <t>PAVING/LIGHTING -- PACIFIC PARKING</t>
  </si>
  <si>
    <t>FLOORING - PACIFIC SHOP</t>
  </si>
  <si>
    <t>LIGHTING BY TRUCK WASH</t>
  </si>
  <si>
    <t>LUBE SYSTEM</t>
  </si>
  <si>
    <t>BALER</t>
  </si>
  <si>
    <t>TOURQUE MULTIPLIER</t>
  </si>
  <si>
    <t>Equipment</t>
  </si>
  <si>
    <t>INSTALLATION ON TANKS</t>
  </si>
  <si>
    <t>CONTAINERS SORTLINE</t>
  </si>
  <si>
    <t>FIBERS SORTLINE</t>
  </si>
  <si>
    <t>REPLACE BELT ON PICKLINE</t>
  </si>
  <si>
    <t>PARTS WASHER</t>
  </si>
  <si>
    <t>RECYCLE PROCESSING EQUIPMENT</t>
  </si>
  <si>
    <t>SCALE</t>
  </si>
  <si>
    <t>TRUCK WASH</t>
  </si>
  <si>
    <t>REINSTALL OIL HEATERS</t>
  </si>
  <si>
    <t>FUEL TANK/STATION</t>
  </si>
  <si>
    <t>TRUCK LIFTS</t>
  </si>
  <si>
    <t>GARAGE DOOR OPENERS</t>
  </si>
  <si>
    <t>CONTAINER WASH</t>
  </si>
  <si>
    <t>DOOR OPENERS-SHOP</t>
  </si>
  <si>
    <t>PLASMA TORCH</t>
  </si>
  <si>
    <t>RAMPS</t>
  </si>
  <si>
    <t>ALARM SYSTEM -- PACIFIC SHOP</t>
  </si>
  <si>
    <t>1.5 YD R/L CONTAINERS</t>
  </si>
  <si>
    <t>1.5 YD F/L CONTAINERS</t>
  </si>
  <si>
    <t>PHONE SYSTEM UPGRADE</t>
  </si>
  <si>
    <t>PACIFIC PHONE SYSTEM UPGRADE</t>
  </si>
  <si>
    <t>5 YD</t>
  </si>
  <si>
    <t>Building</t>
  </si>
  <si>
    <t>65 GALLON GREEN CARTS</t>
  </si>
  <si>
    <t>4 YD F/L CONTAINERS</t>
  </si>
  <si>
    <t>95 GALLON BLUE YARD WASTE</t>
  </si>
  <si>
    <t>VIDEO CAMERA</t>
  </si>
  <si>
    <t>Truck</t>
  </si>
  <si>
    <t>35 GALLON GREEN CARTS</t>
  </si>
  <si>
    <t>ROLL OFF</t>
  </si>
  <si>
    <t>TOTAL ROLL OFF</t>
  </si>
  <si>
    <t>Garbage</t>
  </si>
  <si>
    <t>04 IHC 7400 W/ 20 YD PACKER</t>
  </si>
  <si>
    <t>07 INT'L W/20 YD METROPAK R/L</t>
  </si>
  <si>
    <t>07 INT'L W/METROPAK R/L BODY</t>
  </si>
  <si>
    <t>RL SP</t>
  </si>
  <si>
    <t>06 PETE 320 W/40 YD F/L PACKER</t>
  </si>
  <si>
    <t>07 AUTOCAR W/F/L PACKER</t>
  </si>
  <si>
    <t>96 MACK TRUCK</t>
  </si>
  <si>
    <t>SL SP</t>
  </si>
  <si>
    <t>00 PETERBILT 320</t>
  </si>
  <si>
    <t>Yard Waste</t>
  </si>
  <si>
    <t>01 WXR64 W/27CY CURTENDER</t>
  </si>
  <si>
    <t>05 PETE W/27CY CURBTENDER</t>
  </si>
  <si>
    <t>06 PETE W/27 CY CURBTENDER</t>
  </si>
  <si>
    <t>07 PETE W/27 CY CURBTENDER</t>
  </si>
  <si>
    <t>07 PETE W/27 CY CURBTENDER BODY</t>
  </si>
  <si>
    <t>02 INT'L 9200I 6X4 ROLLOFF</t>
  </si>
  <si>
    <t>04 STERLING W/ROLLOFF</t>
  </si>
  <si>
    <t>06 VOLVO W/DROP BOX MECHANISM</t>
  </si>
  <si>
    <t>06 VOLVO W/ROLLOFF UNIT</t>
  </si>
  <si>
    <t>07 VOLVO W/HELM DROP</t>
  </si>
  <si>
    <t>2000 PETERBILT</t>
  </si>
  <si>
    <t>2000 PETERBILT 320</t>
  </si>
  <si>
    <t>20 YD DROP BOX</t>
  </si>
  <si>
    <t>30 YD DROP BOX</t>
  </si>
  <si>
    <t>40 YD DROP BOX</t>
  </si>
  <si>
    <t>Cost</t>
  </si>
  <si>
    <t>2002 INT'L 9200I</t>
  </si>
  <si>
    <t>2 YD F/L W/ PLAST. LID &amp; CASTR</t>
  </si>
  <si>
    <t>50</t>
  </si>
  <si>
    <t>TOTAL LEASEHOLD IMPROVEMENTS</t>
  </si>
  <si>
    <t>5 YD CONTAINERS</t>
  </si>
  <si>
    <t>5 YD FRONT LOAD</t>
  </si>
  <si>
    <t>HOOKLIFT ON FORD #4510</t>
  </si>
  <si>
    <t>TRAVEL EXP. ON #4510</t>
  </si>
  <si>
    <t>HOOKLIFT #4511</t>
  </si>
  <si>
    <t>95 GALLON CARTS - BLUE</t>
  </si>
  <si>
    <t>SHARP AR-405 COPIER</t>
  </si>
  <si>
    <t>HP LASERJET 4200DTN (PACIFIC)</t>
  </si>
  <si>
    <t>20 GALLON CART INSERTS</t>
  </si>
  <si>
    <t>35 GALLON GREEN CONTAINERS</t>
  </si>
  <si>
    <t>Beginning</t>
  </si>
  <si>
    <t>Quantity</t>
  </si>
  <si>
    <t>1 YD R/L CONTAINER</t>
  </si>
  <si>
    <t>1.5 YD COMBO W/ LIDS</t>
  </si>
  <si>
    <t>SHOP HEATER</t>
  </si>
  <si>
    <t>1.5 YD FRONT LOAD</t>
  </si>
  <si>
    <t>1.5 YD HEIL</t>
  </si>
  <si>
    <t>1.5 YD R/L W/ LIDS &amp; CASTORS</t>
  </si>
  <si>
    <t>10 YD DROP BOXES</t>
  </si>
  <si>
    <t>10 YD DROP BOX</t>
  </si>
  <si>
    <t>2 YD COMBO CONTAINERS</t>
  </si>
  <si>
    <t>2 YD R/L CONTAINER</t>
  </si>
  <si>
    <t>2 YD R/L W/ LIDS</t>
  </si>
  <si>
    <t>2 YD R/L W/LIDS</t>
  </si>
  <si>
    <t>20 GALLON ROLL OUT CART INSERT</t>
  </si>
  <si>
    <t>PHONES FOR PACIFIC DISPOSAL</t>
  </si>
  <si>
    <t>DIGITAL TELEPHONE SYSTEM</t>
  </si>
  <si>
    <t>PMT. ON PHONE SYSTEM</t>
  </si>
  <si>
    <t>BALANCE PD ON PHONE SYSTEM</t>
  </si>
  <si>
    <t>PRINTER AND MONITOR</t>
  </si>
  <si>
    <t>HP LJ 8100DN 32PPM W/AUTO</t>
  </si>
  <si>
    <t>USE TAX ON HP PRINTER</t>
  </si>
  <si>
    <t>FURNITURE FOR NEW OFFICE</t>
  </si>
  <si>
    <t>FIXTURES FOR NEW OFFICE</t>
  </si>
  <si>
    <t>COMPUTERS FOR NEW OFFICE</t>
  </si>
  <si>
    <t>PHONE SYSTEM</t>
  </si>
  <si>
    <t>PACIFIC SHOP COMPUTER</t>
  </si>
  <si>
    <t>UNISOFT CUSTOM WORKSTATION</t>
  </si>
  <si>
    <t>COMPUTER - PAC OFFICE</t>
  </si>
  <si>
    <t>COMPUTER WORKSTATION</t>
  </si>
  <si>
    <t>LAPTOP FOR EDGE SEMINAR</t>
  </si>
  <si>
    <t>SHELVING IN SHOP</t>
  </si>
  <si>
    <t>CABINET WASHER</t>
  </si>
  <si>
    <t>3 YD F/L W/ LIDS</t>
  </si>
  <si>
    <t>3 YD F/L W/LIDS</t>
  </si>
  <si>
    <t>35 GALLON CARTS</t>
  </si>
  <si>
    <t>35 GALLON CARTS - FOREST GREEN</t>
  </si>
  <si>
    <t>35 GALLON CARTS - GREEN</t>
  </si>
  <si>
    <t>35 GALLON CARTS - GREY</t>
  </si>
  <si>
    <t>35 GALLON FOREST GREEN REFUSE CARTS</t>
  </si>
  <si>
    <t>4 YD CONTAINERS</t>
  </si>
  <si>
    <t>68 GALLON GREEN CARTS</t>
  </si>
  <si>
    <t>2 YD R/L CONTAINERS</t>
  </si>
  <si>
    <t>40 YD DROP BOX W/LID</t>
  </si>
  <si>
    <t>40 YD STATIONARY COMPATORS</t>
  </si>
  <si>
    <t>95 GALLON  BLUE CARTS</t>
  </si>
  <si>
    <t>95 GALLON  BLUE YW CARTS</t>
  </si>
  <si>
    <t>95 GALLON  GREEN CARTS</t>
  </si>
  <si>
    <t>95 GALLON  GREEN CARTS W/BEIGE RECYCLE LID</t>
  </si>
  <si>
    <t>95 GALLON  GREEN RECYCLE CARTS W/IML LID</t>
  </si>
  <si>
    <t>95 GALLON  THUR CO RECYCLE CARTS</t>
  </si>
  <si>
    <t>95 GALLON AQUA BLUE CARTS</t>
  </si>
  <si>
    <t>95 GALLON AQUA CARTS</t>
  </si>
  <si>
    <t>95 GALLON BLUE YW CARTS</t>
  </si>
  <si>
    <t>2YD FRONT LOAD</t>
  </si>
  <si>
    <t>2 YD FRONT LOAD</t>
  </si>
  <si>
    <t>6 YD FRONT  LOAD</t>
  </si>
  <si>
    <t>CONVENTIONS</t>
  </si>
  <si>
    <t xml:space="preserve">Calendar year test period: </t>
  </si>
  <si>
    <t>mos in first year</t>
  </si>
  <si>
    <t>mos in 2nd year</t>
  </si>
  <si>
    <t>Second Year</t>
  </si>
  <si>
    <t>GARBAGE</t>
  </si>
  <si>
    <t>Accumulated</t>
  </si>
  <si>
    <t>Depreciation</t>
  </si>
  <si>
    <t>Dispositions must be in test period</t>
  </si>
  <si>
    <t>Asset Description</t>
  </si>
  <si>
    <t>Computes with one month convention</t>
  </si>
  <si>
    <t>i.e. whole month depreciation no</t>
  </si>
  <si>
    <t>matter what day of month put on</t>
  </si>
  <si>
    <t>service.</t>
  </si>
  <si>
    <t>Asset put in service in first month of test</t>
  </si>
  <si>
    <t>3 YD F/L CONTAINERS</t>
  </si>
  <si>
    <t>95 GALLON BLUE CARTS</t>
  </si>
  <si>
    <t>95 GALLON GREEN CARTS</t>
  </si>
  <si>
    <t>2 YD F/L CONTAINERS</t>
  </si>
  <si>
    <t>LEASEHOLD IMPROVEMENTS</t>
  </si>
  <si>
    <t>SHOP &amp; GARAGE</t>
  </si>
  <si>
    <t>TOTAL SHOP &amp; GARAGE</t>
  </si>
  <si>
    <t>CONCRETE CAP SLABS</t>
  </si>
  <si>
    <t>Test Year</t>
  </si>
  <si>
    <t>Drop Boxes</t>
  </si>
  <si>
    <t xml:space="preserve">Yard Waste </t>
  </si>
  <si>
    <t>Total Trucks</t>
  </si>
  <si>
    <t>Containers:</t>
  </si>
  <si>
    <t>Total Cont, Carts,Totes</t>
  </si>
  <si>
    <t>Service Equipment</t>
  </si>
  <si>
    <t>Office Equipment</t>
  </si>
  <si>
    <t>Total Equipment</t>
  </si>
  <si>
    <t>TOTAL YARD WASTE</t>
  </si>
  <si>
    <t>SERVICE EQUIPMENT</t>
  </si>
  <si>
    <t>1 YD F/L CONTAINERS</t>
  </si>
  <si>
    <t>period receives a full year depreciation</t>
  </si>
  <si>
    <t>but 1/2 of net assets for average investment</t>
  </si>
  <si>
    <t>Date in service cannot be after end of test period</t>
  </si>
  <si>
    <t>RO</t>
  </si>
  <si>
    <t>SL</t>
  </si>
  <si>
    <t>RL</t>
  </si>
  <si>
    <t>FL</t>
  </si>
  <si>
    <t>Roll Off</t>
  </si>
  <si>
    <t>DEL</t>
  </si>
  <si>
    <t>GREASER FOR 4054</t>
  </si>
  <si>
    <t>REC SP</t>
  </si>
  <si>
    <t xml:space="preserve">REC   </t>
  </si>
  <si>
    <t>REC</t>
  </si>
  <si>
    <t>05 GMC PU</t>
  </si>
  <si>
    <t>TOTAL GARBAGE</t>
  </si>
  <si>
    <t>YARD WASTE</t>
  </si>
  <si>
    <t>FET ON CURBTENDER BODY</t>
  </si>
  <si>
    <t>1 YD F/L F/T W/PLASTIC LIDS</t>
  </si>
  <si>
    <t>2 YD R/L W/PLASTIC LIDS</t>
  </si>
  <si>
    <t>3 YD F/L W/ PLAS LIDS &amp; CAST.</t>
  </si>
  <si>
    <t>3 YD F/L W/PLAS LIDS &amp; CASTR</t>
  </si>
  <si>
    <t>LIGHTING RETROFIT -- PAC SHOP</t>
  </si>
  <si>
    <t>20 GALLON CONTAINERS</t>
  </si>
  <si>
    <t>1996 INT'L 4700</t>
  </si>
  <si>
    <t>FLAT BED TO CONVERT TO DELIVERY</t>
  </si>
  <si>
    <t>ALUMINUM RECYCLE BODY</t>
  </si>
  <si>
    <t>95 GALLON CARTS - GREEN</t>
  </si>
  <si>
    <t>95 GALLON CARTS - NAVY BLUE</t>
  </si>
  <si>
    <t>95 GALLON REFUSE CARTS</t>
  </si>
  <si>
    <t>RADIO SYSTEM</t>
  </si>
  <si>
    <t>HP LASERJET 8150 PRINTER</t>
  </si>
  <si>
    <t>DC</t>
  </si>
  <si>
    <t>RW</t>
  </si>
  <si>
    <t>CAPITAL REPAIR ON #5001</t>
  </si>
  <si>
    <t>1990 TYPE M CURB</t>
  </si>
  <si>
    <t>FLUP - TRUCK 5013</t>
  </si>
  <si>
    <t/>
  </si>
  <si>
    <t>FLUP - TRUCK 3556</t>
  </si>
  <si>
    <t>1989 TYPE H REAR REL</t>
  </si>
  <si>
    <t>FLUP - TRUCK 1208</t>
  </si>
  <si>
    <t>FLUP-TRUCK 3575</t>
  </si>
  <si>
    <t>2009 PETERBILT 320 TYPE: H  TSIDE</t>
  </si>
  <si>
    <t>2009 TYPE H TSIDE ASL - CHASSIS, BODY, AUTOGREASER</t>
  </si>
  <si>
    <t>CONVERT TO DELIVERY TRUCK</t>
  </si>
  <si>
    <t>DRIVE CAMS</t>
  </si>
  <si>
    <t>DRIVE CAMS (ONSITE TECHNICIANS)</t>
  </si>
  <si>
    <t>PACIFIC ROUTEWARE INSTALLATIONS</t>
  </si>
  <si>
    <t>FLUP - TRUCK 4510</t>
  </si>
  <si>
    <t>FLUP - TRUCK 4511</t>
  </si>
  <si>
    <t>FLUP - TRUCK 4025</t>
  </si>
  <si>
    <t>FLUP - TRUCK 4030</t>
  </si>
  <si>
    <t>FLUP - TRUCK 4033</t>
  </si>
  <si>
    <t>08 VOLVO W/HELM ROLLOFF</t>
  </si>
  <si>
    <t>01 INT'L 4700 4X2 W/OLD BED</t>
  </si>
  <si>
    <t>FLUP - TRUCK 5042</t>
  </si>
  <si>
    <t>FLUP-TRUCK 5043</t>
  </si>
  <si>
    <t>07 AUTOCAR W/ MCNEILUS F/L BODY</t>
  </si>
  <si>
    <t>1990 TYPE H REAR REL</t>
  </si>
  <si>
    <t>FLUP - TRUCK 1214</t>
  </si>
  <si>
    <t>FLUP-TRUCK 3558</t>
  </si>
  <si>
    <t>FLUP - TRUCK 3572</t>
  </si>
  <si>
    <t>2183 Container List</t>
  </si>
  <si>
    <t>2183 Trucks List</t>
  </si>
  <si>
    <t>2183 - Other Equipment</t>
  </si>
  <si>
    <t>OFFICE ADDITION</t>
  </si>
  <si>
    <t>1991 CHEVY P/U</t>
  </si>
  <si>
    <t>88 CHEVY P/U</t>
  </si>
  <si>
    <t>THURSTON CO. MISC IMPROVEMENTS</t>
  </si>
  <si>
    <t>COMPUTER FOR OFFICE</t>
  </si>
  <si>
    <t>GARAGE DOORS (PAC SHOP)</t>
  </si>
  <si>
    <t>Z WALL LIGHTING (PACIFIC)</t>
  </si>
  <si>
    <t>TIP WALL AND PAVING (PACIFIC)</t>
  </si>
  <si>
    <t>PARTS WASHER (PACIFIC)</t>
  </si>
  <si>
    <t>MILLERMATIC WELDER</t>
  </si>
  <si>
    <t>GENERATOR -- PACIFIC OFFICE</t>
  </si>
  <si>
    <t>25' PLASMA TORCH</t>
  </si>
  <si>
    <t>WELDER</t>
  </si>
  <si>
    <t>HARRIS SELCO BALER W/ CONVEYOR</t>
  </si>
  <si>
    <t>EQUIPMENT</t>
  </si>
  <si>
    <t>CAN FLATTENER</t>
  </si>
  <si>
    <t>(2) HEATERS &amp; TANK W/ STAND</t>
  </si>
  <si>
    <t>10 TON FLOOR JACK</t>
  </si>
  <si>
    <t>PAIR OF 220 EMERSON FLOOR JACKS ($1,740/EACH)</t>
  </si>
  <si>
    <t>SHOP JACKS</t>
  </si>
  <si>
    <t>FORD 8000 COE (SHOP TRUCK)</t>
  </si>
  <si>
    <t>BALANCE ON PHONE SYSTEM</t>
  </si>
  <si>
    <t>COMPUTER N357061493+</t>
  </si>
  <si>
    <t>PKBL MONITOR &amp; DESKJET</t>
  </si>
  <si>
    <t>CONVERS. PAC. (SOFTWARE)</t>
  </si>
  <si>
    <t>GREASE SYSTEM/STRIPING ON 3556</t>
  </si>
  <si>
    <t xml:space="preserve">FILTER INSTALLED BY REBUILDER </t>
  </si>
  <si>
    <t>VEHICLE REPAIR</t>
  </si>
  <si>
    <t>CAPITAL REPAIR - TRANSMISSION</t>
  </si>
  <si>
    <t>01 PB 320 W/LEACH 27 YD CURBTENDER</t>
  </si>
  <si>
    <t>06 INT'L W/ 20YD METRO-PAK RL</t>
  </si>
  <si>
    <t>06 INT'L W/METRO-PAK RL</t>
  </si>
  <si>
    <t>06 PB W/27 CY WAYNE CURBTENDER</t>
  </si>
  <si>
    <t>07 PB W/27 CY CURBTENDER S/L BODY</t>
  </si>
  <si>
    <t>2000 VOLVO W/CASCON POWERLIFT RO</t>
  </si>
  <si>
    <t>00 PB 320 W/27YD LEACH CURBTENDER</t>
  </si>
  <si>
    <t>03 PB 320 W/27 CY CURBTENDER</t>
  </si>
  <si>
    <t>07 PB W/ 27 F/L CURBTENDER</t>
  </si>
  <si>
    <t>Total other Equipment</t>
  </si>
  <si>
    <t>Pacific Disposal and Butlers Cove Refuse Service</t>
  </si>
  <si>
    <t>FAS #</t>
  </si>
  <si>
    <t>New 2010 Autocar ACX FEL</t>
  </si>
  <si>
    <t>RESIDENTIAL RECYCLE</t>
  </si>
  <si>
    <t>MULTI-FAMILY RECYCLE</t>
  </si>
  <si>
    <t>INSTALL ROUTEWARE 5000</t>
  </si>
  <si>
    <t>Perform Inframe on Trck 3552</t>
  </si>
  <si>
    <t>GARBAGE CONTAINERS</t>
  </si>
  <si>
    <t>2 YD PLASTIC</t>
  </si>
  <si>
    <t>3 YD PLASTIC</t>
  </si>
  <si>
    <t>TOTAL GARBAGE CARTS</t>
  </si>
  <si>
    <t>TOTAL DROP BOXES</t>
  </si>
  <si>
    <t>DROP BOXES</t>
  </si>
  <si>
    <t>CURBSIDE RECYCLING</t>
  </si>
  <si>
    <t>TOTAL CURBSIDE RECYCLING</t>
  </si>
  <si>
    <t>35 GAL REFUSE - GREEN</t>
  </si>
  <si>
    <t>95 GAL REFUSE - GREEN</t>
  </si>
  <si>
    <t>65 GAL REFUSE - GREEN</t>
  </si>
  <si>
    <t>95 GAL - YW - DARK BLUE</t>
  </si>
  <si>
    <t>95 GAL - RECYCLE - GREEN W/ TAN LID</t>
  </si>
  <si>
    <t>4 YD PLASTIC &amp; 40 DRN PLUGS</t>
  </si>
  <si>
    <t>GRAND TOTAL CONTAINERS</t>
  </si>
  <si>
    <t>TOTAL RESIDENTIAL RECYCLE</t>
  </si>
  <si>
    <t>TOTAL MULTI-FAMILY RECYCLE</t>
  </si>
  <si>
    <t>TOTAL GARBAGE CONTAINERS</t>
  </si>
  <si>
    <t>GARBAGE CARTS</t>
  </si>
  <si>
    <t>OFFICE EQUIPMENT</t>
  </si>
  <si>
    <t>TOTAL OFFICE EQUIPMENT</t>
  </si>
  <si>
    <t>Stormwater Improvement (Installation of Oil Water Separator)</t>
  </si>
  <si>
    <t>Professional  Services for Stormwater Improvement</t>
  </si>
  <si>
    <t>Run Circuits to New Office Furniture</t>
  </si>
  <si>
    <t>Office Renovation for Pacific Disposal</t>
  </si>
  <si>
    <t>Supply Permit &amp; Connect Office Equipment</t>
  </si>
  <si>
    <t>Cubical panel installation for Pacific Disposal</t>
  </si>
  <si>
    <t>(7) Winterms for Pacific Disposal</t>
  </si>
  <si>
    <t>Phone System Upgrade Pacific</t>
  </si>
  <si>
    <t>RW Mappoint 2010 Licenses</t>
  </si>
  <si>
    <t>Kohler Gas Welder</t>
  </si>
  <si>
    <t>1992 International Pumper Truck</t>
  </si>
  <si>
    <t>RM Site Licenses &amp; Users</t>
  </si>
  <si>
    <t>Garbage Carts</t>
  </si>
  <si>
    <t>Recycling Carts</t>
  </si>
  <si>
    <t>2009 VOLVO VNM84T200 Type: H  DROP</t>
  </si>
  <si>
    <t>81014, 81012</t>
  </si>
  <si>
    <t>RM Site Licenses</t>
  </si>
  <si>
    <t>Depreciation Summary -2183</t>
  </si>
  <si>
    <t>Check</t>
  </si>
  <si>
    <t>RETIREMENTS/TRANSFERS 2011</t>
  </si>
  <si>
    <t>ITEMS BELOW WERE REMOVED DURING 2011 PER CLEAN UP DONE BY DISTRICT PERSONNEL</t>
  </si>
  <si>
    <t>FAR #</t>
  </si>
  <si>
    <t>1990 Pick-Up Truck (Utility) (U)</t>
  </si>
  <si>
    <t>Handheld Radios &amp; Repeater for Radios</t>
  </si>
  <si>
    <t>88725, 88721</t>
  </si>
  <si>
    <t>(32) Truck Radios</t>
  </si>
  <si>
    <t>(11) Truck Radios</t>
  </si>
  <si>
    <t>(18) Truck Radios</t>
  </si>
  <si>
    <t>(2) Truck Radios</t>
  </si>
  <si>
    <t>(3) Truck Radios</t>
  </si>
  <si>
    <t>2012 Peterbilt w/Wayne Body (N)</t>
  </si>
  <si>
    <t>Sony Internet TV</t>
  </si>
  <si>
    <t>91068, 92495, 92496</t>
  </si>
  <si>
    <t>Rebuild Engine #4511</t>
  </si>
  <si>
    <t>HP Probook 6460B &amp; Docking Stn</t>
  </si>
  <si>
    <t>RETIREMENTS/TRANSFERS 2012</t>
  </si>
  <si>
    <t>2011 Peterbilt w/ MeNeilus FEL (N)</t>
  </si>
  <si>
    <t>01 DODGE DAKOTA - Supervisor Truck</t>
  </si>
  <si>
    <t>06 DODGE DAKOTA - Shop Truck</t>
  </si>
  <si>
    <t>99 INTERNATIONAL TRUCK (Glass)</t>
  </si>
  <si>
    <t>ALUMINUM RECYCLING BODY (Glass)</t>
  </si>
  <si>
    <t>02 INT'L 4700 4X2 W/RECYCLE BODY (Glass)</t>
  </si>
  <si>
    <t>1992 NISSAN UD HOOK TRUCK</t>
  </si>
  <si>
    <t>2005 F150 EXTENDED CAB PICKUP (U) SUPERVISOR TRK</t>
  </si>
  <si>
    <t>NOT LICENSED IN 2012</t>
  </si>
  <si>
    <t>Rural Garbage Service &amp;</t>
  </si>
  <si>
    <t>1999 INTERNATIONAL TRUCK (Glass)</t>
  </si>
  <si>
    <t>HEIL 20YD BED</t>
  </si>
  <si>
    <t>TYRONE UNITS</t>
  </si>
  <si>
    <t>1996 VOLVO FE42</t>
  </si>
  <si>
    <t>SHOP WORK ON #1009</t>
  </si>
  <si>
    <t>ASL</t>
  </si>
  <si>
    <t>95877, 96158, 97258</t>
  </si>
  <si>
    <t>97273, 97274</t>
  </si>
  <si>
    <t>95 GAL - RECYCLE - FOREST GREEN</t>
  </si>
  <si>
    <t>20 GAL REFUSE - GREEN</t>
  </si>
  <si>
    <t>Replace R/O Body - TRUCK 4030</t>
  </si>
  <si>
    <t>96611, 96947, 96949</t>
  </si>
  <si>
    <t>Wash Rack System Replacement</t>
  </si>
  <si>
    <t>97550, 97551</t>
  </si>
  <si>
    <t>RM Licenses for LeMay Pacific</t>
  </si>
  <si>
    <t>Conference Room Furniture</t>
  </si>
  <si>
    <t>95 GALLON CARTS - BLUE (COMMERCIAL)</t>
  </si>
  <si>
    <t>20 GAL CARTS W/ LIDS - GREEN</t>
  </si>
  <si>
    <t>FEL</t>
  </si>
  <si>
    <t>2013 Peterbilt 320 w/ Wittke Starlight Body (N)</t>
  </si>
  <si>
    <t>Engine Repair - 1042</t>
  </si>
  <si>
    <t>97216, 102295</t>
  </si>
  <si>
    <t>RETIREMENTS/TRANSFERS 2013</t>
  </si>
  <si>
    <t>104090, 104091</t>
  </si>
  <si>
    <t>Model 5680 Floor Scrubber</t>
  </si>
  <si>
    <t>107452, 107453</t>
  </si>
  <si>
    <t>107129, 107130</t>
  </si>
  <si>
    <t>107428, 107429, 107430</t>
  </si>
  <si>
    <t>6 YD F/L CONTAINERS</t>
  </si>
  <si>
    <t>HP Compaq 6300 Pro</t>
  </si>
  <si>
    <t>Engine Replacement #3604</t>
  </si>
  <si>
    <t>109342, 109343</t>
  </si>
  <si>
    <t>Radio Frequency for Truck Radios</t>
  </si>
  <si>
    <t>Engine Replacement #3603</t>
  </si>
  <si>
    <t>2014 ASL Peterbilt/Wayne (N)</t>
  </si>
  <si>
    <t>2013 ASL Peterbilt/Wayne (N)</t>
  </si>
  <si>
    <t>2002 Dodge Pick-Up (Site Management) (N)</t>
  </si>
  <si>
    <t>Tarping System &amp; Installation #4046 (N)</t>
  </si>
  <si>
    <t>Tarping System &amp; Installation #4047 (N)</t>
  </si>
  <si>
    <t>Tarping System &amp; Installation #4061 (N)</t>
  </si>
  <si>
    <t>Tarping System &amp; Installatio #4068 (N)</t>
  </si>
  <si>
    <t>Tarping System &amp; Installation #4054 (N)</t>
  </si>
  <si>
    <t>111303, 111304</t>
  </si>
  <si>
    <t>2006 Ford F550 Service Truck (U)</t>
  </si>
  <si>
    <t>2014 Isuzu Service Truck</t>
  </si>
  <si>
    <t>Wyse Winterms D10D</t>
  </si>
  <si>
    <t>00 PETERBILT 320 W/LABRIE RECYCLER (N)</t>
  </si>
  <si>
    <t>111221, 111222</t>
  </si>
  <si>
    <t>Engine Replacement #245</t>
  </si>
  <si>
    <t>Transmission Replacement #245</t>
  </si>
  <si>
    <t>RETIREMENTS/TRANSFERS 2014</t>
  </si>
  <si>
    <t>Retired</t>
  </si>
  <si>
    <t>Transmission Repair - Trk #3552</t>
  </si>
  <si>
    <t>95 GAL - RECYCLE CART</t>
  </si>
  <si>
    <t>96 GAL - RECYCLE CART</t>
  </si>
  <si>
    <t>96 GAL REFUSE - GREEN</t>
  </si>
  <si>
    <t>64 GAL REFUSE - GREEN</t>
  </si>
  <si>
    <t>96 GAL - YW - DARK BLUE</t>
  </si>
  <si>
    <t>1.5 YD REL CONTAINERS</t>
  </si>
  <si>
    <t>2 YD REL CONTAINERS</t>
  </si>
  <si>
    <t>1 YD REL CONTAINERS</t>
  </si>
  <si>
    <t>Panasonic Toughbook 53/Diagnostic Link</t>
  </si>
  <si>
    <t>Trucks Diagnostic Reader</t>
  </si>
  <si>
    <t>3 YD REL CONTAINERS</t>
  </si>
  <si>
    <t>6 YD REL CONTAINERS</t>
  </si>
  <si>
    <t>4 YD REL CONTAINERS</t>
  </si>
  <si>
    <t>Miller Dimension 652 Carbon Arc Welder</t>
  </si>
  <si>
    <t>118138/118758</t>
  </si>
  <si>
    <t>RO Box Winches</t>
  </si>
  <si>
    <t>2015 ASL Peterbilt (N)</t>
  </si>
  <si>
    <t>REL</t>
  </si>
  <si>
    <t>2015 REL Peterbilt (N)</t>
  </si>
  <si>
    <t>RO-Spare</t>
  </si>
  <si>
    <t>Auto Tarper #4033</t>
  </si>
  <si>
    <t>Commercial Recycling</t>
  </si>
  <si>
    <t>1992 VOLVO FE42</t>
  </si>
  <si>
    <t>MOTOROLA RADIO</t>
  </si>
  <si>
    <t>VOLVO AUTO SHIFTER</t>
  </si>
  <si>
    <t>CART FLIPPER</t>
  </si>
  <si>
    <t>1995 NISSAN UD HOOK TRUCK</t>
  </si>
  <si>
    <t>'00 INT'L 4900 4X2 W/20 YD METRO-PAK</t>
  </si>
  <si>
    <t>'02 INT'L 4900 4X2 W/20 YD METROPAK</t>
  </si>
  <si>
    <t>2003 INTL 7400 20 Yd Rearload</t>
  </si>
  <si>
    <t>'04 INT'L 4300 SBA 4X2</t>
  </si>
  <si>
    <t>'05 AUTOCAR WX64 W/WITTKE BODY</t>
  </si>
  <si>
    <t>1997 TYPE H REL (U)</t>
  </si>
  <si>
    <t>Panel Van</t>
  </si>
  <si>
    <t>FLUP - TRUCK 1029</t>
  </si>
  <si>
    <t>FLUP - TRUCK 1559</t>
  </si>
  <si>
    <t>FLUP - TRUCK 2022</t>
  </si>
  <si>
    <t>(16) TRUCK RADIOS</t>
  </si>
  <si>
    <t>TOTAL COMMERCIAL RECYCLING</t>
  </si>
  <si>
    <t>GREASER UNIT FOR 4049</t>
  </si>
  <si>
    <t>06 VOLVO DROP TRUCK (50% Reg/50% Non-Reg)</t>
  </si>
  <si>
    <t>08 VOLVO W/HELM DROP (50% Reg/50% Non-Reg)</t>
  </si>
  <si>
    <t>Auto Tarper &amp; Installation #4062 (N)</t>
  </si>
  <si>
    <t>Auto Tarper &amp; Installation #4049 (N)</t>
  </si>
  <si>
    <t>Commercial Recycle</t>
  </si>
  <si>
    <t>2006 FORD F-150 SUPERVISOR TRK</t>
  </si>
  <si>
    <t>Sup Trk</t>
  </si>
  <si>
    <t>95 Gal Carts - Dark Blue</t>
  </si>
  <si>
    <t>65 Gal Carts - Forest Green</t>
  </si>
  <si>
    <t>95 Gal Carts - Forest Green</t>
  </si>
  <si>
    <t>2 YD RECYCLE CONTAINER</t>
  </si>
  <si>
    <t>5 YD F/L CONTAINERS</t>
  </si>
  <si>
    <t>30 YD DB LIDS</t>
  </si>
  <si>
    <t>99 INT'L 4700 VAN DELIVERY TRUCK</t>
  </si>
  <si>
    <t>123663/123665</t>
  </si>
  <si>
    <t>123659/123660</t>
  </si>
  <si>
    <t>3 YD FEL CONTAINERS</t>
  </si>
  <si>
    <t>6 YD FEL CONTAINERS</t>
  </si>
  <si>
    <t>122783/122791</t>
  </si>
  <si>
    <t>2006 Transcraft Delivery Trailer with Forklift (U)</t>
  </si>
  <si>
    <t>Body, Floor, Packer Repair #3603</t>
  </si>
  <si>
    <t>Transmission Repair #4061</t>
  </si>
  <si>
    <t>HP 640 Laptop &amp; Docking Station</t>
  </si>
  <si>
    <t>HP 650 Laptop &amp; Docking Station</t>
  </si>
  <si>
    <t>(4) HP ProDesk 600G1</t>
  </si>
  <si>
    <t>Winterm Upgrades (17)</t>
  </si>
  <si>
    <t>New HP 650 Laptop &amp; Docking Station - Controller</t>
  </si>
  <si>
    <t>125758/126400</t>
  </si>
  <si>
    <t>Landa Pressure Washer</t>
  </si>
  <si>
    <t>Parking Lot Paving</t>
  </si>
  <si>
    <t>RETIREMENTS/TRANSFERS 2015</t>
  </si>
  <si>
    <t>5 YD FEL CONTAINERS</t>
  </si>
  <si>
    <t>JLG 1932RS Scissor Lift- Forklift</t>
  </si>
  <si>
    <t xml:space="preserve">2016 REL Peterbilt </t>
  </si>
  <si>
    <t xml:space="preserve">2016 ASL </t>
  </si>
  <si>
    <t>HP SB Probook 650 G1</t>
  </si>
  <si>
    <t>35 GAL REFUSE</t>
  </si>
  <si>
    <t>96 GAL REFUSE</t>
  </si>
  <si>
    <t>(46) Samsung Tablets</t>
  </si>
  <si>
    <t>(14) Samsung Tablets</t>
  </si>
  <si>
    <t>(3) Samsung Tablets</t>
  </si>
  <si>
    <t>(10) Samsung Tablets</t>
  </si>
  <si>
    <t>(2) Samsung Tablets</t>
  </si>
  <si>
    <t>132279/139785/139930</t>
  </si>
  <si>
    <t>HP SB PROBOOK 650</t>
  </si>
  <si>
    <t>96 GAL YW CARTS</t>
  </si>
  <si>
    <t>64 GAL REFUSE</t>
  </si>
  <si>
    <t>2017 RO Truck</t>
  </si>
  <si>
    <t>2017 Recycle Truck</t>
  </si>
  <si>
    <t>170001/170262</t>
  </si>
  <si>
    <t>2017 Recycle Truck &amp; License</t>
  </si>
  <si>
    <t>169999/170263</t>
  </si>
  <si>
    <t>2017 FEL Truck</t>
  </si>
  <si>
    <t>2016 Ford F150 &amp; Registration</t>
  </si>
  <si>
    <t>167233/169241</t>
  </si>
  <si>
    <t>(4) Truck lifts and forklift adapter</t>
  </si>
  <si>
    <t>Shop Lighting</t>
  </si>
  <si>
    <t>2 YD CONTAINERS</t>
  </si>
  <si>
    <t>RETIREMENTS/TRANSFERS 2016</t>
  </si>
  <si>
    <t>RETIREMENTS/TRANSFERS 2017</t>
  </si>
  <si>
    <t>30 YD Lidded RO Boxes</t>
  </si>
  <si>
    <t>6 Yd Containers</t>
  </si>
  <si>
    <t>4 Yd Containers</t>
  </si>
  <si>
    <t>1 Yd Containers</t>
  </si>
  <si>
    <t>96 Gallon Yardwaste Carts</t>
  </si>
  <si>
    <t>35 Gallon Refuse Carts</t>
  </si>
  <si>
    <t>96 Gallon Refuse Carts</t>
  </si>
  <si>
    <t>40 yd lidded RO Boxes</t>
  </si>
  <si>
    <t>96 Gal Recycle Carts</t>
  </si>
  <si>
    <t>64 Gal MSW Carts</t>
  </si>
  <si>
    <t>64 Gallon MSW Carts and Lids</t>
  </si>
  <si>
    <t>35 Gallon Garbage</t>
  </si>
  <si>
    <t>96 Gallon Recycle Carts</t>
  </si>
  <si>
    <t>1.5 Yd Container</t>
  </si>
  <si>
    <t>20 gal Garbage Carts</t>
  </si>
  <si>
    <t>6 Yd FEL Containers</t>
  </si>
  <si>
    <t>1.5 Yd Rear Load Containers</t>
  </si>
  <si>
    <t>1 Yd Rear Load Containers</t>
  </si>
  <si>
    <t>30yd RO Boxes/ RO Metal Cont., 30 yd</t>
  </si>
  <si>
    <t>186157, 61096</t>
  </si>
  <si>
    <t>186158, 61097</t>
  </si>
  <si>
    <t>Hoist RO Body</t>
  </si>
  <si>
    <t>(5) Truck Tablets</t>
  </si>
  <si>
    <t>Salvage Value Calculations</t>
  </si>
  <si>
    <t>Adjustment to</t>
  </si>
  <si>
    <t>Amort of</t>
  </si>
  <si>
    <t>Total Depreciation</t>
  </si>
  <si>
    <t>Avg. Investment</t>
  </si>
  <si>
    <t>Adjusted Avg.</t>
  </si>
  <si>
    <t>Salvage Value</t>
  </si>
  <si>
    <t>For Test Period</t>
  </si>
  <si>
    <t>Fully Depr Assets</t>
  </si>
  <si>
    <t>Assets w/ Depr Life</t>
  </si>
  <si>
    <t>Fully Depreciated in 2016</t>
  </si>
  <si>
    <t>Fully Depreciated in 2017</t>
  </si>
  <si>
    <t>Potential Excluded Depreciation</t>
  </si>
  <si>
    <t>HP ProBook 650 G2</t>
  </si>
  <si>
    <t xml:space="preserve">Annual </t>
  </si>
  <si>
    <t>Truck #5001  Amort of salvage</t>
  </si>
  <si>
    <t>Truck #4510 Amort of salvage</t>
  </si>
  <si>
    <t>Truck #4511 Amort of salvage</t>
  </si>
  <si>
    <t>Truck #3561 Amort of salvage</t>
  </si>
  <si>
    <t>Truck #1040 Amort of salvage</t>
  </si>
  <si>
    <t>Truck #3575 Amort of salvage</t>
  </si>
  <si>
    <t>Truck #5001 Amort of salvage</t>
  </si>
  <si>
    <t>Truck #3586 Amort of salvage</t>
  </si>
  <si>
    <t>Truck #3590 Amort of salvage</t>
  </si>
  <si>
    <t>Truck #3591 Amort of salvage</t>
  </si>
  <si>
    <t>Truck #3593 Amort of salvage</t>
  </si>
  <si>
    <t>Truck #11088 Amort of salvage</t>
  </si>
  <si>
    <t>Truck #3603 Amort of salvage</t>
  </si>
  <si>
    <t>Truck #1054 Amort of salvage</t>
  </si>
  <si>
    <t>Truck #1067 Amort of salvage</t>
  </si>
  <si>
    <t>Truck #1062 Amort of salvage</t>
  </si>
  <si>
    <t>Truck #3606 Amort of salvage</t>
  </si>
  <si>
    <t>Truck #3622 Amort of salvage</t>
  </si>
  <si>
    <t>Truck #5012 Amort of salvage</t>
  </si>
  <si>
    <t>Truck #3621 Amort of salvage</t>
  </si>
  <si>
    <t>Truck #67258 Amort of salvage</t>
  </si>
  <si>
    <t>Truck #68611 Amort of salvage</t>
  </si>
  <si>
    <t>Truck #2035 Amort of salvage</t>
  </si>
  <si>
    <t>Truck #3629 Amort of salvage</t>
  </si>
  <si>
    <t>Truck #2036 Amort of salvage</t>
  </si>
  <si>
    <t>Truck #4025 Amort of salvage</t>
  </si>
  <si>
    <t>Truck #4030 Amort of salvage</t>
  </si>
  <si>
    <t>Truck #4033 Amort of salvage</t>
  </si>
  <si>
    <t>Truck #4046 Amort of salvage</t>
  </si>
  <si>
    <t>Truck #4047 Amort of salvage</t>
  </si>
  <si>
    <t>Truck #4049 Amort of salvage</t>
  </si>
  <si>
    <t>Truck #4054 Amort of salvage</t>
  </si>
  <si>
    <t>Truck #4061 Amort of salvage</t>
  </si>
  <si>
    <t>Truck #4062 Amort of salvage</t>
  </si>
  <si>
    <t>Truck #4068 Amort of salvage</t>
  </si>
  <si>
    <t>Truck #5036 Amort of salvage</t>
  </si>
  <si>
    <t>Truck #5035 Amort of salvage</t>
  </si>
  <si>
    <t>Truck #5041 Amort of salvage</t>
  </si>
  <si>
    <t>Truck #5042 Amort of salvage</t>
  </si>
  <si>
    <t>Truck #5043 Amort of salvage</t>
  </si>
  <si>
    <t>Truck #5045 Amort of salvage</t>
  </si>
  <si>
    <t>Truck #3598 Amort of salvage</t>
  </si>
  <si>
    <t>Truck #3599 Amort of salvage</t>
  </si>
  <si>
    <t>Truck #3600 Amort of salvage</t>
  </si>
  <si>
    <t>Truck #3601 Amort of salvage</t>
  </si>
  <si>
    <t>Truck #3602 Amort of salvage</t>
  </si>
  <si>
    <t>Truck #3604 Amort of salvage</t>
  </si>
  <si>
    <t>Truck #3615 Amort of salvage</t>
  </si>
  <si>
    <t>Truck #68612 Amort of salvage</t>
  </si>
  <si>
    <t>Truck #3558 Amort of salvage</t>
  </si>
  <si>
    <t>Truck #3572 Amort of salvage</t>
  </si>
  <si>
    <t>Truck #3605 Amort of salvage</t>
  </si>
  <si>
    <t>Truck #4512 Amort of salvage</t>
  </si>
  <si>
    <t>Truck #4518 Amort of salvage</t>
  </si>
  <si>
    <t>Truck #2022 Amort of salvage</t>
  </si>
  <si>
    <t>Truck #9243 Amort of salvage</t>
  </si>
  <si>
    <t>Truck #9206 Amort of salvage</t>
  </si>
  <si>
    <t>Truck #6020 Amort of salvage</t>
  </si>
  <si>
    <t>Truck #6029 Amort of salvage</t>
  </si>
  <si>
    <t>Truck #6050 Amort of salvage</t>
  </si>
  <si>
    <t>International Pumper Truck Amort of salvage</t>
  </si>
  <si>
    <t>Truck #6047 Amort of salvage</t>
  </si>
  <si>
    <t>Routeware Amort of salvage</t>
  </si>
  <si>
    <t>Decals for New Truck Labrie</t>
  </si>
  <si>
    <t>191852/191688</t>
  </si>
  <si>
    <t>2018 ASL Truck Peterbilt Automated Sideload</t>
  </si>
  <si>
    <t>191687/114283</t>
  </si>
  <si>
    <t>Body for Truck</t>
  </si>
  <si>
    <t>2018 Hooklift Truck Stellar Retriever Truck</t>
  </si>
  <si>
    <t>2018 CD Truck</t>
  </si>
  <si>
    <t>65 Gallon Refuse Carts</t>
  </si>
  <si>
    <t>2018 ASL Truck Labrie</t>
  </si>
  <si>
    <t>96G Recycle Containers</t>
  </si>
  <si>
    <t>30 Yd RO Boxes</t>
  </si>
  <si>
    <t>2Yd RL Metal  Containers</t>
  </si>
  <si>
    <t>New ASL Pete 320 RHD/Labrie Automizer 29YD (UTC)</t>
  </si>
  <si>
    <t>New Pete 320 Chassis / Wittke Starlight FEL Truck</t>
  </si>
  <si>
    <t>New REL Pete 220/New Way Cobra 16yd</t>
  </si>
  <si>
    <t>New Glass Truck Pete 320/Kann Recy Body (UTC)</t>
  </si>
  <si>
    <t>194075/194074</t>
  </si>
  <si>
    <t>196852/194074</t>
  </si>
  <si>
    <t>Decals</t>
  </si>
  <si>
    <t>200622/199117</t>
  </si>
  <si>
    <t>Mobile Radio</t>
  </si>
  <si>
    <t>203437/202090</t>
  </si>
  <si>
    <t>Overweight  Permit for Truck 3672</t>
  </si>
  <si>
    <t>New Supervisor pickup Ford F150</t>
  </si>
  <si>
    <t>35 Gallon Refuse Containers</t>
  </si>
  <si>
    <t>96 Gallon Refuse Containers</t>
  </si>
  <si>
    <t>64 Gallon Refuse Container</t>
  </si>
  <si>
    <t>65 Gallon Refuse Containers</t>
  </si>
  <si>
    <t>96 Gallon Refuse Container</t>
  </si>
  <si>
    <t>Year/Mo</t>
  </si>
  <si>
    <t>Fully Depr</t>
  </si>
  <si>
    <t>First Year</t>
  </si>
  <si>
    <t>Annual</t>
  </si>
  <si>
    <t>Fully Der</t>
  </si>
  <si>
    <t>2019 RO Truck</t>
  </si>
  <si>
    <t>30 YD Containers</t>
  </si>
  <si>
    <t>206416/204247</t>
  </si>
  <si>
    <t>25 Yd Containers</t>
  </si>
  <si>
    <t>RETIREMENTS/TRANSFERS 2018</t>
  </si>
  <si>
    <t>3 Axle Trailer w/ 24 R/O Boom Muonthed</t>
  </si>
  <si>
    <t>4 Yd Metal Containers</t>
  </si>
  <si>
    <t>3 Yd Metal Containers</t>
  </si>
  <si>
    <t>1 Yd Metal Containers</t>
  </si>
  <si>
    <t>6 Yd Metal Containers</t>
  </si>
  <si>
    <t>2 Yd Metal Containers</t>
  </si>
  <si>
    <t>2019 FEL Truck</t>
  </si>
  <si>
    <t>202167/203776</t>
  </si>
  <si>
    <t>202091/203775</t>
  </si>
  <si>
    <t>202090/203774</t>
  </si>
  <si>
    <t>Drive Cam &amp; Mobil Radio</t>
  </si>
  <si>
    <t>204944/203765/202090</t>
  </si>
  <si>
    <t>2019 ASL Truck</t>
  </si>
  <si>
    <t>205327/ 2016195</t>
  </si>
  <si>
    <t>205637/ 204943/ 205327</t>
  </si>
  <si>
    <t>Mobile Radio &amp; Drive Cam</t>
  </si>
  <si>
    <t>203829/ 204847/ 204842</t>
  </si>
  <si>
    <t>205641/ 204942/ 203829</t>
  </si>
  <si>
    <t>202838/ 204846/ 204845/ 204844</t>
  </si>
  <si>
    <t>202838/ 205638/ 204940</t>
  </si>
  <si>
    <t>204939/ 203764/ 202091</t>
  </si>
  <si>
    <t>195950/ 197581/ 197580/ 197493</t>
  </si>
  <si>
    <t>196996/ 197437/ 195950</t>
  </si>
  <si>
    <t>Radio &amp; Drive Cam</t>
  </si>
  <si>
    <t>199117/ 200989/ 199421</t>
  </si>
  <si>
    <t>203124/ 204843/ 204841</t>
  </si>
  <si>
    <t>203124/205640/ 204520</t>
  </si>
  <si>
    <t>202839/ 204840/ 204839</t>
  </si>
  <si>
    <t>202839/205642/ 204522</t>
  </si>
  <si>
    <t>202167/206320/ 204521</t>
  </si>
  <si>
    <t>Radio &amp; Drivecam</t>
  </si>
  <si>
    <t>20 YD Containers</t>
  </si>
  <si>
    <t>19.5 Yd Containers</t>
  </si>
  <si>
    <t>15 Yd Containers</t>
  </si>
  <si>
    <t>10 Yd Containers</t>
  </si>
  <si>
    <t>10 Yd Hook Lift Container</t>
  </si>
  <si>
    <t>2 Yd Containers</t>
  </si>
  <si>
    <t>203760/ 204911</t>
  </si>
  <si>
    <t>Drive Cam</t>
  </si>
  <si>
    <t>Resi Recycle</t>
  </si>
  <si>
    <t>Roll off</t>
  </si>
  <si>
    <t>Amort Salvage Value of 18-19 Retired Trucks</t>
  </si>
  <si>
    <t>1999 Type H Van Box</t>
  </si>
  <si>
    <t>12 ft Storage Units</t>
  </si>
  <si>
    <t>22 ft Storage Units</t>
  </si>
  <si>
    <t>210490/61085</t>
  </si>
  <si>
    <t>Capital Repair Truck 1041 in Frame Rebuild</t>
  </si>
  <si>
    <t>HP ProBook 650 G4 Training Laptop</t>
  </si>
  <si>
    <t>Shop Diagnostic Laptop w/ Software</t>
  </si>
  <si>
    <t>35 Gallons Refuse Containers</t>
  </si>
  <si>
    <t>96 Gallon Recycle Containers</t>
  </si>
  <si>
    <t>New Roll Off Truck</t>
  </si>
  <si>
    <t>MRF Building</t>
  </si>
  <si>
    <t>MRF BUILDING</t>
  </si>
  <si>
    <t>TOTAL MRF BUILDING</t>
  </si>
  <si>
    <t>Comm Recycle</t>
  </si>
  <si>
    <t>64 Gallon Refus Carts</t>
  </si>
  <si>
    <t>N</t>
  </si>
  <si>
    <t>Y-2184</t>
  </si>
  <si>
    <t>Y-2149</t>
  </si>
  <si>
    <t>Y- 2189</t>
  </si>
  <si>
    <t>Y-2195</t>
  </si>
  <si>
    <t>Date Disposed/Transferred</t>
  </si>
  <si>
    <t>NBV</t>
  </si>
  <si>
    <t>Transferred?</t>
  </si>
  <si>
    <t>Proceeds</t>
  </si>
  <si>
    <t>218214/216379</t>
  </si>
  <si>
    <t>Engine Replacement #4068</t>
  </si>
  <si>
    <t>64 Gallon Refuse Carts</t>
  </si>
  <si>
    <t>21 Gallon Refuse Containers</t>
  </si>
  <si>
    <t>40 Yd RO Boxes</t>
  </si>
  <si>
    <t>2yd Metal Containers</t>
  </si>
  <si>
    <t>5yd Metal Containers</t>
  </si>
  <si>
    <t>6yd Metal Containers</t>
  </si>
  <si>
    <t>5 Yd Metal Containers</t>
  </si>
  <si>
    <t>6Yd FEL Metal Container</t>
  </si>
  <si>
    <t>3Yd FEL Metal Containers</t>
  </si>
  <si>
    <t>2yd FEL Metal Containers</t>
  </si>
  <si>
    <t>1.5yd FEL Metal Containers</t>
  </si>
  <si>
    <t>2019 ASL Pete 320 RHD/Labrie Automizer 29YD</t>
  </si>
  <si>
    <t>2019 Ford Pickup - Supervisor</t>
  </si>
  <si>
    <t>219336/222161</t>
  </si>
  <si>
    <t>2020 Peterbilt ASL Truck</t>
  </si>
  <si>
    <t>2020 Peterbilt RO Truck</t>
  </si>
  <si>
    <t>2020 Peterbilt FEL Truck</t>
  </si>
  <si>
    <t>Engine Overhaul #1038</t>
  </si>
  <si>
    <t>210008/216734/217913</t>
  </si>
  <si>
    <t>Retirements/Transfers 2019</t>
  </si>
  <si>
    <t>2020 Peterbilt ROL Truck</t>
  </si>
  <si>
    <t>237513/239454/239455</t>
  </si>
  <si>
    <t>2021 Peterbilt Hooklift Truck</t>
  </si>
  <si>
    <t>236404/239456</t>
  </si>
  <si>
    <t xml:space="preserve">Drive Cam </t>
  </si>
  <si>
    <t>61094/230207</t>
  </si>
  <si>
    <t>Cap Repair: Truck 1045 Engine Inframe Rebuild</t>
  </si>
  <si>
    <t>2020 Ford Pickup Truck</t>
  </si>
  <si>
    <t>232602/233145</t>
  </si>
  <si>
    <t>5YD Commercial Containers</t>
  </si>
  <si>
    <t>5 yd FEL Metal Containers</t>
  </si>
  <si>
    <t>1.5 yd REL Metal Containers</t>
  </si>
  <si>
    <t>2 yd REL Metal Conatiners</t>
  </si>
  <si>
    <t>2 yd FEL Metal Containers</t>
  </si>
  <si>
    <t>3 yd FEL Metal Containers</t>
  </si>
  <si>
    <t>1 yd REL Metal Containers</t>
  </si>
  <si>
    <t>6 yd FEL Metal Containers</t>
  </si>
  <si>
    <t>25 yd Drop-Boxes</t>
  </si>
  <si>
    <t>30 yd RO Boxes</t>
  </si>
  <si>
    <t>20 yd RO Containers</t>
  </si>
  <si>
    <t>30 yd RO Containers</t>
  </si>
  <si>
    <t>95 Gallon Refuse Containers</t>
  </si>
  <si>
    <t>95 Gallon Yardwaste</t>
  </si>
  <si>
    <t>95 Gallon Recycle Containers</t>
  </si>
  <si>
    <t>64 Gallon Refuse Containers</t>
  </si>
  <si>
    <t>236851/236329</t>
  </si>
  <si>
    <t>20 Gallon Refuse Containers</t>
  </si>
  <si>
    <t>96 Gallon Yardwaste Conatiners</t>
  </si>
  <si>
    <t>95 Gal Yardwaste Totes</t>
  </si>
  <si>
    <t>96 Gal MSW Totes</t>
  </si>
  <si>
    <t>HP SB ProDesk 600 Serial MXL9511WR2</t>
  </si>
  <si>
    <t>(108) SF300 DriveCams</t>
  </si>
  <si>
    <t>(30) Power Harnesses for new DriveCams</t>
  </si>
  <si>
    <t>240614/240613</t>
  </si>
  <si>
    <t>(2) SF300 DriveCams</t>
  </si>
  <si>
    <t>240653/237513</t>
  </si>
  <si>
    <t>236404/240654</t>
  </si>
  <si>
    <t>New RO Truck 4523 Decals</t>
  </si>
  <si>
    <t>236404/240655</t>
  </si>
  <si>
    <t>Licensing for Truck 4523</t>
  </si>
  <si>
    <t>35 Gallons MSW Totes</t>
  </si>
  <si>
    <t>95 Gallon MSW Totes</t>
  </si>
  <si>
    <t>95 Gallon Recycle Totes</t>
  </si>
  <si>
    <t>95 Gallon Yardwaste Totes</t>
  </si>
  <si>
    <t>20 yd RO Boxes</t>
  </si>
  <si>
    <t>241234/242363</t>
  </si>
  <si>
    <t>Truck 3703 Decals</t>
  </si>
  <si>
    <t>241234/242536</t>
  </si>
  <si>
    <t>DriveCam</t>
  </si>
  <si>
    <t>241234/242699</t>
  </si>
  <si>
    <t>Radio</t>
  </si>
  <si>
    <t>2021 Peterbilt Recycle Truck</t>
  </si>
  <si>
    <t>6yd FEL Metal Commercial Containers</t>
  </si>
  <si>
    <t>4 Yd Metal Commercial Containers</t>
  </si>
  <si>
    <t>6Yd Metal Commercial Containers</t>
  </si>
  <si>
    <t>1 Yd FEL Metal Commercial Containers</t>
  </si>
  <si>
    <t>2 Yd FEL Metal Commercial Containers</t>
  </si>
  <si>
    <t>3 Yd FEL Metal Commercial Containers</t>
  </si>
  <si>
    <t>5 Yd FEL Metal Commercial Containers</t>
  </si>
  <si>
    <t>2 Yd REL Metal Commercial Containers</t>
  </si>
  <si>
    <t>1 Yd REL Metal Commercial Containers</t>
  </si>
  <si>
    <t>2021 Peterbilt REL Truck</t>
  </si>
  <si>
    <t>242814/244665</t>
  </si>
  <si>
    <t>243666/244666</t>
  </si>
  <si>
    <t>243666/244803</t>
  </si>
  <si>
    <t>Truck 1088 Radio</t>
  </si>
  <si>
    <t>30YD Containers</t>
  </si>
  <si>
    <t>20 Yard R/O Containers</t>
  </si>
  <si>
    <t>30 Yard R/O Containers</t>
  </si>
  <si>
    <t>35 YD Rolloff</t>
  </si>
  <si>
    <t>65 Gallon MSW Totes</t>
  </si>
  <si>
    <t>2020 Retirements/Transfers</t>
  </si>
  <si>
    <t>Retirements/Transfers 2020</t>
  </si>
  <si>
    <t>Retirements/Transfers 2021</t>
  </si>
  <si>
    <t>Assets Through 12/31/2020</t>
  </si>
  <si>
    <t>Building - Shop</t>
  </si>
  <si>
    <t>TOTAL BUILDING SHOP</t>
  </si>
  <si>
    <t>TOTAL BUILDING OFFICE</t>
  </si>
  <si>
    <t>BUILDING OFFICE</t>
  </si>
  <si>
    <t>Building - Office</t>
  </si>
  <si>
    <t>+</t>
  </si>
  <si>
    <t>New Asset Adds from Fixed Asset Report (1/1/2021 Forward)</t>
  </si>
  <si>
    <t>Proforma Additions</t>
  </si>
  <si>
    <t>Combined Summary</t>
  </si>
  <si>
    <t>=</t>
  </si>
  <si>
    <t>Row Labels</t>
  </si>
  <si>
    <t>Sum of Cost</t>
  </si>
  <si>
    <t>Sum of Test Year Depreciation</t>
  </si>
  <si>
    <t>Sum of BOY Accum</t>
  </si>
  <si>
    <t>Sum of EOY Accum</t>
  </si>
  <si>
    <t>Sum of EOY Average Investment</t>
  </si>
  <si>
    <t>MSW Carts</t>
  </si>
  <si>
    <t>MSW/Recycle Containers</t>
  </si>
  <si>
    <t>Old</t>
  </si>
  <si>
    <t>Service Equip</t>
  </si>
  <si>
    <t>YW Carts</t>
  </si>
  <si>
    <t>Grand Total</t>
  </si>
  <si>
    <t>2183-16-0023</t>
  </si>
  <si>
    <t>2183-17-0001</t>
  </si>
  <si>
    <t>2183-18-0016</t>
  </si>
  <si>
    <t>2183-19-0001</t>
  </si>
  <si>
    <t>2183-20-0019</t>
  </si>
  <si>
    <t>2183-21-0001</t>
  </si>
  <si>
    <t>2183-21-0001-1</t>
  </si>
  <si>
    <t>2183-21-0016</t>
  </si>
  <si>
    <t>2183-21-0016-1</t>
  </si>
  <si>
    <t>2183-21-0017</t>
  </si>
  <si>
    <t>Location</t>
  </si>
  <si>
    <t>AssetID</t>
  </si>
  <si>
    <t>ParentChild</t>
  </si>
  <si>
    <t>Description</t>
  </si>
  <si>
    <t>MFGSerialNum</t>
  </si>
  <si>
    <t>ModelYear</t>
  </si>
  <si>
    <t>VendorMfg</t>
  </si>
  <si>
    <t>BodyManuf</t>
  </si>
  <si>
    <t>InsuranceCategory</t>
  </si>
  <si>
    <t>InServiceDate</t>
  </si>
  <si>
    <t>AcquisitionDate</t>
  </si>
  <si>
    <t>PONumber</t>
  </si>
  <si>
    <t>EstimatedLife</t>
  </si>
  <si>
    <t>AssetGL</t>
  </si>
  <si>
    <t>AcqValue</t>
  </si>
  <si>
    <t>AccumulatedGL</t>
  </si>
  <si>
    <t>CurrentLifeToDate</t>
  </si>
  <si>
    <t>CurrentYearToDate</t>
  </si>
  <si>
    <t>ExpenseGL</t>
  </si>
  <si>
    <t>CurrentPeriodDepr</t>
  </si>
  <si>
    <t>AcqType</t>
  </si>
  <si>
    <t>FormerCompany</t>
  </si>
  <si>
    <t>CompAsstNo</t>
  </si>
  <si>
    <t>ActivityCd</t>
  </si>
  <si>
    <t>DeprMethod</t>
  </si>
  <si>
    <t>Fixed Asset Register</t>
  </si>
  <si>
    <t>Asset #</t>
  </si>
  <si>
    <t>Model Year</t>
  </si>
  <si>
    <t>Body Mfg</t>
  </si>
  <si>
    <t>In Service Date</t>
  </si>
  <si>
    <t>CER #</t>
  </si>
  <si>
    <t>Useful Life</t>
  </si>
  <si>
    <t>Asset Account</t>
  </si>
  <si>
    <t>Expense Account</t>
  </si>
  <si>
    <t>Former Company</t>
  </si>
  <si>
    <t>Company Asset #</t>
  </si>
  <si>
    <t>Activity Cd</t>
  </si>
  <si>
    <t>Truck #</t>
  </si>
  <si>
    <t>Month</t>
  </si>
  <si>
    <t>Year Fully Dep</t>
  </si>
  <si>
    <t>Year/Mo Fully Dep</t>
  </si>
  <si>
    <t>BOY Accum</t>
  </si>
  <si>
    <t>EOY Accum</t>
  </si>
  <si>
    <t>EOY Average Investment</t>
  </si>
  <si>
    <t>P</t>
  </si>
  <si>
    <t>40 RouteTab Mounts for 2183 Thurston Cty</t>
  </si>
  <si>
    <t>PROCLIPUSA</t>
  </si>
  <si>
    <t>1010-20-0033-2</t>
  </si>
  <si>
    <t>Internal</t>
  </si>
  <si>
    <t>A</t>
  </si>
  <si>
    <t>8 RouteTab Mounts for 2183 Yakima</t>
  </si>
  <si>
    <t>8 Samsung Active Pro Tablets for 2183</t>
  </si>
  <si>
    <t>COMPLETE TABLET SOLUTIONS</t>
  </si>
  <si>
    <t>1010-20-0033-1</t>
  </si>
  <si>
    <t>New Office Building - Furniture</t>
  </si>
  <si>
    <t>GORDON PRODUCTS INC</t>
  </si>
  <si>
    <t>REHRIG PACIFIC COMPANY IN</t>
  </si>
  <si>
    <t>Non-Container Audit</t>
  </si>
  <si>
    <t>2183-21-0015-1</t>
  </si>
  <si>
    <t>New Office Building</t>
  </si>
  <si>
    <t>SITTS &amp; HILL ENGINEERS IN</t>
  </si>
  <si>
    <t>New Office Furniture</t>
  </si>
  <si>
    <t>MOUNTAIN CONSTRUCTION INC</t>
  </si>
  <si>
    <t>BEST BUY</t>
  </si>
  <si>
    <t>Drive Cam Units</t>
  </si>
  <si>
    <t>1010-21-0038</t>
  </si>
  <si>
    <t>New Office Building - IT Equipment</t>
  </si>
  <si>
    <t>New Office Building - Cameras</t>
  </si>
  <si>
    <t>35 Gallon refuse Containers</t>
  </si>
  <si>
    <t>95 Gallon Plastic YardwasteTotes</t>
  </si>
  <si>
    <t>65 Gallon Plastic Refuse Totes</t>
  </si>
  <si>
    <t>MAYES TESTING ENGINEERS I</t>
  </si>
  <si>
    <t>6Yd Metal FEL Commercial Containers</t>
  </si>
  <si>
    <t>WASTEQUIP LLC</t>
  </si>
  <si>
    <t>6 YD FEL Container</t>
  </si>
  <si>
    <t>2183-21-0014-1</t>
  </si>
  <si>
    <t>5Yd Metal FEL Commercial Containers</t>
  </si>
  <si>
    <t>5 YD FEL Container</t>
  </si>
  <si>
    <t>3Yd Metal FEL Commercial Containers</t>
  </si>
  <si>
    <t>2Yd Metal FEL Commercial Containers</t>
  </si>
  <si>
    <t>1.5Yd Metal FEL Commercial Containers</t>
  </si>
  <si>
    <t>Decals for Truck 3718</t>
  </si>
  <si>
    <t>Larsen Sign Co.</t>
  </si>
  <si>
    <t>Non-Rolling Stock</t>
  </si>
  <si>
    <t>2183-21-0006-1</t>
  </si>
  <si>
    <t>License for Truck 3718</t>
  </si>
  <si>
    <t>WA State DOL</t>
  </si>
  <si>
    <t>PUGET SOUND ENERGY</t>
  </si>
  <si>
    <t>2021 Peterbilt ASL Truck - Warranties - COVID 2183-20-0023</t>
  </si>
  <si>
    <t>WESTERN PETERBILT LLC</t>
  </si>
  <si>
    <t>2183-21-0004-1</t>
  </si>
  <si>
    <t>Truck 3705 Radio</t>
  </si>
  <si>
    <t>WHISLER COMMUNICATIONS</t>
  </si>
  <si>
    <t>Truck 3704 Radio</t>
  </si>
  <si>
    <t>2183-21-0003-1</t>
  </si>
  <si>
    <t>Truck 3705 License</t>
  </si>
  <si>
    <t>2183-21-0004</t>
  </si>
  <si>
    <t>New Pacific Office building</t>
  </si>
  <si>
    <t>New Pacific Office Building</t>
  </si>
  <si>
    <t>New Office Permitting</t>
  </si>
  <si>
    <t>1 Yard REL Containers</t>
  </si>
  <si>
    <t>Island</t>
  </si>
  <si>
    <t>CAPITAL INDUSTRIES, INC.</t>
  </si>
  <si>
    <t>2 YD FEL/REL/SL Metal</t>
  </si>
  <si>
    <t>4YD Containers</t>
  </si>
  <si>
    <t>LeMay Enterprises</t>
  </si>
  <si>
    <t>1.5 Yard Commercial Containers</t>
  </si>
  <si>
    <t>3 Yard Commercial Containers</t>
  </si>
  <si>
    <t>1 Yard Commercial Containers</t>
  </si>
  <si>
    <t>95 Gallon Plastic Refuse Totes</t>
  </si>
  <si>
    <t>2022 Peterbilt ASL Truck</t>
  </si>
  <si>
    <t>3BPDLK0X8NF111051</t>
  </si>
  <si>
    <t>2183-21-0006</t>
  </si>
  <si>
    <t>2YD Metal REL Container</t>
  </si>
  <si>
    <t>CAPITAL INDUSTRIES INC</t>
  </si>
  <si>
    <t>2 YD REL Container</t>
  </si>
  <si>
    <t>2183-21-0013-1</t>
  </si>
  <si>
    <t>1 Yd Metal REL Containers</t>
  </si>
  <si>
    <t>1 YD REL Container</t>
  </si>
  <si>
    <t>1.5 Yd Metal REL Containers</t>
  </si>
  <si>
    <t>1.5 YD REL Container</t>
  </si>
  <si>
    <t>Decals &amp; License</t>
  </si>
  <si>
    <t>2183-21-0003</t>
  </si>
  <si>
    <t>5 YD Container</t>
  </si>
  <si>
    <t>4 YD Container</t>
  </si>
  <si>
    <t>3 YD Container</t>
  </si>
  <si>
    <t>22 YD Storage Containers</t>
  </si>
  <si>
    <t>2 YD Container</t>
  </si>
  <si>
    <t>1.5 YD Container</t>
  </si>
  <si>
    <t>1 YD Container</t>
  </si>
  <si>
    <t>2183-21-0012-1</t>
  </si>
  <si>
    <t>Resi Truck 3705 Decals</t>
  </si>
  <si>
    <t>65 Gallon Refuse Totes</t>
  </si>
  <si>
    <t>2021 Peterbilt ASL Truck- Body</t>
  </si>
  <si>
    <t>3BPDLK0XXMF110112</t>
  </si>
  <si>
    <t>2021 Peterbilt ASL Truck- Chassis</t>
  </si>
  <si>
    <t>2183-20-0023</t>
  </si>
  <si>
    <t>95 Gallon Refuse Totes</t>
  </si>
  <si>
    <t>3BPDLK0XXMF110109</t>
  </si>
  <si>
    <t>2183-20-0024</t>
  </si>
  <si>
    <t>REL Truck 1088 Decals</t>
  </si>
  <si>
    <t>Larsen SIgn Co.</t>
  </si>
  <si>
    <t>2183-20-0028-1</t>
  </si>
  <si>
    <t>Glass Truck 5051 Decals</t>
  </si>
  <si>
    <t>2183-20-0026-1</t>
  </si>
  <si>
    <t>Tommie Vaugh Rebate</t>
  </si>
  <si>
    <t>2183-19-0017</t>
  </si>
  <si>
    <t>Truck 5051 Radio</t>
  </si>
  <si>
    <t>Lytx</t>
  </si>
  <si>
    <t>2183-20-0036-1</t>
  </si>
  <si>
    <t>Lewis Clark</t>
  </si>
  <si>
    <t>3BPDLK0X4MF110199</t>
  </si>
  <si>
    <t>Peterbilt</t>
  </si>
  <si>
    <t>Leach</t>
  </si>
  <si>
    <t>2183-20-0028</t>
  </si>
  <si>
    <t>2183-20-0035-1</t>
  </si>
  <si>
    <t>5 YD FEL Metal Commercial Containers</t>
  </si>
  <si>
    <t>5 Yd FEL Metal Commercial Container</t>
  </si>
  <si>
    <t>3BPDHJ7X5MF110195</t>
  </si>
  <si>
    <t>Kann</t>
  </si>
  <si>
    <t>Recycle Truck</t>
  </si>
  <si>
    <t>2183-20-0026</t>
  </si>
  <si>
    <t>2183-20-0025-1</t>
  </si>
  <si>
    <t>2183-20-0037-1</t>
  </si>
  <si>
    <t>3BPDLK0X7LF108414</t>
  </si>
  <si>
    <t>Labrie</t>
  </si>
  <si>
    <t>2183-20-0025</t>
  </si>
  <si>
    <t>WA DOL</t>
  </si>
  <si>
    <t>2183-20-0027-1</t>
  </si>
  <si>
    <t>Larsen Sign Co</t>
  </si>
  <si>
    <t>2183-20-0021-1</t>
  </si>
  <si>
    <t>License</t>
  </si>
  <si>
    <t>License on RO Truck</t>
  </si>
  <si>
    <t>2183-20-0033-1</t>
  </si>
  <si>
    <t>1NPCX4EX1LD730317</t>
  </si>
  <si>
    <t>AA Welding</t>
  </si>
  <si>
    <t>2183-20-0021</t>
  </si>
  <si>
    <t>2Yd FEL Metal Containers</t>
  </si>
  <si>
    <t>2183-20-0034-1</t>
  </si>
  <si>
    <t>2Yd REL Metal Containers</t>
  </si>
  <si>
    <t>1.5yd REL Metal Containers</t>
  </si>
  <si>
    <t>5Yd FEL Metal Containers</t>
  </si>
  <si>
    <t>1Yd REL Metal Containers</t>
  </si>
  <si>
    <t>95 Gallon Yardwaste Containers</t>
  </si>
  <si>
    <t>TOTER LLC</t>
  </si>
  <si>
    <t>3BPPHM7X2MF593773</t>
  </si>
  <si>
    <t>Stellar</t>
  </si>
  <si>
    <t>2183-20-0027</t>
  </si>
  <si>
    <t>6 Yd FEL Metal Containers</t>
  </si>
  <si>
    <t>96gal MSW Totes</t>
  </si>
  <si>
    <t>2183-20-0029-1</t>
  </si>
  <si>
    <t>2183-20-0008-1</t>
  </si>
  <si>
    <t>95gal Yardwaste Totes</t>
  </si>
  <si>
    <t>1FTMF1CB5LKE11678</t>
  </si>
  <si>
    <t>Ford</t>
  </si>
  <si>
    <t>2183-20-0008</t>
  </si>
  <si>
    <t>DIRKS TRUCK REPAIR INC</t>
  </si>
  <si>
    <t>2183-20-0031-1</t>
  </si>
  <si>
    <t>20 Gallon Refuse Container</t>
  </si>
  <si>
    <t>HP Sb ProDesk 600 Serial-MXL9511WR2</t>
  </si>
  <si>
    <t>CDW</t>
  </si>
  <si>
    <t>2183-20-0030-1</t>
  </si>
  <si>
    <t>96 Gallon Yardwaste Containers</t>
  </si>
  <si>
    <t>30yd RO Boxes</t>
  </si>
  <si>
    <t>ENVIRONMENTAL METAL WORKS</t>
  </si>
  <si>
    <t>2183-19-0025-1</t>
  </si>
  <si>
    <t>LARSEN SIGN</t>
  </si>
  <si>
    <t>2183-19-0011-1</t>
  </si>
  <si>
    <t>2183-19-0010-1</t>
  </si>
  <si>
    <t>3BPDLK0X0LF107430</t>
  </si>
  <si>
    <t>2183-19-0012</t>
  </si>
  <si>
    <t>2183-19-0033-1</t>
  </si>
  <si>
    <t>License for Truck 3691</t>
  </si>
  <si>
    <t>WA DOL LIC &amp; REG 57165</t>
  </si>
  <si>
    <t>2183-19-0019-1</t>
  </si>
  <si>
    <t>License for Truck 4085</t>
  </si>
  <si>
    <t>2183-19-0015-1</t>
  </si>
  <si>
    <t>License for Truck 3692</t>
  </si>
  <si>
    <t>2183-19-0013-1</t>
  </si>
  <si>
    <t>decals</t>
  </si>
  <si>
    <t>LARSEN SIGN CO</t>
  </si>
  <si>
    <t>2183-19-0020-1</t>
  </si>
  <si>
    <t>2183-19-0014-1</t>
  </si>
  <si>
    <t>3BPDLK0X7LF107960</t>
  </si>
  <si>
    <t>2183-19-0020</t>
  </si>
  <si>
    <t>3BPDLK0X2LF107428</t>
  </si>
  <si>
    <t>2183-19-0011</t>
  </si>
  <si>
    <t>2183-19-0018-1</t>
  </si>
  <si>
    <t>2 Yard Commercial Containers</t>
  </si>
  <si>
    <t>2020 Peterbilt ROL Truck-Body</t>
  </si>
  <si>
    <t>SOLID WASTE SYSTEMS</t>
  </si>
  <si>
    <t>2020 Peterbilt ASL Truck- Body</t>
  </si>
  <si>
    <t>: New Supervisor Pickup- TT&amp;L</t>
  </si>
  <si>
    <t>2183-19-0017-1</t>
  </si>
  <si>
    <t>2020 Peterbilt RO Truck- Body</t>
  </si>
  <si>
    <t>1NPCX4EX0LD633996</t>
  </si>
  <si>
    <t>Truck #9183 Unit Rebuild</t>
  </si>
  <si>
    <t>Polar Service Centers</t>
  </si>
  <si>
    <t>2180-15-0016-1</t>
  </si>
  <si>
    <t>2002 Type H Dump</t>
  </si>
  <si>
    <t>1NKDXB0X42R890358</t>
  </si>
  <si>
    <t>Other</t>
  </si>
  <si>
    <t>Dump Truck</t>
  </si>
  <si>
    <t>Trailer #8496 Unit Rebuild</t>
  </si>
  <si>
    <t>2180-15-0041-1</t>
  </si>
  <si>
    <t>2002 Type H Pup Trailer</t>
  </si>
  <si>
    <t>1BN1P17452X001002</t>
  </si>
  <si>
    <t>3BPDLK0X8LF107322</t>
  </si>
  <si>
    <t>3BPDLK0X2LF107431</t>
  </si>
  <si>
    <t>2183-19-0019</t>
  </si>
  <si>
    <t>2183-19-0029-1</t>
  </si>
  <si>
    <t>96 Gallon Recycle Container</t>
  </si>
  <si>
    <t>1YD REL containers</t>
  </si>
  <si>
    <t>2188-13-0004-4</t>
  </si>
  <si>
    <t>6 Yard Commercial Containers</t>
  </si>
  <si>
    <t>1 YD REL Containers</t>
  </si>
  <si>
    <t>2188-14-0024-2</t>
  </si>
  <si>
    <t>4 Yard Commercial Containers</t>
  </si>
  <si>
    <t>Capital Repair: Truck 1038 Engine Overhaul</t>
  </si>
  <si>
    <t>Dirks Truck Repair, Inc</t>
  </si>
  <si>
    <t>2183-19-0032-1</t>
  </si>
  <si>
    <t>Drive Cam Unit</t>
  </si>
  <si>
    <t>LYTX</t>
  </si>
  <si>
    <t>2183-19-0009-1</t>
  </si>
  <si>
    <t>2020 Peterbilt RO Truck-Chassis</t>
  </si>
  <si>
    <t>1NPCX4EX0LD636445</t>
  </si>
  <si>
    <t>2183-19-0015</t>
  </si>
  <si>
    <t>2183-19-0014</t>
  </si>
  <si>
    <t>2183-19-0013</t>
  </si>
  <si>
    <t>2020 Peterbilt ASL Truck- Chassis</t>
  </si>
  <si>
    <t>3BPDLK0X6LF107321</t>
  </si>
  <si>
    <t>2183-19-0010</t>
  </si>
  <si>
    <t>2183-19-0028-1</t>
  </si>
  <si>
    <t>2019 Ford Pickup</t>
  </si>
  <si>
    <t>1FTMF1CB8KKE24892</t>
  </si>
  <si>
    <t>3BPDL70X8KF106277</t>
  </si>
  <si>
    <t>3BPDL70XXKF106281</t>
  </si>
  <si>
    <t>NOREGON</t>
  </si>
  <si>
    <t>2183-19-0022-1</t>
  </si>
  <si>
    <t>40yd RO Boxes</t>
  </si>
  <si>
    <t>Software</t>
  </si>
  <si>
    <t>Rush Truck Centers</t>
  </si>
  <si>
    <t>2183-19-0026-1</t>
  </si>
  <si>
    <t>2019 Peterbilt Body/AA welding Body RO Truck</t>
  </si>
  <si>
    <t>1NPCX4EX6KD627974</t>
  </si>
  <si>
    <t>2183-19-0016-1</t>
  </si>
  <si>
    <t>2183-19-0024-1</t>
  </si>
  <si>
    <t>Dirk's Truck Repair</t>
  </si>
  <si>
    <t>2183-19-0023-1</t>
  </si>
  <si>
    <t>2183-19-0021-1</t>
  </si>
  <si>
    <t>4 yd Metal Containers</t>
  </si>
  <si>
    <t>2183-18-0028-1</t>
  </si>
  <si>
    <t>3 yd Metal Containers</t>
  </si>
  <si>
    <t>1 yd Metal Containers</t>
  </si>
  <si>
    <t>1NPCX4EX3KD276215</t>
  </si>
  <si>
    <t>2183-18-0006-1</t>
  </si>
  <si>
    <t>6 yd Metal Containers</t>
  </si>
  <si>
    <t>2 yd Metal Containers</t>
  </si>
  <si>
    <t>30Yd Containers</t>
  </si>
  <si>
    <t>2183-18-0025-1</t>
  </si>
  <si>
    <t>2183-18-0027-1</t>
  </si>
  <si>
    <t>Whisler Communications</t>
  </si>
  <si>
    <t>2183-18-0017-1</t>
  </si>
  <si>
    <t>License for Truck 3687</t>
  </si>
  <si>
    <t>2183-18-0004-1</t>
  </si>
  <si>
    <t>2183-18-0022-1</t>
  </si>
  <si>
    <t>2183-18-0021-1</t>
  </si>
  <si>
    <t>2183-18-0007-1</t>
  </si>
  <si>
    <t>2183-18-0005-1</t>
  </si>
  <si>
    <t>3BPDL70XXKF103963</t>
  </si>
  <si>
    <t>Drivecam</t>
  </si>
  <si>
    <t>2183-18-0002-1</t>
  </si>
  <si>
    <t>2183-18-0008-1</t>
  </si>
  <si>
    <t>Use Tax</t>
  </si>
  <si>
    <t>2183-18-0015-1</t>
  </si>
  <si>
    <t>License for truck 2051</t>
  </si>
  <si>
    <t>License for Truck #3686</t>
  </si>
  <si>
    <t>License for Truck 2050</t>
  </si>
  <si>
    <t>2183-18-0026-1</t>
  </si>
  <si>
    <t>96 Gallon Recyle Containers</t>
  </si>
  <si>
    <t>3BPDL70XXKF104143</t>
  </si>
  <si>
    <t>TT&amp;L</t>
  </si>
  <si>
    <t>McNeilus</t>
  </si>
  <si>
    <t>2018 Ford F150</t>
  </si>
  <si>
    <t>1FTEX1EB9JKF44424</t>
  </si>
  <si>
    <t>WA DOT</t>
  </si>
  <si>
    <t>3BPDL70X7KF103306</t>
  </si>
  <si>
    <t>3BPDL70X2KF103956</t>
  </si>
  <si>
    <t>3BPDL70X1KF103964</t>
  </si>
  <si>
    <t>2183-18-0024-1</t>
  </si>
  <si>
    <t>3BPDL70X8KF103265</t>
  </si>
  <si>
    <t>2019 Recycle Truck</t>
  </si>
  <si>
    <t>3BPDHJ7X6KF104239</t>
  </si>
  <si>
    <t>3BPDL70X0KF103258</t>
  </si>
  <si>
    <t>License for Truck 3673</t>
  </si>
  <si>
    <t>2183-18-0003-1</t>
  </si>
  <si>
    <t>20YD Containers</t>
  </si>
  <si>
    <t>19.5 YD Containers</t>
  </si>
  <si>
    <t>20 Yd Containers</t>
  </si>
  <si>
    <t>10 YD Containers</t>
  </si>
  <si>
    <t>TOTER</t>
  </si>
  <si>
    <t>96 Gal YardWaste Totes</t>
  </si>
  <si>
    <t>2183-18-0023-1</t>
  </si>
  <si>
    <t>SIGN CONNECTIONS</t>
  </si>
  <si>
    <t>2018 ASL Truck</t>
  </si>
  <si>
    <t>3BPDL70X0JF161174</t>
  </si>
  <si>
    <t>Overweight  Permit for Truck 3671</t>
  </si>
  <si>
    <t>2183-18-0001-1</t>
  </si>
  <si>
    <t>SIGN CONNECTINS</t>
  </si>
  <si>
    <t>License for Truck 3671</t>
  </si>
  <si>
    <t>LYTX, INC</t>
  </si>
  <si>
    <t>NA</t>
  </si>
  <si>
    <t>2183-18-0020-1</t>
  </si>
  <si>
    <t>96 gal Yardwaste Totes</t>
  </si>
  <si>
    <t>WASTEQUIP TOTER</t>
  </si>
  <si>
    <t>3BPDL70X4JF161081</t>
  </si>
  <si>
    <t>Body for REL Truck</t>
  </si>
  <si>
    <t>Solid Waste Systems</t>
  </si>
  <si>
    <t>2018 REL Truck</t>
  </si>
  <si>
    <t>3BPPHM7X4JF591714</t>
  </si>
  <si>
    <t>Neway</t>
  </si>
  <si>
    <t>2183-17-0021-1</t>
  </si>
  <si>
    <t>1HTSCABN8XH646982</t>
  </si>
  <si>
    <t>International</t>
  </si>
  <si>
    <t>Container Delivery Truck</t>
  </si>
  <si>
    <t>2183-18-0019-1</t>
  </si>
  <si>
    <t>Decals for New Truck</t>
  </si>
  <si>
    <t>2183-17-0032-1</t>
  </si>
  <si>
    <t>3BPDL70X7JF161172</t>
  </si>
  <si>
    <t>2183-17-0027-1</t>
  </si>
  <si>
    <t>2018 Hooklift Truck</t>
  </si>
  <si>
    <t>3BPPHM7X3JF591817</t>
  </si>
  <si>
    <t>2183-17-0020-1</t>
  </si>
  <si>
    <t>Toter</t>
  </si>
  <si>
    <t>2183-17-0037-1</t>
  </si>
  <si>
    <t>2183-17-0034-1</t>
  </si>
  <si>
    <t>2183-17-0035-1</t>
  </si>
  <si>
    <t>3BPDL70X3JF187137</t>
  </si>
  <si>
    <t>2183-17-0019-1</t>
  </si>
  <si>
    <t>3BPDL70X1JF187136</t>
  </si>
  <si>
    <t>2183-17-0017-1</t>
  </si>
  <si>
    <t>3BPDL70XXJF187135</t>
  </si>
  <si>
    <t>2183-17-0016-1</t>
  </si>
  <si>
    <t>2183-17-0031-1</t>
  </si>
  <si>
    <t>30 Yd Lidded RO Boxes</t>
  </si>
  <si>
    <t>2183-17-0026-1</t>
  </si>
  <si>
    <t>2183-17-0025-1</t>
  </si>
  <si>
    <t>2183-17-0033-1</t>
  </si>
  <si>
    <t>RULE STEEL TANK INC</t>
  </si>
  <si>
    <t>2183-17-0029-1</t>
  </si>
  <si>
    <t>2183-17-0030-1</t>
  </si>
  <si>
    <t>40yd Lidded RO Boxes</t>
  </si>
  <si>
    <t>2183-17-0028-1</t>
  </si>
  <si>
    <t>2183-17-0024-1</t>
  </si>
  <si>
    <t>6 Yd Container</t>
  </si>
  <si>
    <t>RULE STEEL TANKS INC</t>
  </si>
  <si>
    <t>2183-17-0023-1</t>
  </si>
  <si>
    <t>1.5Yd Container</t>
  </si>
  <si>
    <t>1 Yd Container</t>
  </si>
  <si>
    <t>20gal Garbage Carts</t>
  </si>
  <si>
    <t>2183-17-0022-1</t>
  </si>
  <si>
    <t>2183-16-0036-1</t>
  </si>
  <si>
    <t>30yd RO Boxes / R.O Metal Cont, 30yd</t>
  </si>
  <si>
    <t>2183-16-0039-1</t>
  </si>
  <si>
    <t>3BPZL70X8HF173427</t>
  </si>
  <si>
    <t>2183-16-0022-1</t>
  </si>
  <si>
    <t>TOTER INCORPORATED</t>
  </si>
  <si>
    <t>2183-16-0035-1</t>
  </si>
  <si>
    <t>64 Gallon Refuse Carts and Lids</t>
  </si>
  <si>
    <t>35 Gallon Refuse Carts and Lids</t>
  </si>
  <si>
    <t>License for Truck #5047</t>
  </si>
  <si>
    <t>2183-16-0011-1</t>
  </si>
  <si>
    <t>License for Truck # 5049</t>
  </si>
  <si>
    <t>2183-16-0013-1</t>
  </si>
  <si>
    <t xml:space="preserve">GRAY AUTOMOTIVE PRODUCTS </t>
  </si>
  <si>
    <t>2183-16-0038-1</t>
  </si>
  <si>
    <t>3BPZHJ7X5HF173342</t>
  </si>
  <si>
    <t>3BPZHJ7X3HF173341</t>
  </si>
  <si>
    <t>2183-16-0012-1</t>
  </si>
  <si>
    <t>3BPZHJ7X1HF173340</t>
  </si>
  <si>
    <t>Upgrade shop lighting</t>
  </si>
  <si>
    <t>SARE Electric</t>
  </si>
  <si>
    <t>2183-16-0034-1</t>
  </si>
  <si>
    <t>Vehicle Registration</t>
  </si>
  <si>
    <t>2183-16-0033-1</t>
  </si>
  <si>
    <t>2017 R/O Truck</t>
  </si>
  <si>
    <t>1NPCX4EX3HD420029</t>
  </si>
  <si>
    <t>2183-16-0017-1</t>
  </si>
  <si>
    <t>5 Yard Commercial Containers</t>
  </si>
  <si>
    <t>2 Yd Dumpsters</t>
  </si>
  <si>
    <t>2183-16-0031-1</t>
  </si>
  <si>
    <t>2016 Ford F150</t>
  </si>
  <si>
    <t>1FTEX1E80GFC47659</t>
  </si>
  <si>
    <t>2183-16-0032-1</t>
  </si>
  <si>
    <t>3 40yd Roll Off Boxes</t>
  </si>
  <si>
    <t>35 Gallon Carts and Lids</t>
  </si>
  <si>
    <t>96 Gallon Yardwaste Carts and Lids</t>
  </si>
  <si>
    <t>96 Gallon Refuse Carts and Lids</t>
  </si>
  <si>
    <t>(75) Setup fees for Route Tablets at 2183</t>
  </si>
  <si>
    <t>Liquid Networx</t>
  </si>
  <si>
    <t>2183-16-0024-1</t>
  </si>
  <si>
    <t>(75) Tablet Mounting Hardware</t>
  </si>
  <si>
    <t>ProClip</t>
  </si>
  <si>
    <t>2183-16-0026-1</t>
  </si>
  <si>
    <t>40 Yd Containers with Lids</t>
  </si>
  <si>
    <t>2183-16-0029-1</t>
  </si>
  <si>
    <t>1.5 Yd REL Container</t>
  </si>
  <si>
    <t>2183-16-0028-1</t>
  </si>
  <si>
    <t>2183-16-0028-2</t>
  </si>
  <si>
    <t>3 Yd FEL Containers</t>
  </si>
  <si>
    <t>30 Yd Containers</t>
  </si>
  <si>
    <t>6 Yd Front Load Containers</t>
  </si>
  <si>
    <t>(75) Samsung Tab E  Tablets</t>
  </si>
  <si>
    <t>Verizon Wireless</t>
  </si>
  <si>
    <t>96 Gallon Forest Green w/ Green</t>
  </si>
  <si>
    <t>2183-16-0027-1</t>
  </si>
  <si>
    <t>96 Gallon Forest Green w/ Blue Lid</t>
  </si>
  <si>
    <t>35 gal Garbage cart</t>
  </si>
  <si>
    <t>35 Gallon Green Refuse Carts a Black Lids</t>
  </si>
  <si>
    <t>2183-15-0033-1</t>
  </si>
  <si>
    <t>2183-15-0037-1</t>
  </si>
  <si>
    <t>2016 ASL Truck</t>
  </si>
  <si>
    <t>3BPZL70X2GF100844</t>
  </si>
  <si>
    <t>Wayne</t>
  </si>
  <si>
    <t>2183-15-0009-1</t>
  </si>
  <si>
    <t>2016 REL Truck</t>
  </si>
  <si>
    <t>3BPZL70X3GF100626</t>
  </si>
  <si>
    <t>2183-15-0008-1</t>
  </si>
  <si>
    <t>JLG 1932RS Scissor Lift</t>
  </si>
  <si>
    <t>JLG</t>
  </si>
  <si>
    <t>N/A</t>
  </si>
  <si>
    <t>Forklift</t>
  </si>
  <si>
    <t>2183-15-0036-1</t>
  </si>
  <si>
    <t>96  Gallon Green Refuse Carts and Black Lids</t>
  </si>
  <si>
    <t>2183-15-0032-1</t>
  </si>
  <si>
    <t>64 Gallon Forest Green Refuse Carts w/Black Lids</t>
  </si>
  <si>
    <t>5 Yd FEL Containers</t>
  </si>
  <si>
    <t>2183-15-0031-2</t>
  </si>
  <si>
    <t>2Yd Rear Load Containers</t>
  </si>
  <si>
    <t>2183-15-0031-1</t>
  </si>
  <si>
    <t>35 Gallon Green Refuse Containers with Black Lids</t>
  </si>
  <si>
    <t>64 Gallon Green Refuse Containers and Black Lids</t>
  </si>
  <si>
    <t>96 Gallon Green Refuse Containers with Black Lids</t>
  </si>
  <si>
    <t>3Yd FEL Containers</t>
  </si>
  <si>
    <t>2183-15-0029-1</t>
  </si>
  <si>
    <t>Part and Installation Landa Pressure Washer</t>
  </si>
  <si>
    <t>AMB TOOLS</t>
  </si>
  <si>
    <t>JIMINI CONSTRUCTION</t>
  </si>
  <si>
    <t>2183-15-0028-1</t>
  </si>
  <si>
    <t>2 Yd RL Containers</t>
  </si>
  <si>
    <t>RULE STEEL TANK</t>
  </si>
  <si>
    <t>2183-15-0025-1</t>
  </si>
  <si>
    <t>1.5 Yd RL Containers</t>
  </si>
  <si>
    <t>1 Yd RL Containers</t>
  </si>
  <si>
    <t>6 Yd FL Containers</t>
  </si>
  <si>
    <t>3 Yd FL Containers</t>
  </si>
  <si>
    <t>Body, Floor, Packer Repair</t>
  </si>
  <si>
    <t>SOLID WASTE SYSTEMS INC</t>
  </si>
  <si>
    <t>2183-15-0027-1</t>
  </si>
  <si>
    <t>40 Yd Lidded  RO Boxes</t>
  </si>
  <si>
    <t>2183-15-0015-1</t>
  </si>
  <si>
    <t>96 Gallon Green Yardwaste Carts and Green Lids</t>
  </si>
  <si>
    <t>2183-15-0026-1</t>
  </si>
  <si>
    <t>64 Gallon Green Refuse Carts and Black Lids</t>
  </si>
  <si>
    <t>96 Gallon Green Recycle Carts and Blue Lids</t>
  </si>
  <si>
    <t>96 Gallon Green Refuse Carts and Black Lids</t>
  </si>
  <si>
    <t>35 Gallon Green Refuse Carts and Black Lids</t>
  </si>
  <si>
    <t>2183-15-0023-1</t>
  </si>
  <si>
    <t>96 Gallon Recycle Carts and Lids</t>
  </si>
  <si>
    <t>96 Gallon Reycle Carts and Lids</t>
  </si>
  <si>
    <t>Cap Repair - Transmission</t>
  </si>
  <si>
    <t>TEC-North American Transa</t>
  </si>
  <si>
    <t>2183-15-0020-1</t>
  </si>
  <si>
    <t>2183-15-0022-1</t>
  </si>
  <si>
    <t>2183-15-0021-1</t>
  </si>
  <si>
    <t>2183-15-0018-1</t>
  </si>
  <si>
    <t>2183-15-0019-1</t>
  </si>
  <si>
    <t>2183-15-0017-1</t>
  </si>
  <si>
    <t>2183-15-0016-1</t>
  </si>
  <si>
    <t>96 Gallon Recycle Carts with Blue Lids</t>
  </si>
  <si>
    <t>2183-15-0016-4</t>
  </si>
  <si>
    <t>96 Gallon Refuse Carts with Black Lids</t>
  </si>
  <si>
    <t>2183-15-0016-3</t>
  </si>
  <si>
    <t>65 Gallon Refuse Carts with Black Lids</t>
  </si>
  <si>
    <t>2183-15-0016-2</t>
  </si>
  <si>
    <t>Capitalized Labor for (72) RO Winch Replacements</t>
  </si>
  <si>
    <t>2183-14-0025-1</t>
  </si>
  <si>
    <t>Electrical Upgrades for Miller Carbon Arc Welder</t>
  </si>
  <si>
    <t>SARE ELECTRIC INC</t>
  </si>
  <si>
    <t>2183-14-0029-2</t>
  </si>
  <si>
    <t>R/O Winch Upgrades</t>
  </si>
  <si>
    <t>2015 ASL Truck</t>
  </si>
  <si>
    <t>3BPZL70X7FF273659</t>
  </si>
  <si>
    <t>2183-14-0013-1</t>
  </si>
  <si>
    <t>3BPZL70X9FF265742</t>
  </si>
  <si>
    <t>2183-14-0014-1</t>
  </si>
  <si>
    <t>3 Yd FEL Container</t>
  </si>
  <si>
    <t>2183-14-0026-1</t>
  </si>
  <si>
    <t>6Yd FEL Containers</t>
  </si>
  <si>
    <t>2183-14-0026-2</t>
  </si>
  <si>
    <t>4Yd FEL Containers</t>
  </si>
  <si>
    <t>2Yd FEL Container</t>
  </si>
  <si>
    <t>Improvement - Auto Tarper</t>
  </si>
  <si>
    <t>2183-14-0028-2</t>
  </si>
  <si>
    <t>2183-14-0027-1</t>
  </si>
  <si>
    <t>1 Yd REL Containers</t>
  </si>
  <si>
    <t>2 Yd REL Containers</t>
  </si>
  <si>
    <t>1.5 Yd REL Containers</t>
  </si>
  <si>
    <t>2183-14-0024-1</t>
  </si>
  <si>
    <t>Trucks Diagnostic Reader and Service Manual DVD</t>
  </si>
  <si>
    <t>Tec Equipment</t>
  </si>
  <si>
    <t>2183-14-0024-2</t>
  </si>
  <si>
    <t>2183-14-0022-1</t>
  </si>
  <si>
    <t>(12)  Digital radios and antennas</t>
  </si>
  <si>
    <t>2184-13-0005-1</t>
  </si>
  <si>
    <t>Rear Load Camera Truck #3</t>
  </si>
  <si>
    <t>2149-8-0026-8</t>
  </si>
  <si>
    <t>(2) Radios</t>
  </si>
  <si>
    <t>1HTWCAAN33J072538</t>
  </si>
  <si>
    <t>Heil</t>
  </si>
  <si>
    <t>03-2149-001</t>
  </si>
  <si>
    <t>Sony Internet TV (SN = 3S18264700B1CC0904071)</t>
  </si>
  <si>
    <t>cdw</t>
  </si>
  <si>
    <t>1010-12-0018-1</t>
  </si>
  <si>
    <t>(19) Mounted Radios &amp; (1) Handheld</t>
  </si>
  <si>
    <t>2183-11-0019-1</t>
  </si>
  <si>
    <t>Volvo</t>
  </si>
  <si>
    <t>95 Gallon Carts - Forest Green</t>
  </si>
  <si>
    <t>REHRIG PACIFIC COMPANY</t>
  </si>
  <si>
    <t>2184-11-0009-1</t>
  </si>
  <si>
    <t>95 Gallon Carts - Dark Blue</t>
  </si>
  <si>
    <t>65 Gallon Carts - Forest Green</t>
  </si>
  <si>
    <t>HP Pro 3130 PC (SN = SMXL1151MC5)</t>
  </si>
  <si>
    <t>2184-11-0010-1</t>
  </si>
  <si>
    <t>HP Pro 3130 PC (SN = SMXL1151MBL)</t>
  </si>
  <si>
    <t>2184-11-0008-1</t>
  </si>
  <si>
    <t>95 Gallon Carts - Blue</t>
  </si>
  <si>
    <t>10 Yard R/O Containers</t>
  </si>
  <si>
    <t>40 Yard R/O Containers</t>
  </si>
  <si>
    <t>2006 FORD F-150</t>
  </si>
  <si>
    <t>1FTPW14566FA06268</t>
  </si>
  <si>
    <t>2184-11-0007-1</t>
  </si>
  <si>
    <t>Distribute Drive Cams Invoices (Onsite Technicians)</t>
  </si>
  <si>
    <t>2184-9-0011-1</t>
  </si>
  <si>
    <t>For Install Drive Cam on Frontline (132 - DriveCams)</t>
  </si>
  <si>
    <t>Install AA Welding Auto Tarper</t>
  </si>
  <si>
    <t>2184-13-0001-2</t>
  </si>
  <si>
    <t>2008 Type H Drop R/O</t>
  </si>
  <si>
    <t>4V5M99EH08N487371</t>
  </si>
  <si>
    <t>Helm</t>
  </si>
  <si>
    <t>AA Welding Tarping System &amp; Installation</t>
  </si>
  <si>
    <t>2006 Type H Drop R/O</t>
  </si>
  <si>
    <t>2002 Type H Rear REL</t>
  </si>
  <si>
    <t>FLUP - Truck 1029</t>
  </si>
  <si>
    <t>2183-9-0019-1</t>
  </si>
  <si>
    <t>2000 Type H Rear REL</t>
  </si>
  <si>
    <t>1HTSDAAN6YH264787</t>
  </si>
  <si>
    <t>FLUP - 995Compactor</t>
  </si>
  <si>
    <t>2184-9-0001-1</t>
  </si>
  <si>
    <t>6 YD Container</t>
  </si>
  <si>
    <t>Comm Customer List</t>
  </si>
  <si>
    <t>4V5M99GH18N487358</t>
  </si>
  <si>
    <t>2004 Type M Hook HL</t>
  </si>
  <si>
    <t>1HTMMAAL84H664898</t>
  </si>
  <si>
    <t>1HTSDAAN72H523150</t>
  </si>
  <si>
    <t>95 Gal Yardwaste Plastic Carts &amp; Lids</t>
  </si>
  <si>
    <t>2000-14-0006-1</t>
  </si>
  <si>
    <t>20 Gal Carts</t>
  </si>
  <si>
    <t>2183-14-0021-1</t>
  </si>
  <si>
    <t>35 Gal Carts</t>
  </si>
  <si>
    <t>65 Gal Carts</t>
  </si>
  <si>
    <t>95 Gal Carts</t>
  </si>
  <si>
    <t>Side Loader Door Decals</t>
  </si>
  <si>
    <t>Sign Connections</t>
  </si>
  <si>
    <t>2186-13-0004-1</t>
  </si>
  <si>
    <t>2014 ASL Truck</t>
  </si>
  <si>
    <t>3BPZL70X5EF234891</t>
  </si>
  <si>
    <t>2014 Isuzu Truck</t>
  </si>
  <si>
    <t>JALE5W166E7301706</t>
  </si>
  <si>
    <t>Isuzu</t>
  </si>
  <si>
    <t>Heiser/ SWS</t>
  </si>
  <si>
    <t>Service Truck</t>
  </si>
  <si>
    <t>2183-13-0015-1</t>
  </si>
  <si>
    <t>Engine Replacement Unit 3603</t>
  </si>
  <si>
    <t>WESTERN PETERBILT, INC.</t>
  </si>
  <si>
    <t>2183-13-0018-1</t>
  </si>
  <si>
    <t>Radio Frequency</t>
  </si>
  <si>
    <t>2183-13-0017-1</t>
  </si>
  <si>
    <t>3BPZL70XXEF223336</t>
  </si>
  <si>
    <t>2183-13-0004-3</t>
  </si>
  <si>
    <t>2013 ASL Truck</t>
  </si>
  <si>
    <t>3BPZL70X9DF176282</t>
  </si>
  <si>
    <t>2183-13-0004-2</t>
  </si>
  <si>
    <t>3BPZL70X6DF184419</t>
  </si>
  <si>
    <t>2183-13-0004-1</t>
  </si>
  <si>
    <t>2183-13-0016-1</t>
  </si>
  <si>
    <t>95 Gallon Recycle Cart</t>
  </si>
  <si>
    <t>2183-13-0016-2</t>
  </si>
  <si>
    <t>95 Gallon Recycle Carts</t>
  </si>
  <si>
    <t>95 Gallon Refuse Cart</t>
  </si>
  <si>
    <t>2183-13-0016-3</t>
  </si>
  <si>
    <t>2183-13-0008-1</t>
  </si>
  <si>
    <t>2183-13-0008-3</t>
  </si>
  <si>
    <t>2183-13-0008-5</t>
  </si>
  <si>
    <t>2183-13-0008-2</t>
  </si>
  <si>
    <t>HP Compaq 6300 pro (SN = MXL3291GFX)</t>
  </si>
  <si>
    <t>2183-13-0013-1</t>
  </si>
  <si>
    <t>Remove Engine and re-install Remanufactured Engine</t>
  </si>
  <si>
    <t>N C MACHINERY</t>
  </si>
  <si>
    <t>2183-13-0014-1</t>
  </si>
  <si>
    <t>65 Gal Resi Carts w/lids</t>
  </si>
  <si>
    <t>2183-13-0002-5</t>
  </si>
  <si>
    <t>95 Gal Resi Carts</t>
  </si>
  <si>
    <t>2183-13-0002-4</t>
  </si>
  <si>
    <t>95 GAL Recycle Carts</t>
  </si>
  <si>
    <t>2183-13-0002-6</t>
  </si>
  <si>
    <t>6yd FEL Containers</t>
  </si>
  <si>
    <t>2183-13-0003-2</t>
  </si>
  <si>
    <t>4YD FEL Containers</t>
  </si>
  <si>
    <t>2183-13-0003-1</t>
  </si>
  <si>
    <t>1yd FEL Containers</t>
  </si>
  <si>
    <t>20 Gallon Residential Carts</t>
  </si>
  <si>
    <t>95 Gallon Carts</t>
  </si>
  <si>
    <t>2 YD CONTAINER</t>
  </si>
  <si>
    <t>35 Gal Resi Carts</t>
  </si>
  <si>
    <t>Input Form</t>
  </si>
  <si>
    <t>2183-13-0012-1</t>
  </si>
  <si>
    <t>Capital Repairs to 4021-Transmission</t>
  </si>
  <si>
    <t>OLYMPIC TRUCK SERVICE</t>
  </si>
  <si>
    <t>2183-13-0001-1</t>
  </si>
  <si>
    <t>95 Gallon  Resi Carts</t>
  </si>
  <si>
    <t>2183-13-0002-2</t>
  </si>
  <si>
    <t>95 Gallon Resi Carts</t>
  </si>
  <si>
    <t>2183-13-0002-3</t>
  </si>
  <si>
    <t>35 Gallon Resi Carts</t>
  </si>
  <si>
    <t>65 Gallon Resi Carts</t>
  </si>
  <si>
    <t>Capital Repair Engine-1042</t>
  </si>
  <si>
    <t>CASCADIA</t>
  </si>
  <si>
    <t>2183-13-0010-1</t>
  </si>
  <si>
    <t>Freight for (513) 35 Gallon Comm Recycle- Forest Green</t>
  </si>
  <si>
    <t>2183-13-0002-1</t>
  </si>
  <si>
    <t>35 Gallon Comm Recycle-Forest Green</t>
  </si>
  <si>
    <t>Wash Rack System Replacement Remaining Work not completed in 2012</t>
  </si>
  <si>
    <t>NORTHWEST ENVIRONMENTAL &amp;</t>
  </si>
  <si>
    <t>2183-13-0009-1</t>
  </si>
  <si>
    <t>Conference Room Furniture for Pacific Office (Lacey, WA)</t>
  </si>
  <si>
    <t>2183-12-0021-1</t>
  </si>
  <si>
    <t>2013 Peterbilt 320</t>
  </si>
  <si>
    <t>3BPZL70X4DF193460</t>
  </si>
  <si>
    <t>Peterbilt 320</t>
  </si>
  <si>
    <t>Wittke</t>
  </si>
  <si>
    <t>2183-12-0007-1</t>
  </si>
  <si>
    <t>3 RM Licenses for LeMay Pacific</t>
  </si>
  <si>
    <t>WESTERN MICROSYSTEMS</t>
  </si>
  <si>
    <t>2183-12-0015-1</t>
  </si>
  <si>
    <t>80 Liter Carts w/ Lids - Forest Green</t>
  </si>
  <si>
    <t>2183-12-0018-1</t>
  </si>
  <si>
    <t>HP Probook 6460b (SN = CNU241B5LH)</t>
  </si>
  <si>
    <t>2183-12-0022-1</t>
  </si>
  <si>
    <t>HP Docking Station (SN = CNU229ZQ98)</t>
  </si>
  <si>
    <t>95 Gallon Resi Recycle - Forest Green</t>
  </si>
  <si>
    <t>2183-12-0014-6</t>
  </si>
  <si>
    <t>2183-12-0014-5</t>
  </si>
  <si>
    <t>Additional work done for Waste Expo Truck</t>
  </si>
  <si>
    <t>3BPZL70X6CF168039</t>
  </si>
  <si>
    <t>2183-12-0005-1</t>
  </si>
  <si>
    <t>2183-12-0017-1</t>
  </si>
  <si>
    <t>95 Gallon Refuse - Forest Green</t>
  </si>
  <si>
    <t>2183-12-0018-4</t>
  </si>
  <si>
    <t>65 Gallon Refuse - Forest Green</t>
  </si>
  <si>
    <t>2183-12-0018-3</t>
  </si>
  <si>
    <t>2183-12-0018-5</t>
  </si>
  <si>
    <t>35 Gallon Refuse - Forest Green</t>
  </si>
  <si>
    <t>2183-12-0018-2</t>
  </si>
  <si>
    <t>2183-12-0014-4</t>
  </si>
  <si>
    <t>2183-12-0014-3</t>
  </si>
  <si>
    <t>2183-12-0014-2</t>
  </si>
  <si>
    <t>20 Gallon Refuse - Forest Green</t>
  </si>
  <si>
    <t>2183-12-0014-1</t>
  </si>
  <si>
    <t>Rcore Hardware Computer</t>
  </si>
  <si>
    <t>2180ROUTEWAR</t>
  </si>
  <si>
    <t>New 2012 Peterbil 320 w/ Wayne Body</t>
  </si>
  <si>
    <t>Replace R/O Body for Unit# 4030</t>
  </si>
  <si>
    <t>2183-12-0019-1</t>
  </si>
  <si>
    <t>95 Gallon Carts - Dark Aqua Blue</t>
  </si>
  <si>
    <t>#069743 t0 070228</t>
  </si>
  <si>
    <t>2183-12-0016-1</t>
  </si>
  <si>
    <t>HP Probook 6460b (SN = CNU21636V6) and Docking Station (SN = CNU151ZGCL)</t>
  </si>
  <si>
    <t>2183-12-0012-1</t>
  </si>
  <si>
    <t>HP Probook 6460B (SN = CNU2070JQR)  and Docking Station (CNU201Z3S5)</t>
  </si>
  <si>
    <t>2183-12-0011-1</t>
  </si>
  <si>
    <t>Labor to install New Engine in Unit# 4511</t>
  </si>
  <si>
    <t>OLYMPIC TRUCK</t>
  </si>
  <si>
    <t>2183-12-0010-1</t>
  </si>
  <si>
    <t>Core Credit for Truck# 4511</t>
  </si>
  <si>
    <t>HUSKY TRUCK</t>
  </si>
  <si>
    <t>95 Gallon Comm Recycle - Forest Green</t>
  </si>
  <si>
    <t>2183-12-0009-1</t>
  </si>
  <si>
    <t>Rebuild Engine on Truck 4511</t>
  </si>
  <si>
    <t>HUSKY INTERNATIONAL TRUCK</t>
  </si>
  <si>
    <t>Sony Internet TV (SN = 3S18264700B1CD1112368)</t>
  </si>
  <si>
    <t>New 2011 Packer FEL Truck</t>
  </si>
  <si>
    <t>3BPZL00X5BF115175</t>
  </si>
  <si>
    <t>2188-11-0014-1</t>
  </si>
  <si>
    <t>Repeater</t>
  </si>
  <si>
    <t>(79) Mounted Radios &amp; (12) Handheld</t>
  </si>
  <si>
    <t>3 RouteManager User Licenses</t>
  </si>
  <si>
    <t>2183-11-0022-1</t>
  </si>
  <si>
    <t>65 Gallon Carts &amp; Lids - Forest Green</t>
  </si>
  <si>
    <t>2183-11-0023-1</t>
  </si>
  <si>
    <t>35 Gallon Carts - Forest Green</t>
  </si>
  <si>
    <t>2183-11-0020-1</t>
  </si>
  <si>
    <t># 988023 T0 988508</t>
  </si>
  <si>
    <t>New 2012 Peterbilt w/ Wayne Body</t>
  </si>
  <si>
    <t>3BPZL70X0CF154833</t>
  </si>
  <si>
    <t>2183-11-0009-1</t>
  </si>
  <si>
    <t>2183-11-0001-1</t>
  </si>
  <si>
    <t>RouteManager Licenses 2 Users for LeMay Pacific</t>
  </si>
  <si>
    <t>DESERT MICRO</t>
  </si>
  <si>
    <t>2183-11-0017-1</t>
  </si>
  <si>
    <t>2183-11-0016-1</t>
  </si>
  <si>
    <t>35 Gallon Carts - Green</t>
  </si>
  <si>
    <t>#35040531-35041610</t>
  </si>
  <si>
    <t>2183-11-0015-1</t>
  </si>
  <si>
    <t>95 Gallon Green Carts &amp; Lids</t>
  </si>
  <si>
    <t>#986079-986321</t>
  </si>
  <si>
    <t>95 Gallon Forest Green Carts</t>
  </si>
  <si>
    <t>#985693 - 986078</t>
  </si>
  <si>
    <t>3 RouteManager Licenses for Pacific</t>
  </si>
  <si>
    <t>2184-11-0006-1</t>
  </si>
  <si>
    <t>26 Mappoint 2010 Licenses</t>
  </si>
  <si>
    <t>SOFTWARE ONE</t>
  </si>
  <si>
    <t>2183-10-0024-1</t>
  </si>
  <si>
    <t>ADD TAX AT .085 for Route Ware Licenses</t>
  </si>
  <si>
    <t>Tax on Invoice# 16591</t>
  </si>
  <si>
    <t>GAYNOR TELESYSTEMS</t>
  </si>
  <si>
    <t>2183-10-0022-1</t>
  </si>
  <si>
    <t>Tax on Invoice# 16560</t>
  </si>
  <si>
    <t>Tax on Invoice 16588 (Phone System)</t>
  </si>
  <si>
    <t>Tax on Invoice 15899 (Phone System)</t>
  </si>
  <si>
    <t>Tax On Invoice# 16457 (Phone System)</t>
  </si>
  <si>
    <t>Phone System port upgrade at Pacific</t>
  </si>
  <si>
    <t>Gaynor Telesystems</t>
  </si>
  <si>
    <t>NEC SV8300 and BBX</t>
  </si>
  <si>
    <t>Phone System for Pacfic Disposal</t>
  </si>
  <si>
    <t>Trailblazer 302 Kohler (Gas Welder), Suitecase Extreme</t>
  </si>
  <si>
    <t>MA410450H &amp; MA370324A</t>
  </si>
  <si>
    <t>AIRGAS NOR-PAC</t>
  </si>
  <si>
    <t>2183-10-0030-1</t>
  </si>
  <si>
    <t>95 Gallon Carts w/ Lids - Forest Green</t>
  </si>
  <si>
    <t># 988233 T0 988592</t>
  </si>
  <si>
    <t>REHRIG PACIFIC COMPANY-LA</t>
  </si>
  <si>
    <t>2183-10-0028-1</t>
  </si>
  <si>
    <t>35 Gallon Carts w/ Lids - Forest Green</t>
  </si>
  <si>
    <t># G35000261 T0 G35000530</t>
  </si>
  <si>
    <t>65 Gallon Forest Green Carts &amp; Lids</t>
  </si>
  <si>
    <t>#T53977 T0 T54624</t>
  </si>
  <si>
    <t>4 Yard FEL (Plastic) &amp; (40) Drain Plugs</t>
  </si>
  <si>
    <t>2183-10-0025-1</t>
  </si>
  <si>
    <t>Installation (Routeware 5000)</t>
  </si>
  <si>
    <t>ROUTEWARE INC</t>
  </si>
  <si>
    <t>2183-10-0005-1</t>
  </si>
  <si>
    <t>Freight (Routeware 5000)</t>
  </si>
  <si>
    <t>Reimbursable Travel Expenses (Routeware)</t>
  </si>
  <si>
    <t>Professional Services for Stormwater Improvements</t>
  </si>
  <si>
    <t>PACLAND</t>
  </si>
  <si>
    <t>2183-10-0019-1</t>
  </si>
  <si>
    <t>New 2010 Autocar ACX FEL Truck</t>
  </si>
  <si>
    <t>Autocar ACX</t>
  </si>
  <si>
    <t>1010-10-0028-1</t>
  </si>
  <si>
    <t>RouteManager Site Licenses and 21 Users for LeMay Pacific</t>
  </si>
  <si>
    <t>2183-10-0017-1</t>
  </si>
  <si>
    <t>OLYMPIA ELECTRIC</t>
  </si>
  <si>
    <t>2183-10-0015-1</t>
  </si>
  <si>
    <t>OLYMPIA ELECTRIC COMPANY</t>
  </si>
  <si>
    <t>2183-10-0023-1</t>
  </si>
  <si>
    <t>95 Gallon Carts - Dark Blue #65712 TO 66097</t>
  </si>
  <si>
    <t>95 Gallon Carts - Forest Green, SERIAL # 984261 TO #984746</t>
  </si>
  <si>
    <t>Professional  Services</t>
  </si>
  <si>
    <t>35 Gallon MB Carts w/ Lids - Green</t>
  </si>
  <si>
    <t>2183-10-0021-1</t>
  </si>
  <si>
    <t>CREATIVE OFFICE</t>
  </si>
  <si>
    <t>Materials and Labor for Stormwater Seperator</t>
  </si>
  <si>
    <t>SABIN ENTERPRISES INC</t>
  </si>
  <si>
    <t>Pacland</t>
  </si>
  <si>
    <t>Creative Office</t>
  </si>
  <si>
    <t>2183-10-0018-1</t>
  </si>
  <si>
    <t>Used 2005 FORD F150 Pickup</t>
  </si>
  <si>
    <t>1FTRF14W75NB98208</t>
  </si>
  <si>
    <t>Ford F150</t>
  </si>
  <si>
    <t>Pickup</t>
  </si>
  <si>
    <t>2183-10-0016-1</t>
  </si>
  <si>
    <t>Route Ware 5000</t>
  </si>
  <si>
    <t>2183-10-0011-1</t>
  </si>
  <si>
    <t>2183-10-0010-1</t>
  </si>
  <si>
    <t>95 Gallon Carts - Green</t>
  </si>
  <si>
    <t>2183-9-0029-1</t>
  </si>
  <si>
    <t>35 Gallon Forest Green Refuse Carts</t>
  </si>
  <si>
    <t>2183-9-0027-1</t>
  </si>
  <si>
    <t>2183-9-0022-1</t>
  </si>
  <si>
    <t>95 Gallon Carts - Navy Blue</t>
  </si>
  <si>
    <t>FLUP - Truck 4511</t>
  </si>
  <si>
    <t>2184-9-0005-1</t>
  </si>
  <si>
    <t>1996 Type M Hook HL</t>
  </si>
  <si>
    <t>1HTSCABK7TH272641</t>
  </si>
  <si>
    <t>10 Ton Floor Jack</t>
  </si>
  <si>
    <t>NAPA Auto Parts</t>
  </si>
  <si>
    <t>2183-9-0018-1</t>
  </si>
  <si>
    <t>Pair of 220 Emerson Floor Jacks ($1,740/each)</t>
  </si>
  <si>
    <t>Emerson</t>
  </si>
  <si>
    <t>FLUP - Truck 5600</t>
  </si>
  <si>
    <t>2183-9-0024-1</t>
  </si>
  <si>
    <t>FLUP - Truck 4030</t>
  </si>
  <si>
    <t>2183-9-0020-1</t>
  </si>
  <si>
    <t>35 Yard R/O Containers</t>
  </si>
  <si>
    <t>2183-9-0001-1</t>
  </si>
  <si>
    <t>HP 6730b Notebook SN SCNU8423YYD and Docking Station</t>
  </si>
  <si>
    <t>2183-9-0002-1</t>
  </si>
  <si>
    <t>Panasonic Toughbook 52 SN 8KTYA34668</t>
  </si>
  <si>
    <t>Shop Jacks</t>
  </si>
  <si>
    <t>ARI HETRA</t>
  </si>
  <si>
    <t>2183-8-0004-1</t>
  </si>
  <si>
    <t>Autogreaser for Truck 3621</t>
  </si>
  <si>
    <t>2183-8-0002-1</t>
  </si>
  <si>
    <t>Goodwill Entries</t>
  </si>
  <si>
    <t>LeMay</t>
  </si>
  <si>
    <t>Butlers Cove G Certificate</t>
  </si>
  <si>
    <t>Rural G Certificate</t>
  </si>
  <si>
    <t>Pacific G Certificate</t>
  </si>
  <si>
    <t>Lacey Building</t>
  </si>
  <si>
    <t>40YD.</t>
  </si>
  <si>
    <t>(108,900) Residential Customers ($10 each)</t>
  </si>
  <si>
    <t>Lacey Building Improvements</t>
  </si>
  <si>
    <t>Goodwil - LeMay Enterprises</t>
  </si>
  <si>
    <t>2009 Type H TSide ASL</t>
  </si>
  <si>
    <t>3BPZL50X49F719193</t>
  </si>
  <si>
    <t>3BPZL50X29F719192</t>
  </si>
  <si>
    <t>4V5M99GHX8N487360</t>
  </si>
  <si>
    <t>2007 Type H TSide ASL</t>
  </si>
  <si>
    <t>3BPZLD9X87F717683</t>
  </si>
  <si>
    <t>3BPZLD9X77F717576</t>
  </si>
  <si>
    <t>3BPZLD9X57F717575</t>
  </si>
  <si>
    <t>3BPZLD9XX7F717572</t>
  </si>
  <si>
    <t>2007 Type H Drop R/O</t>
  </si>
  <si>
    <t>4V5M99GHX7N481928</t>
  </si>
  <si>
    <t>2007 Type H Rear REL</t>
  </si>
  <si>
    <t>1HTWCAAN17J411769</t>
  </si>
  <si>
    <t>1HTWCAAN77J471894</t>
  </si>
  <si>
    <t>1HTWCAAN67J411766</t>
  </si>
  <si>
    <t>1HTWCAAN67J408429</t>
  </si>
  <si>
    <t>4V5M99GH86N425470</t>
  </si>
  <si>
    <t>4V5M99GH16N425469</t>
  </si>
  <si>
    <t>2006 Type H Rear REL</t>
  </si>
  <si>
    <t>1HTWCAAN76J265117</t>
  </si>
  <si>
    <t>1HTWCAANX6J265113</t>
  </si>
  <si>
    <t>2006 Type M Pick Up Car</t>
  </si>
  <si>
    <t>1D7HW28K56S715300</t>
  </si>
  <si>
    <t>Dodge</t>
  </si>
  <si>
    <t>2004 Type H Rear REL</t>
  </si>
  <si>
    <t>1HTWCAAN74J025837</t>
  </si>
  <si>
    <t>1991 Type M Service</t>
  </si>
  <si>
    <t>1GBGK24K6ME160753</t>
  </si>
  <si>
    <t>Chevrolet</t>
  </si>
  <si>
    <t>1986 Type H Service</t>
  </si>
  <si>
    <t>1FDYD80U0GVA01604</t>
  </si>
  <si>
    <t>Boom Truck</t>
  </si>
  <si>
    <t>Lacey Land</t>
  </si>
  <si>
    <t>Commercial MSW Truck</t>
  </si>
  <si>
    <t>Residential Recycling Truck</t>
  </si>
  <si>
    <t>Containers (Mixed)</t>
  </si>
  <si>
    <t>Carts (Mixed)</t>
  </si>
  <si>
    <t>MRF Equipment</t>
  </si>
  <si>
    <t>Res/Comm MSW Truck</t>
  </si>
  <si>
    <t>2022 Disposal/Transfers</t>
  </si>
  <si>
    <t>New Office Building - TAX UOP Electrical</t>
  </si>
  <si>
    <t>New Office Building - TAX UOP HVAC</t>
  </si>
  <si>
    <t>New Office Building - TAX UOP Plumbing</t>
  </si>
  <si>
    <t>New Office Building - TAX UOP Elevator</t>
  </si>
  <si>
    <t>New Office Building - TAX UOP Fire Protection</t>
  </si>
  <si>
    <t>1010-21-0039</t>
  </si>
  <si>
    <t>3rd Eye Camera</t>
  </si>
  <si>
    <t>3rd Eye Camera - Credit</t>
  </si>
  <si>
    <t>3rd Eye Camera - Cables</t>
  </si>
  <si>
    <t>3rd Eye Camera -Cables</t>
  </si>
  <si>
    <t>3rd Eye Camera - installs</t>
  </si>
  <si>
    <t>Pasted Values</t>
  </si>
  <si>
    <t>Live Pivot</t>
  </si>
  <si>
    <t>Mapping for Sumif</t>
  </si>
  <si>
    <t xml:space="preserve">Non-Rolling Stock </t>
  </si>
  <si>
    <t>2183-21-0009</t>
  </si>
  <si>
    <t>3BPDLK0X7NF112434</t>
  </si>
  <si>
    <t>2022 Peterbilt REL Truck</t>
  </si>
  <si>
    <t>2183-21-0010</t>
  </si>
  <si>
    <t>3BPDLK0X9NF112435</t>
  </si>
  <si>
    <t>2183-21-0019-1</t>
  </si>
  <si>
    <t>4 YD FEL Container</t>
  </si>
  <si>
    <t>4 yd FEL Metal Containers</t>
  </si>
  <si>
    <t>2183-21-0017-1</t>
  </si>
  <si>
    <t>Radio antenna</t>
  </si>
  <si>
    <t>2183-22-0012-1</t>
  </si>
  <si>
    <t>2 YD REL Containers</t>
  </si>
  <si>
    <t>1010-21-0060</t>
  </si>
  <si>
    <t>Geo Tablets</t>
  </si>
  <si>
    <t>2183-22-0014-1</t>
  </si>
  <si>
    <t>95 Gallon Plastic MSW Totes</t>
  </si>
  <si>
    <t>65 Gallon Plastic MSW Totes</t>
  </si>
  <si>
    <t>2183-22-0015-1</t>
  </si>
  <si>
    <t>CDW DIR #PO  2183-22-0</t>
  </si>
  <si>
    <t>HP ProBook 450 laptops Serial # : 5CD145NFDC; Serial # : 5CD145NNR7</t>
  </si>
  <si>
    <t>2183-22-0013-1</t>
  </si>
  <si>
    <t>6Yd FEL Container</t>
  </si>
  <si>
    <t>8Yd FEL Container</t>
  </si>
  <si>
    <t>5Yd FEL Containers</t>
  </si>
  <si>
    <t>2183-22-0018-1</t>
  </si>
  <si>
    <t>CDW DIR #2183</t>
  </si>
  <si>
    <t>HP Prodesk: SN MXL2113S7H</t>
  </si>
  <si>
    <t>HP Prodesk: SN MXL2113SF7</t>
  </si>
  <si>
    <t>HP Prodesk: SN MXL2113S92</t>
  </si>
  <si>
    <t>HP Prodesk: SN MXL2113S94</t>
  </si>
  <si>
    <t>HP Prodesk: SN 0107475960</t>
  </si>
  <si>
    <t>HP Prodesk: SN 0107859589</t>
  </si>
  <si>
    <t>2184-21-0001-1</t>
  </si>
  <si>
    <t>8yd FEL Metal OCC Containers</t>
  </si>
  <si>
    <t>8yd FEL  Metal OCC Containers</t>
  </si>
  <si>
    <t>8yd Metal FEL OCC Containers</t>
  </si>
  <si>
    <t xml:space="preserve">2022 Cont.Audit- Partial </t>
  </si>
  <si>
    <t>2183-22-0016-1</t>
  </si>
  <si>
    <t>3BPDLK0X3NF113158</t>
  </si>
  <si>
    <t>Truck 3720 radio</t>
  </si>
  <si>
    <t>Evergreen</t>
  </si>
  <si>
    <t>5 Yard Containers</t>
  </si>
  <si>
    <t>07-4025-015</t>
  </si>
  <si>
    <t>CONSOLIDATED FABRICATORS</t>
  </si>
  <si>
    <t>3 YD Containers</t>
  </si>
  <si>
    <t>2046-14-0025-1</t>
  </si>
  <si>
    <t>Wastequip</t>
  </si>
  <si>
    <t>5 Yd Containers</t>
  </si>
  <si>
    <t>2183-22-0007-1</t>
  </si>
  <si>
    <t>3BPDLK0X3NF113161</t>
  </si>
  <si>
    <t>2183-22-0021-1</t>
  </si>
  <si>
    <t>New computer for Sales Rep SN: 5CG2103CSL</t>
  </si>
  <si>
    <t>2183-22-0020-1</t>
  </si>
  <si>
    <t>Dispatcher PC (SN: MXL2165K6R)</t>
  </si>
  <si>
    <t>Dispatcher PC (SN: MXL216506T)</t>
  </si>
  <si>
    <t>AMZN MKTP US 792IP8LA3</t>
  </si>
  <si>
    <t>Docking Station for Laptop - No SN On Amazon Purchases</t>
  </si>
  <si>
    <t>95G Recycle Totes</t>
  </si>
  <si>
    <t>2183-22-0005-1</t>
  </si>
  <si>
    <t>3BPDLK0X9NF113164</t>
  </si>
  <si>
    <t>2183-22-0003-1</t>
  </si>
  <si>
    <t>3BPDLK0X1PF113162</t>
  </si>
  <si>
    <t>2023 Peterbilt ASL Truck</t>
  </si>
  <si>
    <t>2183-22-0004-1</t>
  </si>
  <si>
    <t>3BPDLK0X7NF113163</t>
  </si>
  <si>
    <t>2183-22-0022-1</t>
  </si>
  <si>
    <t>AMZN MKTP US KH57Q7FH3</t>
  </si>
  <si>
    <t>New Docking Station for DM Laptop - No SN on Amazon Purchases</t>
  </si>
  <si>
    <t>New Computer for DM SN: 5CD2159T2P</t>
  </si>
  <si>
    <t>2183-22-0023-1</t>
  </si>
  <si>
    <t>15 Chairs and Table + Install</t>
  </si>
  <si>
    <t>2183-22-0024-1</t>
  </si>
  <si>
    <t>License for truck 3720</t>
  </si>
  <si>
    <t>Decals for Truck #3724</t>
  </si>
  <si>
    <t>DOL</t>
  </si>
  <si>
    <t>License for Truck 3722</t>
  </si>
  <si>
    <t>LARSEN SIGN COMPANY</t>
  </si>
  <si>
    <t>Decals for Truck 3726</t>
  </si>
  <si>
    <t>Decals for Truck #3725</t>
  </si>
  <si>
    <t>License for Truck 3726</t>
  </si>
  <si>
    <t>License for Truck 3725</t>
  </si>
  <si>
    <t>License for Truck 3724</t>
  </si>
  <si>
    <t>2183-22-0019-1</t>
  </si>
  <si>
    <t>1Yd REL Containers</t>
  </si>
  <si>
    <t>1.5Yd REL Containers</t>
  </si>
  <si>
    <t>2183-22-0026-1</t>
  </si>
  <si>
    <t>HP ProBook 445 G9 SN: 5CD2352JK4</t>
  </si>
  <si>
    <t>2183-22-0025-1</t>
  </si>
  <si>
    <t>4Yd FEL Container</t>
  </si>
  <si>
    <t>AMZN MKTP US 146R79LF1</t>
  </si>
  <si>
    <t>Docking Station for Ops Manager Laptop - No SN on Amazon Purchases</t>
  </si>
  <si>
    <t>2183-22-0006-1</t>
  </si>
  <si>
    <t>3BPDLK0X7PF113165</t>
  </si>
  <si>
    <t>95 Gallon Yardwaste Carts</t>
  </si>
  <si>
    <t>2183-22-0027-1</t>
  </si>
  <si>
    <t>Panasonic Toughbook Laptop</t>
  </si>
  <si>
    <t>Decals for Truck 3727</t>
  </si>
  <si>
    <t>License for Truck 3727</t>
  </si>
  <si>
    <t>Lytx, Inc.</t>
  </si>
  <si>
    <t>New Lytx Drive Cams</t>
  </si>
  <si>
    <t>CUMMINS</t>
  </si>
  <si>
    <t>Cummins Software</t>
  </si>
  <si>
    <t>2183-22-0028-1</t>
  </si>
  <si>
    <t>HP ProBook 450 G9 Notebook - SN: 5CD2428KZ6</t>
  </si>
  <si>
    <t>2183-22-0009-1</t>
  </si>
  <si>
    <t>3BPDLK0X0PF114142</t>
  </si>
  <si>
    <t>2023 Peterbilt REL Truck</t>
  </si>
  <si>
    <t>2183-22-0008-1</t>
  </si>
  <si>
    <t>3BPDLK0X9PF114141</t>
  </si>
  <si>
    <t>License for Truck #1094</t>
  </si>
  <si>
    <t>Test Period Beg. Mo/Yr</t>
  </si>
  <si>
    <t>Test Period End Mo/Yr</t>
  </si>
  <si>
    <t>Test Period End Month</t>
  </si>
  <si>
    <t>Test Period Beg. Month</t>
  </si>
  <si>
    <t>AssetType</t>
  </si>
  <si>
    <t>Units</t>
  </si>
  <si>
    <t>MajorCategory</t>
  </si>
  <si>
    <t>MinorCategory</t>
  </si>
  <si>
    <t>Container_Size</t>
  </si>
  <si>
    <t>Container_Type</t>
  </si>
  <si>
    <t>DepreciateFlag</t>
  </si>
  <si>
    <t>CreatedDate</t>
  </si>
  <si>
    <t>LastUpdateDate</t>
  </si>
  <si>
    <t>Default Month:</t>
  </si>
  <si>
    <t>Default Year:</t>
  </si>
  <si>
    <t>Last Pulled:</t>
  </si>
  <si>
    <t>Assets:</t>
  </si>
  <si>
    <t xml:space="preserve">Period: </t>
  </si>
  <si>
    <t xml:space="preserve">Asset Type: </t>
  </si>
  <si>
    <t>Capitalized</t>
  </si>
  <si>
    <t xml:space="preserve">VIN: </t>
  </si>
  <si>
    <t xml:space="preserve">Asset Acct: </t>
  </si>
  <si>
    <t xml:space="preserve">In Service Date From: </t>
  </si>
  <si>
    <t xml:space="preserve">District: </t>
  </si>
  <si>
    <t xml:space="preserve">Parent/Child: </t>
  </si>
  <si>
    <t>All</t>
  </si>
  <si>
    <t xml:space="preserve">Description: </t>
  </si>
  <si>
    <t xml:space="preserve">Exp Acct: </t>
  </si>
  <si>
    <t xml:space="preserve">In Service Date To: </t>
  </si>
  <si>
    <t xml:space="preserve">Asset #: </t>
  </si>
  <si>
    <t xml:space="preserve">Include P-Tax: </t>
  </si>
  <si>
    <t xml:space="preserve">PO Number: </t>
  </si>
  <si>
    <t>Dist.</t>
  </si>
  <si>
    <t>Parent
/ Child</t>
  </si>
  <si>
    <t>Asset Type</t>
  </si>
  <si>
    <t>Bl 1</t>
  </si>
  <si>
    <t>Bl 2</t>
  </si>
  <si>
    <t>Mfg. Serial #</t>
  </si>
  <si>
    <t>Vendor / Mfg.</t>
  </si>
  <si>
    <t>Asset Category (Major)</t>
  </si>
  <si>
    <t>Asset Sub-Category (Minor)</t>
  </si>
  <si>
    <t>Ins. Category</t>
  </si>
  <si>
    <t>Cont. Size</t>
  </si>
  <si>
    <t>Cont. Type</t>
  </si>
  <si>
    <t>Acq. Date</t>
  </si>
  <si>
    <t>Asset Cost</t>
  </si>
  <si>
    <t>Accum. Account</t>
  </si>
  <si>
    <t>Accum. Life to Date</t>
  </si>
  <si>
    <t>Accum. YTD</t>
  </si>
  <si>
    <t>Current Depr.</t>
  </si>
  <si>
    <t>Acq. Type</t>
  </si>
  <si>
    <t>Depr. Meth</t>
  </si>
  <si>
    <t>Depre. Y/N</t>
  </si>
  <si>
    <t>Equipment Type per Field</t>
  </si>
  <si>
    <t>Equipment Type for Lookup</t>
  </si>
  <si>
    <t>YearPIS</t>
  </si>
  <si>
    <t>Monthly Dep</t>
  </si>
  <si>
    <t>Annual Dep</t>
  </si>
  <si>
    <t>Test Year Dep</t>
  </si>
  <si>
    <t>Pre 8/1/21 Add?</t>
  </si>
  <si>
    <t>FILE 2524</t>
  </si>
  <si>
    <t>2183-23-0023-1</t>
  </si>
  <si>
    <t>New Fuel System</t>
  </si>
  <si>
    <t>2183-23-0017-1</t>
  </si>
  <si>
    <t>HP USB-C G5 Essential Dock</t>
  </si>
  <si>
    <t>CDW DIR #NF20250</t>
  </si>
  <si>
    <t>2183-23-0030-1</t>
  </si>
  <si>
    <t>Decals for Truck #3737</t>
  </si>
  <si>
    <t>2183-23-0009-1</t>
  </si>
  <si>
    <t>Decals Truck # 3738</t>
  </si>
  <si>
    <t>2183-23-0002-1</t>
  </si>
  <si>
    <t>Radio for truck #3738</t>
  </si>
  <si>
    <t>License Truck #3737</t>
  </si>
  <si>
    <t>License Truck #3738</t>
  </si>
  <si>
    <t>2183-23-0023-2</t>
  </si>
  <si>
    <t>2024 Peterbilt Hook Lift Truck</t>
  </si>
  <si>
    <t>2NPMHJ7X4RM604937</t>
  </si>
  <si>
    <t>2183-23-0011-1</t>
  </si>
  <si>
    <t>HP USB-C G5 Essential Dock - SN: 2TK331Z7DL</t>
  </si>
  <si>
    <t>CDW DIR #MP03670</t>
  </si>
  <si>
    <t>2183-23-0026-1</t>
  </si>
  <si>
    <t>Decals for Truck #3735</t>
  </si>
  <si>
    <t>2183-23-0007-1</t>
  </si>
  <si>
    <t>2183-23-0023-5</t>
  </si>
  <si>
    <t>2183-23-0023-3</t>
  </si>
  <si>
    <t>2183-23-0023-4</t>
  </si>
  <si>
    <t>2024 Peterbilt ASL Radio for truck # 3737</t>
  </si>
  <si>
    <t>3BPDLK0X6RF116254</t>
  </si>
  <si>
    <t>2875 R.W. JOHNSON BLVD</t>
  </si>
  <si>
    <t>2183-23-0009</t>
  </si>
  <si>
    <t>2024 Peterbilt ASL Truck- Body</t>
  </si>
  <si>
    <t>3BPDLK0X8RF116255</t>
  </si>
  <si>
    <t>PO BOX 13040</t>
  </si>
  <si>
    <t>2024 Peterbilt ASL Truck</t>
  </si>
  <si>
    <t>2006 Ford F550 4x4 Service Truck</t>
  </si>
  <si>
    <t>1FDAF57PX6EC86353</t>
  </si>
  <si>
    <t>Royal</t>
  </si>
  <si>
    <t>2183-14-0020-1</t>
  </si>
  <si>
    <t>2017 Service Truck Ford F-350</t>
  </si>
  <si>
    <t>1FTBW3XG5HKB21361</t>
  </si>
  <si>
    <t>2184-17-0003-1</t>
  </si>
  <si>
    <t>2024 Peterbilt ASL Truck Graphics</t>
  </si>
  <si>
    <t>3BPDLK0XXRF116256</t>
  </si>
  <si>
    <t>2183-23-0003-1</t>
  </si>
  <si>
    <t>2024 Peterbilt FEL Truck Graphics</t>
  </si>
  <si>
    <t>3BPDLK0X7RF115386</t>
  </si>
  <si>
    <t>2183-23-0008-1</t>
  </si>
  <si>
    <t>1 Yard FEL Containers</t>
  </si>
  <si>
    <t>Vancouver</t>
  </si>
  <si>
    <t>2 YD FL/RL Containers w/ Lids</t>
  </si>
  <si>
    <t>Cascade</t>
  </si>
  <si>
    <t>2000-2010-0100</t>
  </si>
  <si>
    <t>Drive Cam for truck 2066</t>
  </si>
  <si>
    <t>Drive Cam for truck 3735</t>
  </si>
  <si>
    <t>3BPDLK0X1RF116257</t>
  </si>
  <si>
    <t>Drive Cam for truck 3734</t>
  </si>
  <si>
    <t>65G Refuse Carts</t>
  </si>
  <si>
    <t>2183-23-0020-2</t>
  </si>
  <si>
    <t>1.5YD REL</t>
  </si>
  <si>
    <t>ENTERPRISE SALES, INC</t>
  </si>
  <si>
    <t>07-2010-450</t>
  </si>
  <si>
    <t>3Yd FEL Container</t>
  </si>
  <si>
    <t>PO BOX 80983</t>
  </si>
  <si>
    <t>2183-23-0021-3</t>
  </si>
  <si>
    <t>35 Gal Refuse Carts</t>
  </si>
  <si>
    <t>2183-23-0020-1</t>
  </si>
  <si>
    <t>1Yd REL Container</t>
  </si>
  <si>
    <t>2183-23-0021-1</t>
  </si>
  <si>
    <t>1.5Yd REL Container</t>
  </si>
  <si>
    <t>2183-23-0021-2</t>
  </si>
  <si>
    <t>HP USB-C G5 Essential Docking Station - SN: 5CG252P61S</t>
  </si>
  <si>
    <t>CDW DIR #KX18668</t>
  </si>
  <si>
    <t>2183-23-0022-1</t>
  </si>
  <si>
    <t>HP ProBook 450 G9 Notebook - SN: 5CD3221Q6D</t>
  </si>
  <si>
    <t>License for Truck 2066</t>
  </si>
  <si>
    <t>License for Truck 3735</t>
  </si>
  <si>
    <t>License for Truck 3734</t>
  </si>
  <si>
    <t>10Yd Roll Off Container and Lids</t>
  </si>
  <si>
    <t>2183-23-0015-1</t>
  </si>
  <si>
    <t>SCRANTON MFG CO INC</t>
  </si>
  <si>
    <t>2024 Peterbilt FEL Truck</t>
  </si>
  <si>
    <t>2002 Type H Drop R/O</t>
  </si>
  <si>
    <t>3HTCEAMR32N033908</t>
  </si>
  <si>
    <t>2007  Sterling  4000 Qallon water truck</t>
  </si>
  <si>
    <t>2FZHAWDC27AX84836</t>
  </si>
  <si>
    <t>Sterling</t>
  </si>
  <si>
    <t>Water Truck</t>
  </si>
  <si>
    <t>Chiquita Landfill</t>
  </si>
  <si>
    <t>Improvement-Auto Tarper Truck 4039</t>
  </si>
  <si>
    <t>2183-14-0028-3</t>
  </si>
  <si>
    <t>Chain for Unit# 4026</t>
  </si>
  <si>
    <t>2184-12-0006-1</t>
  </si>
  <si>
    <t>Body Replacement for Unit# 4021</t>
  </si>
  <si>
    <t>2184-12-0005-1</t>
  </si>
  <si>
    <t>FLUP - Truck 4021</t>
  </si>
  <si>
    <t>2184-9-0007-1</t>
  </si>
  <si>
    <t>FLUP - Truck 4026</t>
  </si>
  <si>
    <t>2184-8-0001-1</t>
  </si>
  <si>
    <t>2004 Type H Drop R/O</t>
  </si>
  <si>
    <t>2FZHAZCK64AN42816</t>
  </si>
  <si>
    <t>2001 Type H Drop R/O</t>
  </si>
  <si>
    <t>2HTCEAMR41C018477</t>
  </si>
  <si>
    <t>2000 Type H Drop R/O</t>
  </si>
  <si>
    <t>2HTCEAMR0YC073583</t>
  </si>
  <si>
    <t>2183-23-0019-1</t>
  </si>
  <si>
    <t>30YD Roll Off Container and Lids</t>
  </si>
  <si>
    <t>30YD Roll Off Container</t>
  </si>
  <si>
    <t>95Gal Yard Waste Carts</t>
  </si>
  <si>
    <t>2183-23-0020-4</t>
  </si>
  <si>
    <t>95Gal Recycle Carts</t>
  </si>
  <si>
    <t>2183-23-0020-3</t>
  </si>
  <si>
    <t>95 Gallon Yard Waste Carts - Plastic</t>
  </si>
  <si>
    <t>2183-23-0018-1</t>
  </si>
  <si>
    <t>2183-23-0019-2</t>
  </si>
  <si>
    <t>2009 Chevrolet Pickup Truck #6053</t>
  </si>
  <si>
    <t>1GCEK29J69E129559</t>
  </si>
  <si>
    <t>2184-15-0005-1</t>
  </si>
  <si>
    <t>95 Gallon Refuse Carts - Plastic</t>
  </si>
  <si>
    <t>65 Gallon Refuse Carts - Plastic</t>
  </si>
  <si>
    <t>4 YD Commercial Customers ($100 each)</t>
  </si>
  <si>
    <t>2 YD Commercial Customers ($100 each)</t>
  </si>
  <si>
    <t>20 YD Roll Off Containers</t>
  </si>
  <si>
    <t>40 Yd RO Containers</t>
  </si>
  <si>
    <t>2183-23-0014-1</t>
  </si>
  <si>
    <t>PACCAR DIAGNOTICS/PROGRAMMING</t>
  </si>
  <si>
    <t>3BPDLK0X8PF114129</t>
  </si>
  <si>
    <t>2183-22-0017</t>
  </si>
  <si>
    <t>Shop Addition Architectural/Structural Building Design &amp; Engineering Services</t>
  </si>
  <si>
    <t>2183-22-0001-1</t>
  </si>
  <si>
    <t>License- 2023 REL Truck</t>
  </si>
  <si>
    <t>Replacement HVAC System</t>
  </si>
  <si>
    <t>MOORE HOLDING CORPORATION</t>
  </si>
  <si>
    <t>2183-22-0029-1</t>
  </si>
  <si>
    <t>Decals for Truck #1095</t>
  </si>
  <si>
    <t>2183-22-0009</t>
  </si>
  <si>
    <t>1HTWCAAN56J265116</t>
  </si>
  <si>
    <t>Sum of Asset Cost</t>
  </si>
  <si>
    <t>Sum of Test Year Dep</t>
  </si>
  <si>
    <t>LAND</t>
  </si>
  <si>
    <t>TRUCKS AND TRAILERS</t>
  </si>
  <si>
    <t>TBA</t>
  </si>
  <si>
    <t>Pickup Truck</t>
  </si>
  <si>
    <t>Rear Loader</t>
  </si>
  <si>
    <t>Automated Side Loader</t>
  </si>
  <si>
    <t>GOODWILL</t>
  </si>
  <si>
    <t>LAND IMPROVEMENTS</t>
  </si>
  <si>
    <t>CONTAINERS</t>
  </si>
  <si>
    <t>30 YD</t>
  </si>
  <si>
    <t>RO Box</t>
  </si>
  <si>
    <t>40 YD</t>
  </si>
  <si>
    <t>6 YD</t>
  </si>
  <si>
    <t>FEL/REL/SL Metal</t>
  </si>
  <si>
    <t>BUILDINGS</t>
  </si>
  <si>
    <t>INDEFINITE LIVED INTANGIBLES</t>
  </si>
  <si>
    <t>SHOP EQUIPMENT</t>
  </si>
  <si>
    <t>HARDWARE AND SOFTWARE</t>
  </si>
  <si>
    <t>1.5 YD</t>
  </si>
  <si>
    <t>35 YD</t>
  </si>
  <si>
    <t>10 YD</t>
  </si>
  <si>
    <t>4 YD</t>
  </si>
  <si>
    <t>Hooklift</t>
  </si>
  <si>
    <t>5VCACLJF1AH210404</t>
  </si>
  <si>
    <t>Front Loader</t>
  </si>
  <si>
    <t>FEL/REL/SL Plastic</t>
  </si>
  <si>
    <t>2 YD</t>
  </si>
  <si>
    <t>1 YD</t>
  </si>
  <si>
    <t xml:space="preserve">Peterbilt </t>
  </si>
  <si>
    <t xml:space="preserve">Wayne </t>
  </si>
  <si>
    <t>CUSTOMER LISTS</t>
  </si>
  <si>
    <t>HEAVY EQUIPMENT</t>
  </si>
  <si>
    <t>3 YD</t>
  </si>
  <si>
    <t>MIller Dimension 652 Carbon Arc Welder</t>
  </si>
  <si>
    <t>PACIFIC WELDING</t>
  </si>
  <si>
    <t>2183-14-0029-1</t>
  </si>
  <si>
    <t>20 YD</t>
  </si>
  <si>
    <t>19.5 YD</t>
  </si>
  <si>
    <t>Pioneer</t>
  </si>
  <si>
    <t>Other Trailer</t>
  </si>
  <si>
    <t>Kenworth</t>
  </si>
  <si>
    <t>75 Television</t>
  </si>
  <si>
    <t>8 YD</t>
  </si>
  <si>
    <t>Side Loader</t>
  </si>
  <si>
    <t>HP ProBook 450 G10 15.6 Notebook - SN: 5CED338628X</t>
  </si>
  <si>
    <t>Decals for Truck #4524</t>
  </si>
  <si>
    <t>HOOKLIFT</t>
  </si>
  <si>
    <t>Uninsured</t>
  </si>
  <si>
    <t>License Truck #4524</t>
  </si>
  <si>
    <t>2024 Peterbilt Hook Lift Truck - Body</t>
  </si>
  <si>
    <t>HP ProBook 450 G10 15.6 Notebook - SN: 5CD337H630</t>
  </si>
  <si>
    <t>2024 Peterbilt REL Truck</t>
  </si>
  <si>
    <t>3BPDLK0X6RF116299</t>
  </si>
  <si>
    <t>PO BOX 24065</t>
  </si>
  <si>
    <t>2183-23-0005-1</t>
  </si>
  <si>
    <t>2024 Peterbilt REL Truck - Body - Rollover 2183-23-0005</t>
  </si>
  <si>
    <t>REAR LOADER</t>
  </si>
  <si>
    <t>2183-24-0010-1</t>
  </si>
  <si>
    <t>Radio for truck #1099</t>
  </si>
  <si>
    <t>Decals for truck # 1099</t>
  </si>
  <si>
    <t>License for truck #1099</t>
  </si>
  <si>
    <t>3BPDLK0X9RF116300</t>
  </si>
  <si>
    <t>2183-23-0006-1</t>
  </si>
  <si>
    <t>2024 Peterbilt REL Truck - Body - Rollover 2183-23-0006</t>
  </si>
  <si>
    <t>2183-24-0011-1</t>
  </si>
  <si>
    <t>Radio for truck #1100</t>
  </si>
  <si>
    <t>Decals for truck # 1100</t>
  </si>
  <si>
    <t>License for truck #1100</t>
  </si>
  <si>
    <t>FEL METAL</t>
  </si>
  <si>
    <t>2183-23-0024-5</t>
  </si>
  <si>
    <t>REL METAL</t>
  </si>
  <si>
    <t>2183-23-0024-1</t>
  </si>
  <si>
    <t>2183-23-0024-4</t>
  </si>
  <si>
    <t>2183-23-0024-3</t>
  </si>
  <si>
    <t>2183-23-0024-2</t>
  </si>
  <si>
    <t>2525 TARPON RD</t>
  </si>
  <si>
    <t>2183-23-0025-1</t>
  </si>
  <si>
    <t>Pressure Washer</t>
  </si>
  <si>
    <t>AMB Tools</t>
  </si>
  <si>
    <t>Power Washer</t>
  </si>
  <si>
    <t>2183-23-0028-1</t>
  </si>
  <si>
    <t>CARTS PLASTIC</t>
  </si>
  <si>
    <t>2183-24-0014-3</t>
  </si>
  <si>
    <t>2183-24-0014-4</t>
  </si>
  <si>
    <t>2024-04</t>
  </si>
  <si>
    <t>STL</t>
  </si>
  <si>
    <t>NO</t>
  </si>
  <si>
    <t>YES</t>
  </si>
  <si>
    <t>Overweight Permit Truck #1099</t>
  </si>
  <si>
    <t>Drive cam for truck 1099</t>
  </si>
  <si>
    <t>Overweight Permit for Truck #1100</t>
  </si>
  <si>
    <t>65 Gal Refuse Carts</t>
  </si>
  <si>
    <t>65 Gal</t>
  </si>
  <si>
    <t>Carts/Toters</t>
  </si>
  <si>
    <t>2183-24-0014-1</t>
  </si>
  <si>
    <t>95 Gallon Refuse Carts</t>
  </si>
  <si>
    <t>95 Gal</t>
  </si>
  <si>
    <t>2183-24-0014-2</t>
  </si>
  <si>
    <t xml:space="preserve">Truck Rebates </t>
  </si>
  <si>
    <t>Wheel Loader</t>
  </si>
  <si>
    <t>Containers</t>
  </si>
  <si>
    <t>1094</t>
  </si>
  <si>
    <t>3720</t>
  </si>
  <si>
    <t>3728</t>
  </si>
  <si>
    <t>3727</t>
  </si>
  <si>
    <t>4524</t>
  </si>
  <si>
    <t>3738</t>
  </si>
  <si>
    <t>3737</t>
  </si>
  <si>
    <t>2066</t>
  </si>
  <si>
    <t>3735</t>
  </si>
  <si>
    <t>3734</t>
  </si>
  <si>
    <t>4030</t>
  </si>
  <si>
    <t>4039</t>
  </si>
  <si>
    <t>4026</t>
  </si>
  <si>
    <t>4021</t>
  </si>
  <si>
    <t>Roll Off Truck</t>
  </si>
  <si>
    <t>Shop Equipmen</t>
  </si>
  <si>
    <t>2023 Retirements/Transfers</t>
  </si>
  <si>
    <t>Yard Waste Trucks</t>
  </si>
  <si>
    <t>Yard Waste Carts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</si>
</sst>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\ ;\(&quot;$&quot;#,##0\)"/>
    <numFmt numFmtId="165" formatCode="_-* #,##0.00_-;\-* #,##0.00_-;_-* &quot;-&quot;??_-;_-@_-"/>
    <numFmt numFmtId="166" formatCode="_([$€-2]* #,##0.00_);_([$€-2]* \(#,##0.00\);_([$€-2]* &quot;-&quot;??_)"/>
    <numFmt numFmtId="167" formatCode="0.0"/>
    <numFmt numFmtId="168" formatCode="_(* #,##0_);_(* \(#,##0\);_(* &quot;-&quot;??_);_(@_)"/>
    <numFmt numFmtId="169" formatCode="_(&quot;$&quot;* #,##0_);_(&quot;$&quot;* \(#,##0\);_(&quot;$&quot;* &quot;-&quot;??_);_(@_)"/>
    <numFmt numFmtId="170" formatCode="&quot;$&quot;#,##0"/>
    <numFmt numFmtId="171" formatCode="m/d/yy;@"/>
    <numFmt numFmtId="172" formatCode="mm/dd/yy;@"/>
  </numFmts>
  <fonts count="1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1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51"/>
      <name val="Calibri"/>
      <family val="2"/>
    </font>
    <font>
      <sz val="12"/>
      <name val="CG Omega"/>
    </font>
    <font>
      <sz val="10"/>
      <name val="MS Sans Serif"/>
      <family val="2"/>
    </font>
    <font>
      <sz val="12"/>
      <name val="Courier"/>
      <family val="3"/>
    </font>
    <font>
      <sz val="9"/>
      <color indexed="8"/>
      <name val="Arial"/>
      <family val="2"/>
    </font>
    <font>
      <b/>
      <sz val="10"/>
      <color indexed="12"/>
      <name val="Arial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61"/>
      <name val="Calibri"/>
      <family val="2"/>
    </font>
    <font>
      <sz val="10"/>
      <color indexed="12"/>
      <name val="Arial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12"/>
      <name val="Times New Roman"/>
      <family val="1"/>
    </font>
    <font>
      <b/>
      <sz val="10"/>
      <color indexed="10"/>
      <name val="Arial"/>
      <family val="2"/>
    </font>
    <font>
      <b/>
      <sz val="11"/>
      <color indexed="18"/>
      <name val="Britannic Bold"/>
      <family val="2"/>
    </font>
    <font>
      <sz val="11"/>
      <name val="Bookman Old Style"/>
      <family val="1"/>
    </font>
    <font>
      <u/>
      <sz val="10"/>
      <name val="Arial"/>
      <family val="2"/>
    </font>
    <font>
      <u/>
      <sz val="11"/>
      <color indexed="12"/>
      <name val="Arial"/>
      <family val="2"/>
    </font>
    <font>
      <b/>
      <sz val="14"/>
      <name val="Helv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8.8000000000000007"/>
      <color theme="10"/>
      <name val="Calibri"/>
      <family val="2"/>
    </font>
    <font>
      <u/>
      <sz val="9.35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4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Calibri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48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3049">
    <xf numFmtId="0" fontId="0" fillId="0" borderId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3" borderId="0" applyNumberFormat="0" applyBorder="0" applyAlignment="0" applyProtection="0"/>
    <xf numFmtId="0" fontId="24" fillId="5" borderId="0" applyNumberFormat="0" applyBorder="0" applyAlignment="0" applyProtection="0"/>
    <xf numFmtId="0" fontId="24" fillId="3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72" fillId="36" borderId="0" applyNumberFormat="0" applyBorder="0" applyAlignment="0" applyProtection="0"/>
    <xf numFmtId="0" fontId="24" fillId="3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24" fillId="2" borderId="0" applyNumberFormat="0" applyBorder="0" applyAlignment="0" applyProtection="0"/>
    <xf numFmtId="0" fontId="24" fillId="7" borderId="0" applyNumberFormat="0" applyBorder="0" applyAlignment="0" applyProtection="0"/>
    <xf numFmtId="0" fontId="24" fillId="5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6" borderId="0" applyNumberFormat="0" applyBorder="0" applyAlignment="0" applyProtection="0"/>
    <xf numFmtId="0" fontId="72" fillId="37" borderId="0" applyNumberFormat="0" applyBorder="0" applyAlignment="0" applyProtection="0"/>
    <xf numFmtId="0" fontId="72" fillId="5" borderId="0" applyNumberFormat="0" applyBorder="0" applyAlignment="0" applyProtection="0"/>
    <xf numFmtId="0" fontId="72" fillId="37" borderId="0" applyNumberFormat="0" applyBorder="0" applyAlignment="0" applyProtection="0"/>
    <xf numFmtId="0" fontId="24" fillId="6" borderId="0" applyNumberFormat="0" applyBorder="0" applyAlignment="0" applyProtection="0"/>
    <xf numFmtId="0" fontId="24" fillId="9" borderId="0" applyNumberFormat="0" applyBorder="0" applyAlignment="0" applyProtection="0"/>
    <xf numFmtId="0" fontId="72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72" fillId="38" borderId="0" applyNumberFormat="0" applyBorder="0" applyAlignment="0" applyProtection="0"/>
    <xf numFmtId="0" fontId="72" fillId="9" borderId="0" applyNumberFormat="0" applyBorder="0" applyAlignment="0" applyProtection="0"/>
    <xf numFmtId="0" fontId="72" fillId="38" borderId="0" applyNumberFormat="0" applyBorder="0" applyAlignment="0" applyProtection="0"/>
    <xf numFmtId="0" fontId="24" fillId="8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72" fillId="39" borderId="0" applyNumberFormat="0" applyBorder="0" applyAlignment="0" applyProtection="0"/>
    <xf numFmtId="0" fontId="24" fillId="5" borderId="0" applyNumberFormat="0" applyBorder="0" applyAlignment="0" applyProtection="0"/>
    <xf numFmtId="0" fontId="72" fillId="39" borderId="0" applyNumberFormat="0" applyBorder="0" applyAlignment="0" applyProtection="0"/>
    <xf numFmtId="0" fontId="72" fillId="39" borderId="0" applyNumberFormat="0" applyBorder="0" applyAlignment="0" applyProtection="0"/>
    <xf numFmtId="0" fontId="24" fillId="10" borderId="0" applyNumberFormat="0" applyBorder="0" applyAlignment="0" applyProtection="0"/>
    <xf numFmtId="0" fontId="72" fillId="40" borderId="0" applyNumberFormat="0" applyBorder="0" applyAlignment="0" applyProtection="0"/>
    <xf numFmtId="0" fontId="24" fillId="11" borderId="0" applyNumberFormat="0" applyBorder="0" applyAlignment="0" applyProtection="0"/>
    <xf numFmtId="0" fontId="72" fillId="40" borderId="0" applyNumberFormat="0" applyBorder="0" applyAlignment="0" applyProtection="0"/>
    <xf numFmtId="0" fontId="24" fillId="11" borderId="0" applyNumberFormat="0" applyBorder="0" applyAlignment="0" applyProtection="0"/>
    <xf numFmtId="0" fontId="72" fillId="40" borderId="0" applyNumberFormat="0" applyBorder="0" applyAlignment="0" applyProtection="0"/>
    <xf numFmtId="0" fontId="24" fillId="11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0" borderId="0" applyNumberFormat="0" applyBorder="0" applyAlignment="0" applyProtection="0"/>
    <xf numFmtId="0" fontId="72" fillId="41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1" borderId="0" applyNumberFormat="0" applyBorder="0" applyAlignment="0" applyProtection="0"/>
    <xf numFmtId="0" fontId="72" fillId="42" borderId="0" applyNumberFormat="0" applyBorder="0" applyAlignment="0" applyProtection="0"/>
    <xf numFmtId="0" fontId="24" fillId="11" borderId="0" applyNumberFormat="0" applyBorder="0" applyAlignment="0" applyProtection="0"/>
    <xf numFmtId="0" fontId="24" fillId="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11" borderId="0" applyNumberFormat="0" applyBorder="0" applyAlignment="0" applyProtection="0"/>
    <xf numFmtId="0" fontId="24" fillId="3" borderId="0" applyNumberFormat="0" applyBorder="0" applyAlignment="0" applyProtection="0"/>
    <xf numFmtId="0" fontId="24" fillId="11" borderId="0" applyNumberFormat="0" applyBorder="0" applyAlignment="0" applyProtection="0"/>
    <xf numFmtId="0" fontId="72" fillId="42" borderId="0" applyNumberFormat="0" applyBorder="0" applyAlignment="0" applyProtection="0"/>
    <xf numFmtId="0" fontId="72" fillId="42" borderId="0" applyNumberFormat="0" applyBorder="0" applyAlignment="0" applyProtection="0"/>
    <xf numFmtId="0" fontId="24" fillId="3" borderId="0" applyNumberFormat="0" applyBorder="0" applyAlignment="0" applyProtection="0"/>
    <xf numFmtId="0" fontId="72" fillId="43" borderId="0" applyNumberFormat="0" applyBorder="0" applyAlignment="0" applyProtection="0"/>
    <xf numFmtId="0" fontId="24" fillId="7" borderId="0" applyNumberFormat="0" applyBorder="0" applyAlignment="0" applyProtection="0"/>
    <xf numFmtId="0" fontId="72" fillId="43" borderId="0" applyNumberFormat="0" applyBorder="0" applyAlignment="0" applyProtection="0"/>
    <xf numFmtId="0" fontId="24" fillId="7" borderId="0" applyNumberFormat="0" applyBorder="0" applyAlignment="0" applyProtection="0"/>
    <xf numFmtId="0" fontId="72" fillId="43" borderId="0" applyNumberFormat="0" applyBorder="0" applyAlignment="0" applyProtection="0"/>
    <xf numFmtId="0" fontId="24" fillId="7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24" fillId="13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2" borderId="0" applyNumberFormat="0" applyBorder="0" applyAlignment="0" applyProtection="0"/>
    <xf numFmtId="0" fontId="72" fillId="44" borderId="0" applyNumberFormat="0" applyBorder="0" applyAlignment="0" applyProtection="0"/>
    <xf numFmtId="0" fontId="72" fillId="9" borderId="0" applyNumberFormat="0" applyBorder="0" applyAlignment="0" applyProtection="0"/>
    <xf numFmtId="0" fontId="72" fillId="44" borderId="0" applyNumberFormat="0" applyBorder="0" applyAlignment="0" applyProtection="0"/>
    <xf numFmtId="0" fontId="24" fillId="12" borderId="0" applyNumberFormat="0" applyBorder="0" applyAlignment="0" applyProtection="0"/>
    <xf numFmtId="0" fontId="72" fillId="45" borderId="0" applyNumberFormat="0" applyBorder="0" applyAlignment="0" applyProtection="0"/>
    <xf numFmtId="0" fontId="24" fillId="6" borderId="0" applyNumberFormat="0" applyBorder="0" applyAlignment="0" applyProtection="0"/>
    <xf numFmtId="0" fontId="24" fillId="4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6" borderId="0" applyNumberFormat="0" applyBorder="0" applyAlignment="0" applyProtection="0"/>
    <xf numFmtId="0" fontId="24" fillId="10" borderId="0" applyNumberFormat="0" applyBorder="0" applyAlignment="0" applyProtection="0"/>
    <xf numFmtId="0" fontId="24" fillId="6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24" fillId="10" borderId="0" applyNumberFormat="0" applyBorder="0" applyAlignment="0" applyProtection="0"/>
    <xf numFmtId="0" fontId="72" fillId="46" borderId="0" applyNumberFormat="0" applyBorder="0" applyAlignment="0" applyProtection="0"/>
    <xf numFmtId="0" fontId="24" fillId="11" borderId="0" applyNumberFormat="0" applyBorder="0" applyAlignment="0" applyProtection="0"/>
    <xf numFmtId="0" fontId="24" fillId="3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6" borderId="0" applyNumberFormat="0" applyBorder="0" applyAlignment="0" applyProtection="0"/>
    <xf numFmtId="0" fontId="72" fillId="47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24" fillId="14" borderId="0" applyNumberFormat="0" applyBorder="0" applyAlignment="0" applyProtection="0"/>
    <xf numFmtId="0" fontId="73" fillId="48" borderId="0" applyNumberFormat="0" applyBorder="0" applyAlignment="0" applyProtection="0"/>
    <xf numFmtId="0" fontId="27" fillId="11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1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0" fontId="27" fillId="18" borderId="0" applyNumberFormat="0" applyBorder="0" applyAlignment="0" applyProtection="0"/>
    <xf numFmtId="0" fontId="27" fillId="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7" borderId="0" applyNumberFormat="0" applyBorder="0" applyAlignment="0" applyProtection="0"/>
    <xf numFmtId="0" fontId="73" fillId="49" borderId="0" applyNumberFormat="0" applyBorder="0" applyAlignment="0" applyProtection="0"/>
    <xf numFmtId="0" fontId="27" fillId="14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2" borderId="0" applyNumberFormat="0" applyBorder="0" applyAlignment="0" applyProtection="0"/>
    <xf numFmtId="0" fontId="27" fillId="14" borderId="0" applyNumberFormat="0" applyBorder="0" applyAlignment="0" applyProtection="0"/>
    <xf numFmtId="0" fontId="27" fillId="12" borderId="0" applyNumberFormat="0" applyBorder="0" applyAlignment="0" applyProtection="0"/>
    <xf numFmtId="0" fontId="27" fillId="14" borderId="0" applyNumberFormat="0" applyBorder="0" applyAlignment="0" applyProtection="0"/>
    <xf numFmtId="0" fontId="73" fillId="50" borderId="0" applyNumberFormat="0" applyBorder="0" applyAlignment="0" applyProtection="0"/>
    <xf numFmtId="0" fontId="27" fillId="14" borderId="0" applyNumberFormat="0" applyBorder="0" applyAlignment="0" applyProtection="0"/>
    <xf numFmtId="0" fontId="73" fillId="50" borderId="0" applyNumberFormat="0" applyBorder="0" applyAlignment="0" applyProtection="0"/>
    <xf numFmtId="0" fontId="27" fillId="6" borderId="0" applyNumberFormat="0" applyBorder="0" applyAlignment="0" applyProtection="0"/>
    <xf numFmtId="0" fontId="27" fillId="4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19" borderId="0" applyNumberFormat="0" applyBorder="0" applyAlignment="0" applyProtection="0"/>
    <xf numFmtId="0" fontId="27" fillId="6" borderId="0" applyNumberFormat="0" applyBorder="0" applyAlignment="0" applyProtection="0"/>
    <xf numFmtId="0" fontId="27" fillId="19" borderId="0" applyNumberFormat="0" applyBorder="0" applyAlignment="0" applyProtection="0"/>
    <xf numFmtId="0" fontId="27" fillId="6" borderId="0" applyNumberFormat="0" applyBorder="0" applyAlignment="0" applyProtection="0"/>
    <xf numFmtId="0" fontId="73" fillId="51" borderId="0" applyNumberFormat="0" applyBorder="0" applyAlignment="0" applyProtection="0"/>
    <xf numFmtId="0" fontId="27" fillId="6" borderId="0" applyNumberFormat="0" applyBorder="0" applyAlignment="0" applyProtection="0"/>
    <xf numFmtId="0" fontId="73" fillId="51" borderId="0" applyNumberFormat="0" applyBorder="0" applyAlignment="0" applyProtection="0"/>
    <xf numFmtId="0" fontId="73" fillId="52" borderId="0" applyNumberFormat="0" applyBorder="0" applyAlignment="0" applyProtection="0"/>
    <xf numFmtId="0" fontId="27" fillId="11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6" borderId="0" applyNumberFormat="0" applyBorder="0" applyAlignment="0" applyProtection="0"/>
    <xf numFmtId="0" fontId="73" fillId="52" borderId="0" applyNumberFormat="0" applyBorder="0" applyAlignment="0" applyProtection="0"/>
    <xf numFmtId="0" fontId="27" fillId="7" borderId="0" applyNumberFormat="0" applyBorder="0" applyAlignment="0" applyProtection="0"/>
    <xf numFmtId="0" fontId="27" fillId="5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20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27" fillId="2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27" fillId="18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3" borderId="0" applyNumberFormat="0" applyBorder="0" applyAlignment="0" applyProtection="0"/>
    <xf numFmtId="0" fontId="73" fillId="55" borderId="0" applyNumberFormat="0" applyBorder="0" applyAlignment="0" applyProtection="0"/>
    <xf numFmtId="0" fontId="73" fillId="56" borderId="0" applyNumberFormat="0" applyBorder="0" applyAlignment="0" applyProtection="0"/>
    <xf numFmtId="0" fontId="27" fillId="14" borderId="0" applyNumberFormat="0" applyBorder="0" applyAlignment="0" applyProtection="0"/>
    <xf numFmtId="0" fontId="27" fillId="24" borderId="0" applyNumberFormat="0" applyBorder="0" applyAlignment="0" applyProtection="0"/>
    <xf numFmtId="0" fontId="27" fillId="22" borderId="0" applyNumberFormat="0" applyBorder="0" applyAlignment="0" applyProtection="0"/>
    <xf numFmtId="0" fontId="27" fillId="2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4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9" borderId="0" applyNumberFormat="0" applyBorder="0" applyAlignment="0" applyProtection="0"/>
    <xf numFmtId="0" fontId="73" fillId="57" borderId="0" applyNumberFormat="0" applyBorder="0" applyAlignment="0" applyProtection="0"/>
    <xf numFmtId="0" fontId="73" fillId="58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3" fillId="58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6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20" borderId="0" applyNumberFormat="0" applyBorder="0" applyAlignment="0" applyProtection="0"/>
    <xf numFmtId="0" fontId="27" fillId="18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73" fillId="59" borderId="0" applyNumberFormat="0" applyBorder="0" applyAlignment="0" applyProtection="0"/>
    <xf numFmtId="41" fontId="16" fillId="0" borderId="0"/>
    <xf numFmtId="41" fontId="16" fillId="0" borderId="0"/>
    <xf numFmtId="41" fontId="16" fillId="0" borderId="0"/>
    <xf numFmtId="41" fontId="16" fillId="0" borderId="0"/>
    <xf numFmtId="41" fontId="16" fillId="0" borderId="0"/>
    <xf numFmtId="41" fontId="16" fillId="0" borderId="0"/>
    <xf numFmtId="41" fontId="16" fillId="0" borderId="0"/>
    <xf numFmtId="49" fontId="65" fillId="0" borderId="0" applyFill="0" applyBorder="0" applyAlignment="0" applyProtection="0"/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74" fillId="60" borderId="0" applyNumberFormat="0" applyBorder="0" applyAlignment="0" applyProtection="0"/>
    <xf numFmtId="0" fontId="28" fillId="10" borderId="0" applyNumberFormat="0" applyBorder="0" applyAlignment="0" applyProtection="0"/>
    <xf numFmtId="0" fontId="28" fillId="6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6" borderId="0" applyNumberFormat="0" applyBorder="0" applyAlignment="0" applyProtection="0"/>
    <xf numFmtId="0" fontId="74" fillId="60" borderId="0" applyNumberFormat="0" applyBorder="0" applyAlignment="0" applyProtection="0"/>
    <xf numFmtId="3" fontId="16" fillId="0" borderId="0"/>
    <xf numFmtId="3" fontId="16" fillId="0" borderId="0"/>
    <xf numFmtId="3" fontId="16" fillId="0" borderId="0"/>
    <xf numFmtId="3" fontId="16" fillId="0" borderId="0"/>
    <xf numFmtId="0" fontId="75" fillId="61" borderId="20" applyNumberFormat="0" applyAlignment="0" applyProtection="0"/>
    <xf numFmtId="0" fontId="34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6" fillId="26" borderId="2" applyNumberFormat="0" applyAlignment="0" applyProtection="0"/>
    <xf numFmtId="0" fontId="46" fillId="26" borderId="2" applyNumberFormat="0" applyAlignment="0" applyProtection="0"/>
    <xf numFmtId="0" fontId="46" fillId="26" borderId="2" applyNumberFormat="0" applyAlignment="0" applyProtection="0"/>
    <xf numFmtId="0" fontId="46" fillId="26" borderId="2" applyNumberFormat="0" applyAlignment="0" applyProtection="0"/>
    <xf numFmtId="0" fontId="46" fillId="26" borderId="2" applyNumberFormat="0" applyAlignment="0" applyProtection="0"/>
    <xf numFmtId="0" fontId="46" fillId="26" borderId="2" applyNumberFormat="0" applyAlignment="0" applyProtection="0"/>
    <xf numFmtId="0" fontId="46" fillId="26" borderId="2" applyNumberFormat="0" applyAlignment="0" applyProtection="0"/>
    <xf numFmtId="0" fontId="40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40" fillId="26" borderId="2" applyNumberFormat="0" applyAlignment="0" applyProtection="0"/>
    <xf numFmtId="0" fontId="34" fillId="26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40" fillId="4" borderId="2" applyNumberFormat="0" applyAlignment="0" applyProtection="0"/>
    <xf numFmtId="0" fontId="34" fillId="26" borderId="2" applyNumberFormat="0" applyAlignment="0" applyProtection="0"/>
    <xf numFmtId="0" fontId="75" fillId="61" borderId="20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34" fillId="26" borderId="2" applyNumberFormat="0" applyAlignment="0" applyProtection="0"/>
    <xf numFmtId="0" fontId="76" fillId="62" borderId="21" applyNumberFormat="0" applyAlignment="0" applyProtection="0"/>
    <xf numFmtId="0" fontId="29" fillId="27" borderId="3" applyNumberFormat="0" applyAlignment="0" applyProtection="0"/>
    <xf numFmtId="0" fontId="29" fillId="28" borderId="4" applyNumberFormat="0" applyAlignment="0" applyProtection="0"/>
    <xf numFmtId="0" fontId="29" fillId="28" borderId="4" applyNumberFormat="0" applyAlignment="0" applyProtection="0"/>
    <xf numFmtId="0" fontId="29" fillId="27" borderId="3" applyNumberFormat="0" applyAlignment="0" applyProtection="0"/>
    <xf numFmtId="0" fontId="29" fillId="28" borderId="4" applyNumberFormat="0" applyAlignment="0" applyProtection="0"/>
    <xf numFmtId="0" fontId="29" fillId="27" borderId="3" applyNumberFormat="0" applyAlignment="0" applyProtection="0"/>
    <xf numFmtId="0" fontId="76" fillId="62" borderId="21" applyNumberFormat="0" applyAlignment="0" applyProtection="0"/>
    <xf numFmtId="0" fontId="66" fillId="29" borderId="0" applyNumberFormat="0" applyBorder="0" applyAlignment="0" applyProtection="0">
      <alignment horizontal="center"/>
      <protection hidden="1"/>
    </xf>
    <xf numFmtId="0" fontId="16" fillId="30" borderId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top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18" fillId="31" borderId="0">
      <alignment horizontal="left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0" borderId="0"/>
    <xf numFmtId="3" fontId="48" fillId="0" borderId="0" applyFont="0" applyFill="0" applyBorder="0" applyAlignment="0" applyProtection="0"/>
    <xf numFmtId="0" fontId="49" fillId="0" borderId="0"/>
    <xf numFmtId="0" fontId="49" fillId="0" borderId="0"/>
    <xf numFmtId="0" fontId="50" fillId="32" borderId="5" applyAlignment="0">
      <alignment horizontal="right"/>
      <protection locked="0"/>
    </xf>
    <xf numFmtId="44" fontId="6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9" fillId="0" borderId="0" applyFont="0" applyFill="0" applyBorder="0" applyAlignment="0" applyProtection="0">
      <alignment vertical="top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>
      <alignment wrapText="1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64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6"/>
    <xf numFmtId="0" fontId="17" fillId="0" borderId="6"/>
    <xf numFmtId="0" fontId="17" fillId="0" borderId="6"/>
    <xf numFmtId="0" fontId="17" fillId="0" borderId="6"/>
    <xf numFmtId="0" fontId="17" fillId="0" borderId="6"/>
    <xf numFmtId="0" fontId="51" fillId="33" borderId="0">
      <alignment horizontal="right"/>
      <protection locked="0"/>
    </xf>
    <xf numFmtId="14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" fillId="0" borderId="0"/>
    <xf numFmtId="2" fontId="51" fillId="33" borderId="0">
      <alignment horizontal="right"/>
      <protection locked="0"/>
    </xf>
    <xf numFmtId="1" fontId="16" fillId="0" borderId="0">
      <alignment horizontal="center"/>
    </xf>
    <xf numFmtId="0" fontId="78" fillId="63" borderId="0" applyNumberFormat="0" applyBorder="0" applyAlignment="0" applyProtection="0"/>
    <xf numFmtId="0" fontId="31" fillId="1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78" fillId="63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8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8" fillId="63" borderId="0" applyNumberFormat="0" applyBorder="0" applyAlignment="0" applyProtection="0"/>
    <xf numFmtId="0" fontId="79" fillId="0" borderId="22" applyNumberFormat="0" applyFill="0" applyAlignment="0" applyProtection="0"/>
    <xf numFmtId="0" fontId="36" fillId="0" borderId="8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52" fillId="0" borderId="10" applyNumberFormat="0" applyFill="0" applyAlignment="0" applyProtection="0"/>
    <xf numFmtId="0" fontId="36" fillId="0" borderId="9" applyNumberFormat="0" applyFill="0" applyAlignment="0" applyProtection="0"/>
    <xf numFmtId="0" fontId="36" fillId="0" borderId="8" applyNumberFormat="0" applyFill="0" applyAlignment="0" applyProtection="0"/>
    <xf numFmtId="0" fontId="36" fillId="0" borderId="8" applyNumberFormat="0" applyFill="0" applyAlignment="0" applyProtection="0"/>
    <xf numFmtId="0" fontId="41" fillId="0" borderId="7" applyNumberFormat="0" applyFill="0" applyAlignment="0" applyProtection="0"/>
    <xf numFmtId="0" fontId="36" fillId="0" borderId="8" applyNumberFormat="0" applyFill="0" applyAlignment="0" applyProtection="0"/>
    <xf numFmtId="0" fontId="41" fillId="0" borderId="7" applyNumberFormat="0" applyFill="0" applyAlignment="0" applyProtection="0"/>
    <xf numFmtId="0" fontId="36" fillId="0" borderId="8" applyNumberFormat="0" applyFill="0" applyAlignment="0" applyProtection="0"/>
    <xf numFmtId="0" fontId="79" fillId="0" borderId="22" applyNumberFormat="0" applyFill="0" applyAlignment="0" applyProtection="0"/>
    <xf numFmtId="0" fontId="80" fillId="0" borderId="23" applyNumberFormat="0" applyFill="0" applyAlignment="0" applyProtection="0"/>
    <xf numFmtId="0" fontId="37" fillId="0" borderId="12" applyNumberFormat="0" applyFill="0" applyAlignment="0" applyProtection="0"/>
    <xf numFmtId="0" fontId="37" fillId="0" borderId="11" applyNumberFormat="0" applyFill="0" applyAlignment="0" applyProtection="0"/>
    <xf numFmtId="0" fontId="53" fillId="0" borderId="11" applyNumberFormat="0" applyFill="0" applyAlignment="0" applyProtection="0"/>
    <xf numFmtId="0" fontId="37" fillId="0" borderId="11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42" fillId="0" borderId="11" applyNumberFormat="0" applyFill="0" applyAlignment="0" applyProtection="0"/>
    <xf numFmtId="0" fontId="37" fillId="0" borderId="12" applyNumberFormat="0" applyFill="0" applyAlignment="0" applyProtection="0"/>
    <xf numFmtId="0" fontId="42" fillId="0" borderId="11" applyNumberFormat="0" applyFill="0" applyAlignment="0" applyProtection="0"/>
    <xf numFmtId="0" fontId="37" fillId="0" borderId="12" applyNumberFormat="0" applyFill="0" applyAlignment="0" applyProtection="0"/>
    <xf numFmtId="0" fontId="80" fillId="0" borderId="23" applyNumberFormat="0" applyFill="0" applyAlignment="0" applyProtection="0"/>
    <xf numFmtId="0" fontId="81" fillId="0" borderId="24" applyNumberFormat="0" applyFill="0" applyAlignment="0" applyProtection="0"/>
    <xf numFmtId="0" fontId="38" fillId="0" borderId="14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54" fillId="0" borderId="16" applyNumberFormat="0" applyFill="0" applyAlignment="0" applyProtection="0"/>
    <xf numFmtId="0" fontId="38" fillId="0" borderId="15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43" fillId="0" borderId="13" applyNumberFormat="0" applyFill="0" applyAlignment="0" applyProtection="0"/>
    <xf numFmtId="0" fontId="38" fillId="0" borderId="14" applyNumberFormat="0" applyFill="0" applyAlignment="0" applyProtection="0"/>
    <xf numFmtId="0" fontId="43" fillId="0" borderId="13" applyNumberFormat="0" applyFill="0" applyAlignment="0" applyProtection="0"/>
    <xf numFmtId="0" fontId="38" fillId="0" borderId="14" applyNumberFormat="0" applyFill="0" applyAlignment="0" applyProtection="0"/>
    <xf numFmtId="0" fontId="81" fillId="0" borderId="24" applyNumberFormat="0" applyFill="0" applyAlignment="0" applyProtection="0"/>
    <xf numFmtId="0" fontId="8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64" borderId="20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57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13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32" fillId="5" borderId="2" applyNumberFormat="0" applyAlignment="0" applyProtection="0"/>
    <xf numFmtId="0" fontId="87" fillId="64" borderId="20" applyNumberFormat="0" applyAlignment="0" applyProtection="0"/>
    <xf numFmtId="3" fontId="58" fillId="34" borderId="0">
      <protection locked="0"/>
    </xf>
    <xf numFmtId="4" fontId="58" fillId="34" borderId="0">
      <protection locked="0"/>
    </xf>
    <xf numFmtId="0" fontId="64" fillId="0" borderId="1" applyBorder="0">
      <alignment horizontal="center" vertical="center" wrapText="1"/>
    </xf>
    <xf numFmtId="0" fontId="70" fillId="35" borderId="6"/>
    <xf numFmtId="0" fontId="70" fillId="35" borderId="6"/>
    <xf numFmtId="0" fontId="70" fillId="35" borderId="6"/>
    <xf numFmtId="0" fontId="70" fillId="35" borderId="6"/>
    <xf numFmtId="0" fontId="70" fillId="35" borderId="6"/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64" fillId="0" borderId="1" applyBorder="0">
      <alignment horizontal="center" vertical="center" wrapText="1"/>
    </xf>
    <xf numFmtId="0" fontId="88" fillId="0" borderId="25" applyNumberFormat="0" applyFill="0" applyAlignment="0" applyProtection="0"/>
    <xf numFmtId="0" fontId="33" fillId="0" borderId="18" applyNumberFormat="0" applyFill="0" applyAlignment="0" applyProtection="0"/>
    <xf numFmtId="0" fontId="44" fillId="0" borderId="17" applyNumberFormat="0" applyFill="0" applyAlignment="0" applyProtection="0"/>
    <xf numFmtId="0" fontId="59" fillId="0" borderId="19" applyNumberFormat="0" applyFill="0" applyAlignment="0" applyProtection="0"/>
    <xf numFmtId="0" fontId="44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18" applyNumberFormat="0" applyFill="0" applyAlignment="0" applyProtection="0"/>
    <xf numFmtId="0" fontId="33" fillId="0" borderId="18" applyNumberFormat="0" applyFill="0" applyAlignment="0" applyProtection="0"/>
    <xf numFmtId="0" fontId="44" fillId="0" borderId="17" applyNumberFormat="0" applyFill="0" applyAlignment="0" applyProtection="0"/>
    <xf numFmtId="0" fontId="88" fillId="0" borderId="25" applyNumberFormat="0" applyFill="0" applyAlignment="0" applyProtection="0"/>
    <xf numFmtId="0" fontId="89" fillId="65" borderId="0" applyNumberFormat="0" applyBorder="0" applyAlignment="0" applyProtection="0"/>
    <xf numFmtId="0" fontId="39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0" fillId="13" borderId="0" applyNumberFormat="0" applyBorder="0" applyAlignment="0" applyProtection="0"/>
    <xf numFmtId="0" fontId="45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45" fillId="13" borderId="0" applyNumberFormat="0" applyBorder="0" applyAlignment="0" applyProtection="0"/>
    <xf numFmtId="0" fontId="89" fillId="65" borderId="0" applyNumberFormat="0" applyBorder="0" applyAlignment="0" applyProtection="0"/>
    <xf numFmtId="43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4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16" fillId="0" borderId="0">
      <alignment wrapText="1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>
      <alignment wrapText="1"/>
    </xf>
    <xf numFmtId="0" fontId="72" fillId="0" borderId="0"/>
    <xf numFmtId="0" fontId="72" fillId="0" borderId="0"/>
    <xf numFmtId="0" fontId="16" fillId="0" borderId="0">
      <alignment wrapText="1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9" fillId="0" borderId="0">
      <alignment vertical="top"/>
    </xf>
    <xf numFmtId="0" fontId="72" fillId="0" borderId="0"/>
    <xf numFmtId="0" fontId="16" fillId="0" borderId="0"/>
    <xf numFmtId="0" fontId="72" fillId="0" borderId="0"/>
    <xf numFmtId="0" fontId="16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16" fillId="0" borderId="0"/>
    <xf numFmtId="0" fontId="90" fillId="0" borderId="0"/>
    <xf numFmtId="0" fontId="72" fillId="0" borderId="0"/>
    <xf numFmtId="0" fontId="90" fillId="0" borderId="0"/>
    <xf numFmtId="0" fontId="72" fillId="0" borderId="0"/>
    <xf numFmtId="0" fontId="72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24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24" fillId="0" borderId="0"/>
    <xf numFmtId="0" fontId="72" fillId="0" borderId="0"/>
    <xf numFmtId="0" fontId="24" fillId="0" borderId="0"/>
    <xf numFmtId="0" fontId="16" fillId="0" borderId="0"/>
    <xf numFmtId="0" fontId="24" fillId="0" borderId="0"/>
    <xf numFmtId="0" fontId="72" fillId="0" borderId="0"/>
    <xf numFmtId="0" fontId="24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6" fillId="0" borderId="0"/>
    <xf numFmtId="0" fontId="16" fillId="0" borderId="0"/>
    <xf numFmtId="0" fontId="72" fillId="0" borderId="0"/>
    <xf numFmtId="0" fontId="16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24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1" fillId="0" borderId="0"/>
    <xf numFmtId="0" fontId="72" fillId="0" borderId="0"/>
    <xf numFmtId="0" fontId="2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1" fillId="0" borderId="0"/>
    <xf numFmtId="0" fontId="24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1" fillId="0" borderId="0"/>
    <xf numFmtId="0" fontId="72" fillId="0" borderId="0"/>
    <xf numFmtId="0" fontId="72" fillId="0" borderId="0"/>
    <xf numFmtId="0" fontId="72" fillId="0" borderId="0"/>
    <xf numFmtId="0" fontId="19" fillId="0" borderId="0">
      <alignment vertical="top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6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17" fillId="0" borderId="0"/>
    <xf numFmtId="0" fontId="17" fillId="0" borderId="0"/>
    <xf numFmtId="0" fontId="4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4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7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7" fillId="0" borderId="0"/>
    <xf numFmtId="0" fontId="24" fillId="0" borderId="0"/>
    <xf numFmtId="0" fontId="1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0" borderId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5" borderId="0" applyNumberFormat="0" applyBorder="0" applyAlignment="0" applyProtection="0"/>
    <xf numFmtId="0" fontId="15" fillId="37" borderId="0" applyNumberFormat="0" applyBorder="0" applyAlignment="0" applyProtection="0"/>
    <xf numFmtId="0" fontId="15" fillId="9" borderId="0" applyNumberFormat="0" applyBorder="0" applyAlignment="0" applyProtection="0"/>
    <xf numFmtId="0" fontId="15" fillId="38" borderId="0" applyNumberFormat="0" applyBorder="0" applyAlignment="0" applyProtection="0"/>
    <xf numFmtId="0" fontId="15" fillId="9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9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97" fillId="0" borderId="0">
      <alignment vertical="top"/>
    </xf>
    <xf numFmtId="0" fontId="14" fillId="0" borderId="0"/>
    <xf numFmtId="0" fontId="19" fillId="0" borderId="0">
      <alignment vertical="top"/>
    </xf>
    <xf numFmtId="0" fontId="14" fillId="0" borderId="0"/>
    <xf numFmtId="0" fontId="1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4" fillId="0" borderId="0"/>
    <xf numFmtId="0" fontId="19" fillId="0" borderId="0">
      <alignment vertical="top"/>
    </xf>
    <xf numFmtId="0" fontId="14" fillId="0" borderId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5" borderId="0" applyNumberFormat="0" applyBorder="0" applyAlignment="0" applyProtection="0"/>
    <xf numFmtId="0" fontId="13" fillId="37" borderId="0" applyNumberFormat="0" applyBorder="0" applyAlignment="0" applyProtection="0"/>
    <xf numFmtId="0" fontId="13" fillId="9" borderId="0" applyNumberFormat="0" applyBorder="0" applyAlignment="0" applyProtection="0"/>
    <xf numFmtId="0" fontId="13" fillId="38" borderId="0" applyNumberFormat="0" applyBorder="0" applyAlignment="0" applyProtection="0"/>
    <xf numFmtId="0" fontId="13" fillId="9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9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34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6" fillId="26" borderId="41" applyNumberFormat="0" applyAlignment="0" applyProtection="0"/>
    <xf numFmtId="0" fontId="46" fillId="26" borderId="41" applyNumberFormat="0" applyAlignment="0" applyProtection="0"/>
    <xf numFmtId="0" fontId="46" fillId="26" borderId="41" applyNumberFormat="0" applyAlignment="0" applyProtection="0"/>
    <xf numFmtId="0" fontId="46" fillId="26" borderId="41" applyNumberFormat="0" applyAlignment="0" applyProtection="0"/>
    <xf numFmtId="0" fontId="46" fillId="26" borderId="41" applyNumberFormat="0" applyAlignment="0" applyProtection="0"/>
    <xf numFmtId="0" fontId="46" fillId="26" borderId="41" applyNumberFormat="0" applyAlignment="0" applyProtection="0"/>
    <xf numFmtId="0" fontId="46" fillId="26" borderId="41" applyNumberFormat="0" applyAlignment="0" applyProtection="0"/>
    <xf numFmtId="0" fontId="40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40" fillId="26" borderId="41" applyNumberFormat="0" applyAlignment="0" applyProtection="0"/>
    <xf numFmtId="0" fontId="34" fillId="26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40" fillId="4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34" fillId="26" borderId="41" applyNumberFormat="0" applyAlignment="0" applyProtection="0"/>
    <xf numFmtId="0" fontId="17" fillId="0" borderId="42"/>
    <xf numFmtId="0" fontId="17" fillId="0" borderId="42"/>
    <xf numFmtId="0" fontId="17" fillId="0" borderId="42"/>
    <xf numFmtId="0" fontId="17" fillId="0" borderId="42"/>
    <xf numFmtId="0" fontId="17" fillId="0" borderId="42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57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13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32" fillId="5" borderId="41" applyNumberFormat="0" applyAlignment="0" applyProtection="0"/>
    <xf numFmtId="0" fontId="70" fillId="35" borderId="42"/>
    <xf numFmtId="0" fontId="70" fillId="35" borderId="42"/>
    <xf numFmtId="0" fontId="70" fillId="35" borderId="42"/>
    <xf numFmtId="0" fontId="70" fillId="35" borderId="42"/>
    <xf numFmtId="0" fontId="70" fillId="35" borderId="42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5" borderId="0" applyNumberFormat="0" applyBorder="0" applyAlignment="0" applyProtection="0"/>
    <xf numFmtId="0" fontId="13" fillId="37" borderId="0" applyNumberFormat="0" applyBorder="0" applyAlignment="0" applyProtection="0"/>
    <xf numFmtId="0" fontId="13" fillId="9" borderId="0" applyNumberFormat="0" applyBorder="0" applyAlignment="0" applyProtection="0"/>
    <xf numFmtId="0" fontId="13" fillId="38" borderId="0" applyNumberFormat="0" applyBorder="0" applyAlignment="0" applyProtection="0"/>
    <xf numFmtId="0" fontId="13" fillId="9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9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5" borderId="43" applyNumberFormat="0" applyAlignment="0" applyProtection="0"/>
    <xf numFmtId="0" fontId="70" fillId="35" borderId="44"/>
    <xf numFmtId="0" fontId="70" fillId="35" borderId="44"/>
    <xf numFmtId="0" fontId="70" fillId="35" borderId="44"/>
    <xf numFmtId="0" fontId="70" fillId="35" borderId="44"/>
    <xf numFmtId="0" fontId="70" fillId="35" borderId="44"/>
    <xf numFmtId="0" fontId="32" fillId="5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5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57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32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57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57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32" fillId="13" borderId="43" applyNumberFormat="0" applyAlignment="0" applyProtection="0"/>
    <xf numFmtId="0" fontId="17" fillId="0" borderId="44"/>
    <xf numFmtId="0" fontId="17" fillId="0" borderId="44"/>
    <xf numFmtId="0" fontId="17" fillId="0" borderId="44"/>
    <xf numFmtId="0" fontId="17" fillId="0" borderId="44"/>
    <xf numFmtId="0" fontId="17" fillId="0" borderId="44"/>
    <xf numFmtId="0" fontId="40" fillId="4" borderId="43" applyNumberFormat="0" applyAlignment="0" applyProtection="0"/>
    <xf numFmtId="0" fontId="40" fillId="4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40" fillId="4" borderId="43" applyNumberFormat="0" applyAlignment="0" applyProtection="0"/>
    <xf numFmtId="0" fontId="34" fillId="26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40" fillId="4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40" fillId="4" borderId="43" applyNumberFormat="0" applyAlignment="0" applyProtection="0"/>
    <xf numFmtId="0" fontId="34" fillId="26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6" fillId="26" borderId="43" applyNumberFormat="0" applyAlignment="0" applyProtection="0"/>
    <xf numFmtId="0" fontId="34" fillId="26" borderId="43" applyNumberFormat="0" applyAlignment="0" applyProtection="0"/>
    <xf numFmtId="0" fontId="40" fillId="26" borderId="43" applyNumberFormat="0" applyAlignment="0" applyProtection="0"/>
    <xf numFmtId="0" fontId="40" fillId="4" borderId="43" applyNumberFormat="0" applyAlignment="0" applyProtection="0"/>
    <xf numFmtId="0" fontId="40" fillId="4" borderId="43" applyNumberFormat="0" applyAlignment="0" applyProtection="0"/>
    <xf numFmtId="0" fontId="40" fillId="26" borderId="43" applyNumberFormat="0" applyAlignment="0" applyProtection="0"/>
    <xf numFmtId="0" fontId="34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34" fillId="26" borderId="43" applyNumberFormat="0" applyAlignment="0" applyProtection="0"/>
    <xf numFmtId="0" fontId="40" fillId="26" borderId="43" applyNumberFormat="0" applyAlignment="0" applyProtection="0"/>
    <xf numFmtId="0" fontId="34" fillId="26" borderId="43" applyNumberFormat="0" applyAlignment="0" applyProtection="0"/>
    <xf numFmtId="0" fontId="46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34" fillId="26" borderId="43" applyNumberFormat="0" applyAlignment="0" applyProtection="0"/>
    <xf numFmtId="0" fontId="40" fillId="26" borderId="43" applyNumberFormat="0" applyAlignment="0" applyProtection="0"/>
    <xf numFmtId="0" fontId="46" fillId="26" borderId="43" applyNumberFormat="0" applyAlignment="0" applyProtection="0"/>
    <xf numFmtId="0" fontId="46" fillId="26" borderId="43" applyNumberFormat="0" applyAlignment="0" applyProtection="0"/>
    <xf numFmtId="0" fontId="46" fillId="26" borderId="43" applyNumberFormat="0" applyAlignment="0" applyProtection="0"/>
    <xf numFmtId="0" fontId="46" fillId="26" borderId="43" applyNumberFormat="0" applyAlignment="0" applyProtection="0"/>
    <xf numFmtId="0" fontId="46" fillId="26" borderId="43" applyNumberFormat="0" applyAlignment="0" applyProtection="0"/>
    <xf numFmtId="0" fontId="34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0" fontId="40" fillId="26" borderId="43" applyNumberFormat="0" applyAlignment="0" applyProtection="0"/>
    <xf numFmtId="9" fontId="16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0" fillId="35" borderId="46"/>
    <xf numFmtId="0" fontId="70" fillId="35" borderId="46"/>
    <xf numFmtId="0" fontId="70" fillId="35" borderId="46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17" fillId="0" borderId="46"/>
    <xf numFmtId="0" fontId="17" fillId="0" borderId="46"/>
    <xf numFmtId="0" fontId="17" fillId="0" borderId="46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34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40" fillId="26" borderId="45" applyNumberFormat="0" applyAlignment="0" applyProtection="0"/>
    <xf numFmtId="0" fontId="46" fillId="26" borderId="45" applyNumberFormat="0" applyAlignment="0" applyProtection="0"/>
    <xf numFmtId="0" fontId="46" fillId="26" borderId="45" applyNumberFormat="0" applyAlignment="0" applyProtection="0"/>
    <xf numFmtId="0" fontId="46" fillId="26" borderId="45" applyNumberFormat="0" applyAlignment="0" applyProtection="0"/>
    <xf numFmtId="0" fontId="46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34" fillId="26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32" fillId="5" borderId="45" applyNumberFormat="0" applyAlignment="0" applyProtection="0"/>
    <xf numFmtId="0" fontId="70" fillId="35" borderId="46"/>
    <xf numFmtId="0" fontId="70" fillId="35" borderId="46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5" borderId="45" applyNumberFormat="0" applyAlignment="0" applyProtection="0"/>
    <xf numFmtId="0" fontId="32" fillId="13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57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32" fillId="13" borderId="45" applyNumberFormat="0" applyAlignment="0" applyProtection="0"/>
    <xf numFmtId="0" fontId="17" fillId="0" borderId="46"/>
    <xf numFmtId="0" fontId="17" fillId="0" borderId="46"/>
    <xf numFmtId="0" fontId="34" fillId="26" borderId="45" applyNumberFormat="0" applyAlignment="0" applyProtection="0"/>
    <xf numFmtId="0" fontId="34" fillId="26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4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34" fillId="26" borderId="45" applyNumberFormat="0" applyAlignment="0" applyProtection="0"/>
    <xf numFmtId="0" fontId="34" fillId="26" borderId="45" applyNumberFormat="0" applyAlignment="0" applyProtection="0"/>
    <xf numFmtId="0" fontId="46" fillId="26" borderId="45" applyNumberFormat="0" applyAlignment="0" applyProtection="0"/>
    <xf numFmtId="0" fontId="46" fillId="26" borderId="45" applyNumberFormat="0" applyAlignment="0" applyProtection="0"/>
    <xf numFmtId="0" fontId="46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40" fillId="26" borderId="45" applyNumberForma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top"/>
    </xf>
    <xf numFmtId="0" fontId="19" fillId="0" borderId="0">
      <alignment vertical="top"/>
    </xf>
    <xf numFmtId="0" fontId="11" fillId="0" borderId="0"/>
    <xf numFmtId="0" fontId="11" fillId="0" borderId="0"/>
    <xf numFmtId="0" fontId="19" fillId="0" borderId="0">
      <alignment vertical="top"/>
    </xf>
    <xf numFmtId="0" fontId="19" fillId="0" borderId="0">
      <alignment vertical="top"/>
    </xf>
    <xf numFmtId="0" fontId="11" fillId="0" borderId="0"/>
    <xf numFmtId="0" fontId="19" fillId="0" borderId="0">
      <alignment vertical="top"/>
    </xf>
    <xf numFmtId="0" fontId="11" fillId="0" borderId="0"/>
    <xf numFmtId="0" fontId="19" fillId="0" borderId="0">
      <alignment vertical="top"/>
    </xf>
    <xf numFmtId="0" fontId="11" fillId="0" borderId="0"/>
    <xf numFmtId="0" fontId="19" fillId="0" borderId="0">
      <alignment vertical="top"/>
    </xf>
    <xf numFmtId="0" fontId="11" fillId="0" borderId="0"/>
    <xf numFmtId="0" fontId="19" fillId="0" borderId="0">
      <alignment vertical="top"/>
    </xf>
    <xf numFmtId="0" fontId="11" fillId="0" borderId="0"/>
    <xf numFmtId="0" fontId="19" fillId="0" borderId="0">
      <alignment vertical="top"/>
    </xf>
    <xf numFmtId="0" fontId="11" fillId="0" borderId="0"/>
    <xf numFmtId="0" fontId="17" fillId="0" borderId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4" fillId="0" borderId="0"/>
    <xf numFmtId="0" fontId="6" fillId="0" borderId="0"/>
    <xf numFmtId="0" fontId="6" fillId="0" borderId="0"/>
    <xf numFmtId="0" fontId="17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44" fontId="4" fillId="0" borderId="0" applyFont="0" applyFill="0" applyBorder="0" applyAlignment="0" applyProtection="0"/>
    <xf numFmtId="0" fontId="2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</cellStyleXfs>
  <cellXfs count="229">
    <xf numFmtId="0" fontId="0" fillId="0" borderId="0" xfId="0"/>
    <xf numFmtId="43" fontId="0" fillId="0" borderId="0" xfId="371" applyFont="1"/>
    <xf numFmtId="0" fontId="71" fillId="0" borderId="0" xfId="0" applyFont="1"/>
    <xf numFmtId="43" fontId="0" fillId="0" borderId="27" xfId="371" applyFont="1" applyBorder="1"/>
    <xf numFmtId="167" fontId="0" fillId="0" borderId="0" xfId="0" applyNumberFormat="1"/>
    <xf numFmtId="0" fontId="0" fillId="0" borderId="0" xfId="0" applyAlignment="1">
      <alignment horizontal="right"/>
    </xf>
    <xf numFmtId="43" fontId="0" fillId="0" borderId="28" xfId="371" applyFont="1" applyBorder="1"/>
    <xf numFmtId="9" fontId="0" fillId="0" borderId="0" xfId="15197" applyFont="1"/>
    <xf numFmtId="0" fontId="71" fillId="0" borderId="5" xfId="0" applyFont="1" applyBorder="1" applyAlignment="1">
      <alignment horizontal="center"/>
    </xf>
    <xf numFmtId="14" fontId="71" fillId="0" borderId="5" xfId="0" applyNumberFormat="1" applyFont="1" applyBorder="1" applyAlignment="1">
      <alignment horizontal="center"/>
    </xf>
    <xf numFmtId="0" fontId="0" fillId="0" borderId="29" xfId="0" applyBorder="1"/>
    <xf numFmtId="0" fontId="71" fillId="0" borderId="30" xfId="0" applyFont="1" applyBorder="1" applyAlignment="1">
      <alignment horizontal="center"/>
    </xf>
    <xf numFmtId="0" fontId="71" fillId="0" borderId="31" xfId="0" applyFont="1" applyBorder="1" applyAlignment="1">
      <alignment horizontal="center"/>
    </xf>
    <xf numFmtId="0" fontId="71" fillId="0" borderId="32" xfId="0" applyFont="1" applyBorder="1"/>
    <xf numFmtId="0" fontId="71" fillId="0" borderId="0" xfId="0" applyFont="1" applyAlignment="1">
      <alignment horizontal="center"/>
    </xf>
    <xf numFmtId="0" fontId="71" fillId="0" borderId="33" xfId="0" applyFont="1" applyBorder="1" applyAlignment="1">
      <alignment horizontal="center"/>
    </xf>
    <xf numFmtId="0" fontId="0" fillId="0" borderId="34" xfId="0" applyBorder="1"/>
    <xf numFmtId="14" fontId="71" fillId="0" borderId="35" xfId="0" applyNumberFormat="1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43" fontId="0" fillId="0" borderId="0" xfId="371" applyFont="1" applyBorder="1"/>
    <xf numFmtId="0" fontId="0" fillId="0" borderId="38" xfId="0" applyBorder="1"/>
    <xf numFmtId="43" fontId="0" fillId="0" borderId="39" xfId="371" applyFont="1" applyBorder="1"/>
    <xf numFmtId="43" fontId="0" fillId="0" borderId="40" xfId="371" applyFont="1" applyBorder="1"/>
    <xf numFmtId="167" fontId="0" fillId="0" borderId="0" xfId="371" applyNumberFormat="1" applyFont="1" applyFill="1"/>
    <xf numFmtId="43" fontId="0" fillId="0" borderId="0" xfId="371" applyFont="1" applyFill="1"/>
    <xf numFmtId="9" fontId="0" fillId="0" borderId="0" xfId="15197" applyFont="1" applyFill="1"/>
    <xf numFmtId="168" fontId="0" fillId="0" borderId="0" xfId="371" applyNumberFormat="1" applyFont="1"/>
    <xf numFmtId="168" fontId="0" fillId="0" borderId="27" xfId="371" applyNumberFormat="1" applyFont="1" applyBorder="1"/>
    <xf numFmtId="168" fontId="0" fillId="0" borderId="0" xfId="371" applyNumberFormat="1" applyFont="1" applyFill="1"/>
    <xf numFmtId="0" fontId="96" fillId="0" borderId="0" xfId="15206" applyFont="1"/>
    <xf numFmtId="0" fontId="96" fillId="0" borderId="0" xfId="15210" applyFont="1" applyAlignment="1">
      <alignment horizontal="center" vertical="center"/>
    </xf>
    <xf numFmtId="9" fontId="16" fillId="0" borderId="0" xfId="15197" applyFont="1" applyFill="1"/>
    <xf numFmtId="167" fontId="16" fillId="0" borderId="0" xfId="0" applyNumberFormat="1" applyFont="1"/>
    <xf numFmtId="43" fontId="96" fillId="0" borderId="0" xfId="15199" applyFont="1" applyFill="1"/>
    <xf numFmtId="43" fontId="16" fillId="0" borderId="0" xfId="371" applyFont="1" applyFill="1"/>
    <xf numFmtId="0" fontId="96" fillId="0" borderId="0" xfId="15198" applyFont="1"/>
    <xf numFmtId="0" fontId="96" fillId="0" borderId="0" xfId="15203" applyFont="1" applyAlignment="1">
      <alignment horizontal="left"/>
    </xf>
    <xf numFmtId="0" fontId="16" fillId="0" borderId="32" xfId="0" applyFont="1" applyBorder="1"/>
    <xf numFmtId="168" fontId="0" fillId="0" borderId="0" xfId="371" applyNumberFormat="1" applyFont="1" applyBorder="1"/>
    <xf numFmtId="168" fontId="0" fillId="0" borderId="33" xfId="371" applyNumberFormat="1" applyFont="1" applyBorder="1"/>
    <xf numFmtId="168" fontId="0" fillId="0" borderId="28" xfId="371" applyNumberFormat="1" applyFont="1" applyBorder="1"/>
    <xf numFmtId="168" fontId="0" fillId="0" borderId="36" xfId="371" applyNumberFormat="1" applyFont="1" applyBorder="1"/>
    <xf numFmtId="168" fontId="0" fillId="0" borderId="37" xfId="371" applyNumberFormat="1" applyFont="1" applyBorder="1"/>
    <xf numFmtId="0" fontId="0" fillId="0" borderId="0" xfId="0" applyAlignment="1">
      <alignment wrapText="1"/>
    </xf>
    <xf numFmtId="0" fontId="16" fillId="0" borderId="0" xfId="0" applyFont="1" applyAlignment="1">
      <alignment wrapText="1"/>
    </xf>
    <xf numFmtId="168" fontId="0" fillId="0" borderId="0" xfId="0" applyNumberFormat="1"/>
    <xf numFmtId="0" fontId="16" fillId="0" borderId="0" xfId="0" applyFont="1"/>
    <xf numFmtId="169" fontId="0" fillId="0" borderId="0" xfId="1882" applyNumberFormat="1" applyFont="1" applyFill="1"/>
    <xf numFmtId="14" fontId="0" fillId="0" borderId="0" xfId="0" applyNumberFormat="1"/>
    <xf numFmtId="0" fontId="99" fillId="0" borderId="0" xfId="15198" applyFont="1"/>
    <xf numFmtId="0" fontId="11" fillId="0" borderId="0" xfId="23008"/>
    <xf numFmtId="0" fontId="71" fillId="0" borderId="5" xfId="0" applyFont="1" applyBorder="1" applyAlignment="1">
      <alignment horizontal="center" wrapText="1"/>
    </xf>
    <xf numFmtId="167" fontId="16" fillId="0" borderId="0" xfId="371" applyNumberFormat="1" applyFont="1" applyFill="1"/>
    <xf numFmtId="168" fontId="16" fillId="0" borderId="0" xfId="371" applyNumberFormat="1" applyFont="1" applyFill="1"/>
    <xf numFmtId="0" fontId="16" fillId="0" borderId="0" xfId="0" applyFont="1" applyAlignment="1">
      <alignment horizontal="right"/>
    </xf>
    <xf numFmtId="0" fontId="100" fillId="0" borderId="0" xfId="23005" applyFont="1" applyAlignment="1">
      <alignment horizontal="left"/>
    </xf>
    <xf numFmtId="0" fontId="96" fillId="0" borderId="0" xfId="23010" applyFont="1"/>
    <xf numFmtId="43" fontId="96" fillId="0" borderId="0" xfId="22985" applyFont="1" applyFill="1"/>
    <xf numFmtId="0" fontId="100" fillId="0" borderId="0" xfId="23014" applyFont="1" applyAlignment="1">
      <alignment horizontal="left"/>
    </xf>
    <xf numFmtId="0" fontId="96" fillId="0" borderId="0" xfId="23016" applyFont="1"/>
    <xf numFmtId="0" fontId="96" fillId="0" borderId="0" xfId="23004" applyFont="1"/>
    <xf numFmtId="0" fontId="93" fillId="0" borderId="0" xfId="0" applyFont="1"/>
    <xf numFmtId="0" fontId="0" fillId="0" borderId="0" xfId="371" applyNumberFormat="1" applyFont="1" applyFill="1"/>
    <xf numFmtId="0" fontId="94" fillId="0" borderId="0" xfId="9214" applyFont="1"/>
    <xf numFmtId="14" fontId="71" fillId="0" borderId="0" xfId="0" applyNumberFormat="1" applyFont="1" applyAlignment="1">
      <alignment horizontal="left"/>
    </xf>
    <xf numFmtId="0" fontId="71" fillId="0" borderId="0" xfId="0" applyFont="1" applyAlignment="1">
      <alignment horizontal="right"/>
    </xf>
    <xf numFmtId="9" fontId="71" fillId="0" borderId="0" xfId="15197" applyFont="1" applyFill="1" applyAlignment="1">
      <alignment horizontal="center"/>
    </xf>
    <xf numFmtId="0" fontId="16" fillId="0" borderId="0" xfId="0" applyFont="1" applyAlignment="1">
      <alignment horizontal="left"/>
    </xf>
    <xf numFmtId="43" fontId="71" fillId="0" borderId="0" xfId="371" applyFont="1" applyFill="1" applyAlignment="1">
      <alignment horizontal="center"/>
    </xf>
    <xf numFmtId="0" fontId="71" fillId="0" borderId="0" xfId="371" applyNumberFormat="1" applyFont="1" applyFill="1" applyAlignment="1">
      <alignment horizontal="center"/>
    </xf>
    <xf numFmtId="14" fontId="71" fillId="0" borderId="0" xfId="371" applyNumberFormat="1" applyFont="1" applyFill="1" applyAlignment="1">
      <alignment horizontal="center"/>
    </xf>
    <xf numFmtId="0" fontId="93" fillId="0" borderId="0" xfId="0" applyFont="1" applyAlignment="1">
      <alignment horizontal="right"/>
    </xf>
    <xf numFmtId="9" fontId="93" fillId="0" borderId="0" xfId="15197" applyFont="1" applyFill="1"/>
    <xf numFmtId="167" fontId="93" fillId="0" borderId="0" xfId="371" applyNumberFormat="1" applyFont="1" applyFill="1"/>
    <xf numFmtId="168" fontId="93" fillId="0" borderId="0" xfId="371" applyNumberFormat="1" applyFont="1" applyFill="1"/>
    <xf numFmtId="168" fontId="0" fillId="0" borderId="26" xfId="371" applyNumberFormat="1" applyFont="1" applyFill="1" applyBorder="1"/>
    <xf numFmtId="0" fontId="0" fillId="0" borderId="0" xfId="371" applyNumberFormat="1" applyFont="1" applyFill="1" applyAlignment="1">
      <alignment horizontal="right"/>
    </xf>
    <xf numFmtId="43" fontId="16" fillId="0" borderId="0" xfId="371" applyFont="1" applyFill="1" applyAlignment="1">
      <alignment horizontal="right"/>
    </xf>
    <xf numFmtId="168" fontId="0" fillId="0" borderId="27" xfId="371" applyNumberFormat="1" applyFont="1" applyFill="1" applyBorder="1"/>
    <xf numFmtId="0" fontId="93" fillId="0" borderId="0" xfId="371" applyNumberFormat="1" applyFont="1" applyFill="1"/>
    <xf numFmtId="43" fontId="93" fillId="0" borderId="0" xfId="371" applyFont="1" applyFill="1"/>
    <xf numFmtId="0" fontId="98" fillId="0" borderId="0" xfId="0" applyFont="1"/>
    <xf numFmtId="168" fontId="71" fillId="0" borderId="0" xfId="0" applyNumberFormat="1" applyFont="1" applyAlignment="1">
      <alignment horizontal="center"/>
    </xf>
    <xf numFmtId="14" fontId="71" fillId="0" borderId="0" xfId="0" applyNumberFormat="1" applyFont="1" applyAlignment="1">
      <alignment horizontal="center"/>
    </xf>
    <xf numFmtId="0" fontId="101" fillId="0" borderId="0" xfId="0" applyFont="1" applyAlignment="1">
      <alignment wrapText="1"/>
    </xf>
    <xf numFmtId="0" fontId="71" fillId="0" borderId="0" xfId="0" applyFont="1" applyAlignment="1">
      <alignment horizontal="left"/>
    </xf>
    <xf numFmtId="43" fontId="0" fillId="0" borderId="0" xfId="0" applyNumberFormat="1"/>
    <xf numFmtId="9" fontId="71" fillId="0" borderId="0" xfId="15197" applyFont="1" applyFill="1"/>
    <xf numFmtId="43" fontId="0" fillId="0" borderId="28" xfId="371" applyFont="1" applyFill="1" applyBorder="1"/>
    <xf numFmtId="169" fontId="71" fillId="0" borderId="5" xfId="1882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67" borderId="0" xfId="0" applyFill="1"/>
    <xf numFmtId="0" fontId="0" fillId="67" borderId="0" xfId="0" applyFill="1" applyAlignment="1">
      <alignment horizontal="right"/>
    </xf>
    <xf numFmtId="9" fontId="0" fillId="67" borderId="0" xfId="15197" applyFont="1" applyFill="1"/>
    <xf numFmtId="167" fontId="0" fillId="67" borderId="0" xfId="371" applyNumberFormat="1" applyFont="1" applyFill="1"/>
    <xf numFmtId="168" fontId="0" fillId="67" borderId="0" xfId="371" applyNumberFormat="1" applyFont="1" applyFill="1"/>
    <xf numFmtId="0" fontId="93" fillId="67" borderId="0" xfId="0" applyFont="1" applyFill="1"/>
    <xf numFmtId="0" fontId="93" fillId="67" borderId="0" xfId="0" applyFont="1" applyFill="1" applyAlignment="1">
      <alignment horizontal="right"/>
    </xf>
    <xf numFmtId="9" fontId="93" fillId="67" borderId="0" xfId="15197" applyFont="1" applyFill="1"/>
    <xf numFmtId="167" fontId="93" fillId="67" borderId="0" xfId="371" applyNumberFormat="1" applyFont="1" applyFill="1"/>
    <xf numFmtId="168" fontId="93" fillId="67" borderId="0" xfId="371" applyNumberFormat="1" applyFont="1" applyFill="1"/>
    <xf numFmtId="0" fontId="0" fillId="68" borderId="0" xfId="0" applyFill="1"/>
    <xf numFmtId="0" fontId="0" fillId="68" borderId="0" xfId="0" applyFill="1" applyAlignment="1">
      <alignment horizontal="right"/>
    </xf>
    <xf numFmtId="9" fontId="0" fillId="68" borderId="0" xfId="15197" applyFont="1" applyFill="1"/>
    <xf numFmtId="167" fontId="0" fillId="68" borderId="0" xfId="371" applyNumberFormat="1" applyFont="1" applyFill="1"/>
    <xf numFmtId="168" fontId="0" fillId="68" borderId="0" xfId="371" applyNumberFormat="1" applyFont="1" applyFill="1"/>
    <xf numFmtId="0" fontId="93" fillId="68" borderId="0" xfId="0" applyFont="1" applyFill="1"/>
    <xf numFmtId="0" fontId="93" fillId="68" borderId="0" xfId="0" applyFont="1" applyFill="1" applyAlignment="1">
      <alignment horizontal="right"/>
    </xf>
    <xf numFmtId="9" fontId="93" fillId="68" borderId="0" xfId="15197" applyFont="1" applyFill="1"/>
    <xf numFmtId="167" fontId="93" fillId="68" borderId="0" xfId="371" applyNumberFormat="1" applyFont="1" applyFill="1"/>
    <xf numFmtId="168" fontId="93" fillId="68" borderId="0" xfId="371" applyNumberFormat="1" applyFont="1" applyFill="1"/>
    <xf numFmtId="167" fontId="0" fillId="67" borderId="0" xfId="0" applyNumberFormat="1" applyFill="1"/>
    <xf numFmtId="43" fontId="0" fillId="67" borderId="0" xfId="371" applyFont="1" applyFill="1"/>
    <xf numFmtId="167" fontId="93" fillId="67" borderId="0" xfId="0" applyNumberFormat="1" applyFont="1" applyFill="1"/>
    <xf numFmtId="43" fontId="93" fillId="67" borderId="0" xfId="371" applyFont="1" applyFill="1"/>
    <xf numFmtId="0" fontId="93" fillId="69" borderId="0" xfId="0" applyFont="1" applyFill="1"/>
    <xf numFmtId="0" fontId="93" fillId="69" borderId="0" xfId="0" applyFont="1" applyFill="1" applyAlignment="1">
      <alignment horizontal="right"/>
    </xf>
    <xf numFmtId="9" fontId="93" fillId="69" borderId="0" xfId="15197" applyFont="1" applyFill="1"/>
    <xf numFmtId="167" fontId="93" fillId="69" borderId="0" xfId="371" applyNumberFormat="1" applyFont="1" applyFill="1"/>
    <xf numFmtId="168" fontId="93" fillId="69" borderId="0" xfId="371" applyNumberFormat="1" applyFont="1" applyFill="1"/>
    <xf numFmtId="0" fontId="0" fillId="69" borderId="0" xfId="0" applyFill="1"/>
    <xf numFmtId="168" fontId="0" fillId="69" borderId="0" xfId="371" applyNumberFormat="1" applyFont="1" applyFill="1"/>
    <xf numFmtId="168" fontId="16" fillId="69" borderId="0" xfId="371" applyNumberFormat="1" applyFont="1" applyFill="1"/>
    <xf numFmtId="167" fontId="93" fillId="69" borderId="0" xfId="0" applyNumberFormat="1" applyFont="1" applyFill="1"/>
    <xf numFmtId="43" fontId="93" fillId="69" borderId="0" xfId="371" applyFont="1" applyFill="1"/>
    <xf numFmtId="0" fontId="103" fillId="0" borderId="0" xfId="23019" applyFont="1" applyAlignment="1">
      <alignment horizontal="center"/>
    </xf>
    <xf numFmtId="43" fontId="0" fillId="0" borderId="51" xfId="371" applyFont="1" applyBorder="1"/>
    <xf numFmtId="43" fontId="0" fillId="0" borderId="50" xfId="371" applyFont="1" applyBorder="1"/>
    <xf numFmtId="0" fontId="10" fillId="0" borderId="0" xfId="23020"/>
    <xf numFmtId="0" fontId="0" fillId="0" borderId="0" xfId="0" pivotButton="1"/>
    <xf numFmtId="170" fontId="0" fillId="0" borderId="0" xfId="0" applyNumberFormat="1"/>
    <xf numFmtId="168" fontId="0" fillId="0" borderId="55" xfId="371" applyNumberFormat="1" applyFont="1" applyBorder="1"/>
    <xf numFmtId="168" fontId="0" fillId="0" borderId="0" xfId="371" applyNumberFormat="1" applyFont="1" applyFill="1" applyBorder="1"/>
    <xf numFmtId="0" fontId="102" fillId="0" borderId="0" xfId="23020" applyFont="1" applyAlignment="1">
      <alignment horizontal="right"/>
    </xf>
    <xf numFmtId="0" fontId="10" fillId="0" borderId="0" xfId="23020" applyAlignment="1">
      <alignment horizontal="right"/>
    </xf>
    <xf numFmtId="2" fontId="107" fillId="72" borderId="0" xfId="23033" applyNumberFormat="1" applyFont="1" applyFill="1" applyAlignment="1">
      <alignment horizontal="right"/>
    </xf>
    <xf numFmtId="167" fontId="107" fillId="72" borderId="0" xfId="23033" applyNumberFormat="1" applyFont="1" applyFill="1" applyAlignment="1">
      <alignment horizontal="right"/>
    </xf>
    <xf numFmtId="0" fontId="107" fillId="72" borderId="0" xfId="23033" applyFont="1" applyFill="1" applyAlignment="1">
      <alignment horizontal="right"/>
    </xf>
    <xf numFmtId="3" fontId="107" fillId="72" borderId="0" xfId="23033" applyNumberFormat="1" applyFont="1" applyFill="1" applyAlignment="1">
      <alignment horizontal="right"/>
    </xf>
    <xf numFmtId="4" fontId="108" fillId="0" borderId="0" xfId="23019" applyNumberFormat="1" applyFont="1" applyAlignment="1">
      <alignment horizontal="left"/>
    </xf>
    <xf numFmtId="0" fontId="108" fillId="0" borderId="0" xfId="23019" applyFont="1"/>
    <xf numFmtId="43" fontId="93" fillId="0" borderId="0" xfId="0" applyNumberFormat="1" applyFont="1"/>
    <xf numFmtId="43" fontId="107" fillId="72" borderId="0" xfId="371" applyFont="1" applyFill="1" applyAlignment="1">
      <alignment horizontal="right"/>
    </xf>
    <xf numFmtId="0" fontId="109" fillId="71" borderId="52" xfId="0" applyFont="1" applyFill="1" applyBorder="1"/>
    <xf numFmtId="170" fontId="109" fillId="71" borderId="52" xfId="0" applyNumberFormat="1" applyFont="1" applyFill="1" applyBorder="1"/>
    <xf numFmtId="0" fontId="4" fillId="0" borderId="0" xfId="23038"/>
    <xf numFmtId="1" fontId="4" fillId="0" borderId="0" xfId="23038" applyNumberFormat="1"/>
    <xf numFmtId="0" fontId="4" fillId="0" borderId="0" xfId="23038" applyAlignment="1">
      <alignment horizontal="center"/>
    </xf>
    <xf numFmtId="0" fontId="102" fillId="0" borderId="0" xfId="23038" applyFont="1" applyAlignment="1">
      <alignment horizontal="left"/>
    </xf>
    <xf numFmtId="0" fontId="4" fillId="0" borderId="0" xfId="23038" applyAlignment="1">
      <alignment horizontal="left"/>
    </xf>
    <xf numFmtId="172" fontId="4" fillId="0" borderId="0" xfId="23038" applyNumberFormat="1" applyAlignment="1">
      <alignment horizontal="center"/>
    </xf>
    <xf numFmtId="44" fontId="0" fillId="0" borderId="0" xfId="23039" applyFont="1"/>
    <xf numFmtId="0" fontId="4" fillId="73" borderId="0" xfId="23038" applyFill="1" applyAlignment="1">
      <alignment horizontal="right"/>
    </xf>
    <xf numFmtId="0" fontId="4" fillId="73" borderId="0" xfId="23038" applyFill="1" applyAlignment="1">
      <alignment horizontal="left"/>
    </xf>
    <xf numFmtId="0" fontId="96" fillId="0" borderId="0" xfId="23038" applyFont="1"/>
    <xf numFmtId="0" fontId="102" fillId="73" borderId="0" xfId="23038" applyFont="1" applyFill="1" applyAlignment="1">
      <alignment horizontal="left"/>
    </xf>
    <xf numFmtId="1" fontId="96" fillId="0" borderId="0" xfId="23038" applyNumberFormat="1" applyFont="1"/>
    <xf numFmtId="0" fontId="102" fillId="73" borderId="0" xfId="23038" applyFont="1" applyFill="1" applyAlignment="1">
      <alignment horizontal="right"/>
    </xf>
    <xf numFmtId="0" fontId="104" fillId="74" borderId="29" xfId="23038" applyFont="1" applyFill="1" applyBorder="1" applyAlignment="1">
      <alignment horizontal="left" indent="1"/>
    </xf>
    <xf numFmtId="0" fontId="73" fillId="74" borderId="30" xfId="23038" applyFont="1" applyFill="1" applyBorder="1"/>
    <xf numFmtId="0" fontId="73" fillId="74" borderId="30" xfId="23038" applyFont="1" applyFill="1" applyBorder="1" applyAlignment="1">
      <alignment horizontal="left" vertical="center"/>
    </xf>
    <xf numFmtId="0" fontId="73" fillId="74" borderId="30" xfId="23038" applyFont="1" applyFill="1" applyBorder="1" applyAlignment="1">
      <alignment vertical="center"/>
    </xf>
    <xf numFmtId="1" fontId="73" fillId="74" borderId="30" xfId="23038" applyNumberFormat="1" applyFont="1" applyFill="1" applyBorder="1"/>
    <xf numFmtId="0" fontId="73" fillId="74" borderId="0" xfId="23040" applyFont="1" applyFill="1"/>
    <xf numFmtId="0" fontId="104" fillId="74" borderId="32" xfId="23038" applyFont="1" applyFill="1" applyBorder="1" applyAlignment="1">
      <alignment horizontal="left" indent="1"/>
    </xf>
    <xf numFmtId="0" fontId="73" fillId="74" borderId="0" xfId="23038" applyFont="1" applyFill="1"/>
    <xf numFmtId="0" fontId="4" fillId="74" borderId="0" xfId="23038" applyFill="1"/>
    <xf numFmtId="1" fontId="73" fillId="74" borderId="0" xfId="23038" applyNumberFormat="1" applyFont="1" applyFill="1"/>
    <xf numFmtId="0" fontId="73" fillId="74" borderId="32" xfId="23038" applyFont="1" applyFill="1" applyBorder="1" applyAlignment="1">
      <alignment horizontal="left" indent="1"/>
    </xf>
    <xf numFmtId="14" fontId="73" fillId="74" borderId="0" xfId="23038" applyNumberFormat="1" applyFont="1" applyFill="1" applyAlignment="1">
      <alignment horizontal="left"/>
    </xf>
    <xf numFmtId="0" fontId="73" fillId="74" borderId="0" xfId="23038" applyFont="1" applyFill="1" applyAlignment="1">
      <alignment horizontal="left"/>
    </xf>
    <xf numFmtId="0" fontId="76" fillId="74" borderId="32" xfId="23038" applyFont="1" applyFill="1" applyBorder="1" applyAlignment="1">
      <alignment horizontal="right"/>
    </xf>
    <xf numFmtId="0" fontId="96" fillId="76" borderId="54" xfId="23038" applyFont="1" applyFill="1" applyBorder="1" applyAlignment="1">
      <alignment horizontal="left"/>
    </xf>
    <xf numFmtId="0" fontId="76" fillId="74" borderId="0" xfId="23038" applyFont="1" applyFill="1" applyAlignment="1">
      <alignment horizontal="right"/>
    </xf>
    <xf numFmtId="0" fontId="105" fillId="74" borderId="0" xfId="23038" applyFont="1" applyFill="1"/>
    <xf numFmtId="172" fontId="96" fillId="76" borderId="54" xfId="23038" applyNumberFormat="1" applyFont="1" applyFill="1" applyBorder="1"/>
    <xf numFmtId="0" fontId="76" fillId="74" borderId="0" xfId="23038" applyFont="1" applyFill="1" applyAlignment="1">
      <alignment horizontal="right" vertical="center"/>
    </xf>
    <xf numFmtId="0" fontId="73" fillId="74" borderId="33" xfId="23038" applyFont="1" applyFill="1" applyBorder="1"/>
    <xf numFmtId="0" fontId="76" fillId="74" borderId="38" xfId="23038" applyFont="1" applyFill="1" applyBorder="1" applyAlignment="1">
      <alignment horizontal="center" wrapText="1"/>
    </xf>
    <xf numFmtId="0" fontId="76" fillId="74" borderId="39" xfId="23038" applyFont="1" applyFill="1" applyBorder="1" applyAlignment="1">
      <alignment horizontal="center" wrapText="1"/>
    </xf>
    <xf numFmtId="0" fontId="76" fillId="74" borderId="39" xfId="23038" applyFont="1" applyFill="1" applyBorder="1" applyAlignment="1">
      <alignment wrapText="1"/>
    </xf>
    <xf numFmtId="0" fontId="76" fillId="75" borderId="39" xfId="23038" applyFont="1" applyFill="1" applyBorder="1" applyAlignment="1">
      <alignment horizontal="center" wrapText="1"/>
    </xf>
    <xf numFmtId="0" fontId="76" fillId="75" borderId="39" xfId="23038" applyFont="1" applyFill="1" applyBorder="1" applyAlignment="1">
      <alignment horizontal="right" wrapText="1"/>
    </xf>
    <xf numFmtId="0" fontId="3" fillId="0" borderId="0" xfId="23043"/>
    <xf numFmtId="0" fontId="3" fillId="0" borderId="0" xfId="23043" applyAlignment="1">
      <alignment horizontal="left"/>
    </xf>
    <xf numFmtId="172" fontId="3" fillId="0" borderId="0" xfId="23043" applyNumberFormat="1" applyAlignment="1">
      <alignment horizontal="left"/>
    </xf>
    <xf numFmtId="44" fontId="3" fillId="0" borderId="0" xfId="23043" applyNumberFormat="1" applyAlignment="1">
      <alignment horizontal="left"/>
    </xf>
    <xf numFmtId="0" fontId="3" fillId="0" borderId="0" xfId="23043" applyAlignment="1">
      <alignment horizontal="center"/>
    </xf>
    <xf numFmtId="0" fontId="102" fillId="0" borderId="0" xfId="23043" applyFont="1" applyAlignment="1">
      <alignment horizontal="left"/>
    </xf>
    <xf numFmtId="0" fontId="3" fillId="70" borderId="0" xfId="23044" applyFill="1" applyAlignment="1">
      <alignment horizontal="left"/>
    </xf>
    <xf numFmtId="168" fontId="3" fillId="70" borderId="0" xfId="23044" applyNumberFormat="1" applyFill="1"/>
    <xf numFmtId="168" fontId="0" fillId="70" borderId="0" xfId="23045" applyNumberFormat="1" applyFont="1" applyFill="1"/>
    <xf numFmtId="168" fontId="0" fillId="70" borderId="0" xfId="23045" applyNumberFormat="1" applyFont="1" applyFill="1" applyAlignment="1">
      <alignment horizontal="center"/>
    </xf>
    <xf numFmtId="167" fontId="3" fillId="70" borderId="0" xfId="23044" applyNumberFormat="1" applyFill="1" applyAlignment="1">
      <alignment horizontal="center"/>
    </xf>
    <xf numFmtId="1" fontId="3" fillId="70" borderId="0" xfId="23044" applyNumberFormat="1" applyFill="1" applyAlignment="1">
      <alignment horizontal="center"/>
    </xf>
    <xf numFmtId="0" fontId="3" fillId="70" borderId="0" xfId="23044" applyFill="1" applyAlignment="1">
      <alignment horizontal="center"/>
    </xf>
    <xf numFmtId="0" fontId="0" fillId="0" borderId="32" xfId="0" applyBorder="1" applyAlignment="1">
      <alignment horizontal="right"/>
    </xf>
    <xf numFmtId="0" fontId="3" fillId="77" borderId="0" xfId="23043" applyFill="1" applyAlignment="1">
      <alignment horizontal="left"/>
    </xf>
    <xf numFmtId="0" fontId="102" fillId="77" borderId="0" xfId="23043" applyFont="1" applyFill="1" applyAlignment="1">
      <alignment horizontal="left"/>
    </xf>
    <xf numFmtId="0" fontId="3" fillId="77" borderId="0" xfId="23043" applyFill="1" applyAlignment="1">
      <alignment horizontal="center"/>
    </xf>
    <xf numFmtId="172" fontId="3" fillId="77" borderId="0" xfId="23043" applyNumberFormat="1" applyFill="1" applyAlignment="1">
      <alignment horizontal="left"/>
    </xf>
    <xf numFmtId="44" fontId="3" fillId="77" borderId="0" xfId="23043" applyNumberFormat="1" applyFill="1" applyAlignment="1">
      <alignment horizontal="left"/>
    </xf>
    <xf numFmtId="0" fontId="4" fillId="0" borderId="32" xfId="23038" applyBorder="1"/>
    <xf numFmtId="0" fontId="4" fillId="0" borderId="33" xfId="23038" applyBorder="1"/>
    <xf numFmtId="0" fontId="4" fillId="0" borderId="38" xfId="23038" applyBorder="1"/>
    <xf numFmtId="0" fontId="4" fillId="0" borderId="39" xfId="23038" applyBorder="1"/>
    <xf numFmtId="0" fontId="4" fillId="0" borderId="40" xfId="23038" applyBorder="1"/>
    <xf numFmtId="0" fontId="102" fillId="78" borderId="56" xfId="23038" applyFont="1" applyFill="1" applyBorder="1"/>
    <xf numFmtId="0" fontId="102" fillId="78" borderId="57" xfId="23038" applyFont="1" applyFill="1" applyBorder="1"/>
    <xf numFmtId="0" fontId="102" fillId="78" borderId="58" xfId="23038" applyFont="1" applyFill="1" applyBorder="1"/>
    <xf numFmtId="0" fontId="102" fillId="78" borderId="34" xfId="23038" applyFont="1" applyFill="1" applyBorder="1"/>
    <xf numFmtId="0" fontId="102" fillId="78" borderId="5" xfId="23038" applyFont="1" applyFill="1" applyBorder="1"/>
    <xf numFmtId="0" fontId="102" fillId="78" borderId="35" xfId="23038" applyFont="1" applyFill="1" applyBorder="1"/>
    <xf numFmtId="0" fontId="3" fillId="79" borderId="0" xfId="23043" applyFill="1" applyAlignment="1">
      <alignment horizontal="left"/>
    </xf>
    <xf numFmtId="0" fontId="110" fillId="71" borderId="53" xfId="0" applyFont="1" applyFill="1" applyBorder="1" applyAlignment="1">
      <alignment horizontal="left"/>
    </xf>
    <xf numFmtId="170" fontId="110" fillId="71" borderId="53" xfId="0" applyNumberFormat="1" applyFont="1" applyFill="1" applyBorder="1"/>
    <xf numFmtId="170" fontId="10" fillId="0" borderId="0" xfId="23020" applyNumberFormat="1"/>
    <xf numFmtId="0" fontId="1" fillId="0" borderId="32" xfId="23038" applyFont="1" applyBorder="1"/>
    <xf numFmtId="0" fontId="71" fillId="70" borderId="47" xfId="0" applyFont="1" applyFill="1" applyBorder="1" applyAlignment="1">
      <alignment horizontal="center"/>
    </xf>
    <xf numFmtId="0" fontId="71" fillId="70" borderId="48" xfId="0" applyFont="1" applyFill="1" applyBorder="1" applyAlignment="1">
      <alignment horizontal="center"/>
    </xf>
    <xf numFmtId="0" fontId="71" fillId="70" borderId="49" xfId="0" applyFont="1" applyFill="1" applyBorder="1" applyAlignment="1">
      <alignment horizontal="center"/>
    </xf>
    <xf numFmtId="0" fontId="102" fillId="66" borderId="0" xfId="23020" applyFont="1" applyFill="1" applyAlignment="1">
      <alignment horizontal="center"/>
    </xf>
    <xf numFmtId="170" fontId="106" fillId="71" borderId="0" xfId="0" applyNumberFormat="1" applyFont="1" applyFill="1" applyAlignment="1">
      <alignment horizontal="center"/>
    </xf>
    <xf numFmtId="0" fontId="4" fillId="0" borderId="0" xfId="23038" applyAlignment="1">
      <alignment horizontal="left"/>
    </xf>
    <xf numFmtId="0" fontId="96" fillId="76" borderId="54" xfId="23038" applyFont="1" applyFill="1" applyBorder="1" applyAlignment="1">
      <alignment horizontal="left"/>
    </xf>
    <xf numFmtId="0" fontId="0" fillId="0" borderId="0" xfId="0"/>
    <xf numFmtId="170" fontId="0" fillId="0" borderId="0" xfId="0" applyNumberFormat="1" applyFill="1"/>
    <xf numFmtId="14" fontId="0" fillId="0" borderId="0" xfId="0" applyNumberFormat="1" applyAlignment="1">
      <alignment horizontal="left"/>
    </xf>
  </cellXfs>
  <cellStyles count="23049">
    <cellStyle name="20% - Accent1 2" xfId="1" xr:uid="{00000000-0005-0000-0000-000000000000}"/>
    <cellStyle name="20% - Accent1 2 2" xfId="2" xr:uid="{00000000-0005-0000-0000-000001000000}"/>
    <cellStyle name="20% - Accent1 2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4 2" xfId="6" xr:uid="{00000000-0005-0000-0000-000005000000}"/>
    <cellStyle name="20% - Accent1 2 5" xfId="7" xr:uid="{00000000-0005-0000-0000-000006000000}"/>
    <cellStyle name="20% - Accent1 3" xfId="8" xr:uid="{00000000-0005-0000-0000-000007000000}"/>
    <cellStyle name="20% - Accent1 3 2" xfId="9" xr:uid="{00000000-0005-0000-0000-000008000000}"/>
    <cellStyle name="20% - Accent1 3 2 2" xfId="10" xr:uid="{00000000-0005-0000-0000-000009000000}"/>
    <cellStyle name="20% - Accent1 3 3" xfId="11" xr:uid="{00000000-0005-0000-0000-00000A000000}"/>
    <cellStyle name="20% - Accent1 3 4" xfId="12" xr:uid="{00000000-0005-0000-0000-00000B000000}"/>
    <cellStyle name="20% - Accent1 4" xfId="13" xr:uid="{00000000-0005-0000-0000-00000C000000}"/>
    <cellStyle name="20% - Accent1 4 2" xfId="14" xr:uid="{00000000-0005-0000-0000-00000D000000}"/>
    <cellStyle name="20% - Accent1 4 2 2" xfId="9216" xr:uid="{00000000-0005-0000-0000-00000E000000}"/>
    <cellStyle name="20% - Accent1 4 2 2 2" xfId="21567" xr:uid="{00000000-0005-0000-0000-00000F000000}"/>
    <cellStyle name="20% - Accent1 4 2 3" xfId="15213" xr:uid="{00000000-0005-0000-0000-000010000000}"/>
    <cellStyle name="20% - Accent1 4 3" xfId="15" xr:uid="{00000000-0005-0000-0000-000011000000}"/>
    <cellStyle name="20% - Accent1 4 4" xfId="16" xr:uid="{00000000-0005-0000-0000-000012000000}"/>
    <cellStyle name="20% - Accent1 4 4 2" xfId="15214" xr:uid="{00000000-0005-0000-0000-000013000000}"/>
    <cellStyle name="20% - Accent1 4 5" xfId="9215" xr:uid="{00000000-0005-0000-0000-000014000000}"/>
    <cellStyle name="20% - Accent1 4 5 2" xfId="21566" xr:uid="{00000000-0005-0000-0000-000015000000}"/>
    <cellStyle name="20% - Accent1 5" xfId="17" xr:uid="{00000000-0005-0000-0000-000016000000}"/>
    <cellStyle name="20% - Accent1 5 2" xfId="9217" xr:uid="{00000000-0005-0000-0000-000017000000}"/>
    <cellStyle name="20% - Accent1 5 2 2" xfId="21568" xr:uid="{00000000-0005-0000-0000-000018000000}"/>
    <cellStyle name="20% - Accent1 5 3" xfId="15215" xr:uid="{00000000-0005-0000-0000-000019000000}"/>
    <cellStyle name="20% - Accent1 6" xfId="18" xr:uid="{00000000-0005-0000-0000-00001A000000}"/>
    <cellStyle name="20% - Accent2 2" xfId="19" xr:uid="{00000000-0005-0000-0000-00001B000000}"/>
    <cellStyle name="20% - Accent2 2 2" xfId="20" xr:uid="{00000000-0005-0000-0000-00001C000000}"/>
    <cellStyle name="20% - Accent2 2 3" xfId="21" xr:uid="{00000000-0005-0000-0000-00001D000000}"/>
    <cellStyle name="20% - Accent2 3" xfId="22" xr:uid="{00000000-0005-0000-0000-00001E000000}"/>
    <cellStyle name="20% - Accent2 3 2" xfId="23" xr:uid="{00000000-0005-0000-0000-00001F000000}"/>
    <cellStyle name="20% - Accent2 3 3" xfId="24" xr:uid="{00000000-0005-0000-0000-000020000000}"/>
    <cellStyle name="20% - Accent2 4" xfId="25" xr:uid="{00000000-0005-0000-0000-000021000000}"/>
    <cellStyle name="20% - Accent2 4 2" xfId="26" xr:uid="{00000000-0005-0000-0000-000022000000}"/>
    <cellStyle name="20% - Accent2 4 2 2" xfId="9219" xr:uid="{00000000-0005-0000-0000-000023000000}"/>
    <cellStyle name="20% - Accent2 4 2 2 2" xfId="21570" xr:uid="{00000000-0005-0000-0000-000024000000}"/>
    <cellStyle name="20% - Accent2 4 2 3" xfId="15217" xr:uid="{00000000-0005-0000-0000-000025000000}"/>
    <cellStyle name="20% - Accent2 4 3" xfId="9218" xr:uid="{00000000-0005-0000-0000-000026000000}"/>
    <cellStyle name="20% - Accent2 4 3 2" xfId="21569" xr:uid="{00000000-0005-0000-0000-000027000000}"/>
    <cellStyle name="20% - Accent2 4 4" xfId="15216" xr:uid="{00000000-0005-0000-0000-000028000000}"/>
    <cellStyle name="20% - Accent2 5" xfId="27" xr:uid="{00000000-0005-0000-0000-000029000000}"/>
    <cellStyle name="20% - Accent2 5 2" xfId="9220" xr:uid="{00000000-0005-0000-0000-00002A000000}"/>
    <cellStyle name="20% - Accent2 5 2 2" xfId="21571" xr:uid="{00000000-0005-0000-0000-00002B000000}"/>
    <cellStyle name="20% - Accent2 5 3" xfId="15218" xr:uid="{00000000-0005-0000-0000-00002C000000}"/>
    <cellStyle name="20% - Accent2 6" xfId="28" xr:uid="{00000000-0005-0000-0000-00002D000000}"/>
    <cellStyle name="20% - Accent3 2" xfId="29" xr:uid="{00000000-0005-0000-0000-00002E000000}"/>
    <cellStyle name="20% - Accent3 2 2" xfId="30" xr:uid="{00000000-0005-0000-0000-00002F000000}"/>
    <cellStyle name="20% - Accent3 2 2 2" xfId="9221" xr:uid="{00000000-0005-0000-0000-000030000000}"/>
    <cellStyle name="20% - Accent3 2 2 2 2" xfId="21572" xr:uid="{00000000-0005-0000-0000-000031000000}"/>
    <cellStyle name="20% - Accent3 2 2 3" xfId="15219" xr:uid="{00000000-0005-0000-0000-000032000000}"/>
    <cellStyle name="20% - Accent3 3" xfId="31" xr:uid="{00000000-0005-0000-0000-000033000000}"/>
    <cellStyle name="20% - Accent3 3 2" xfId="32" xr:uid="{00000000-0005-0000-0000-000034000000}"/>
    <cellStyle name="20% - Accent3 3 3" xfId="33" xr:uid="{00000000-0005-0000-0000-000035000000}"/>
    <cellStyle name="20% - Accent3 4" xfId="34" xr:uid="{00000000-0005-0000-0000-000036000000}"/>
    <cellStyle name="20% - Accent3 4 2" xfId="35" xr:uid="{00000000-0005-0000-0000-000037000000}"/>
    <cellStyle name="20% - Accent3 4 2 2" xfId="9223" xr:uid="{00000000-0005-0000-0000-000038000000}"/>
    <cellStyle name="20% - Accent3 4 2 2 2" xfId="21574" xr:uid="{00000000-0005-0000-0000-000039000000}"/>
    <cellStyle name="20% - Accent3 4 2 3" xfId="15221" xr:uid="{00000000-0005-0000-0000-00003A000000}"/>
    <cellStyle name="20% - Accent3 4 3" xfId="9222" xr:uid="{00000000-0005-0000-0000-00003B000000}"/>
    <cellStyle name="20% - Accent3 4 3 2" xfId="21573" xr:uid="{00000000-0005-0000-0000-00003C000000}"/>
    <cellStyle name="20% - Accent3 4 4" xfId="15220" xr:uid="{00000000-0005-0000-0000-00003D000000}"/>
    <cellStyle name="20% - Accent3 5" xfId="36" xr:uid="{00000000-0005-0000-0000-00003E000000}"/>
    <cellStyle name="20% - Accent3 5 2" xfId="9224" xr:uid="{00000000-0005-0000-0000-00003F000000}"/>
    <cellStyle name="20% - Accent3 5 2 2" xfId="21575" xr:uid="{00000000-0005-0000-0000-000040000000}"/>
    <cellStyle name="20% - Accent3 5 3" xfId="15222" xr:uid="{00000000-0005-0000-0000-000041000000}"/>
    <cellStyle name="20% - Accent3 6" xfId="37" xr:uid="{00000000-0005-0000-0000-000042000000}"/>
    <cellStyle name="20% - Accent4 2" xfId="38" xr:uid="{00000000-0005-0000-0000-000043000000}"/>
    <cellStyle name="20% - Accent4 2 2" xfId="39" xr:uid="{00000000-0005-0000-0000-000044000000}"/>
    <cellStyle name="20% - Accent4 2 2 2" xfId="40" xr:uid="{00000000-0005-0000-0000-000045000000}"/>
    <cellStyle name="20% - Accent4 2 3" xfId="41" xr:uid="{00000000-0005-0000-0000-000046000000}"/>
    <cellStyle name="20% - Accent4 2 4" xfId="42" xr:uid="{00000000-0005-0000-0000-000047000000}"/>
    <cellStyle name="20% - Accent4 3" xfId="43" xr:uid="{00000000-0005-0000-0000-000048000000}"/>
    <cellStyle name="20% - Accent4 3 2" xfId="44" xr:uid="{00000000-0005-0000-0000-000049000000}"/>
    <cellStyle name="20% - Accent4 3 2 2" xfId="45" xr:uid="{00000000-0005-0000-0000-00004A000000}"/>
    <cellStyle name="20% - Accent4 3 3" xfId="46" xr:uid="{00000000-0005-0000-0000-00004B000000}"/>
    <cellStyle name="20% - Accent4 3 4" xfId="47" xr:uid="{00000000-0005-0000-0000-00004C000000}"/>
    <cellStyle name="20% - Accent4 4" xfId="48" xr:uid="{00000000-0005-0000-0000-00004D000000}"/>
    <cellStyle name="20% - Accent4 4 2" xfId="49" xr:uid="{00000000-0005-0000-0000-00004E000000}"/>
    <cellStyle name="20% - Accent4 4 2 2" xfId="9226" xr:uid="{00000000-0005-0000-0000-00004F000000}"/>
    <cellStyle name="20% - Accent4 4 2 2 2" xfId="21577" xr:uid="{00000000-0005-0000-0000-000050000000}"/>
    <cellStyle name="20% - Accent4 4 2 3" xfId="15223" xr:uid="{00000000-0005-0000-0000-000051000000}"/>
    <cellStyle name="20% - Accent4 4 3" xfId="50" xr:uid="{00000000-0005-0000-0000-000052000000}"/>
    <cellStyle name="20% - Accent4 4 4" xfId="51" xr:uid="{00000000-0005-0000-0000-000053000000}"/>
    <cellStyle name="20% - Accent4 4 4 2" xfId="15224" xr:uid="{00000000-0005-0000-0000-000054000000}"/>
    <cellStyle name="20% - Accent4 4 5" xfId="9225" xr:uid="{00000000-0005-0000-0000-000055000000}"/>
    <cellStyle name="20% - Accent4 4 5 2" xfId="21576" xr:uid="{00000000-0005-0000-0000-000056000000}"/>
    <cellStyle name="20% - Accent4 5" xfId="52" xr:uid="{00000000-0005-0000-0000-000057000000}"/>
    <cellStyle name="20% - Accent4 5 2" xfId="9227" xr:uid="{00000000-0005-0000-0000-000058000000}"/>
    <cellStyle name="20% - Accent4 5 2 2" xfId="21578" xr:uid="{00000000-0005-0000-0000-000059000000}"/>
    <cellStyle name="20% - Accent4 5 3" xfId="15225" xr:uid="{00000000-0005-0000-0000-00005A000000}"/>
    <cellStyle name="20% - Accent4 6" xfId="53" xr:uid="{00000000-0005-0000-0000-00005B000000}"/>
    <cellStyle name="20% - Accent5" xfId="54" builtinId="46" customBuiltin="1"/>
    <cellStyle name="20% - Accent5 2" xfId="55" xr:uid="{00000000-0005-0000-0000-00005D000000}"/>
    <cellStyle name="20% - Accent5 2 2" xfId="56" xr:uid="{00000000-0005-0000-0000-00005E000000}"/>
    <cellStyle name="20% - Accent5 2 2 2" xfId="9229" xr:uid="{00000000-0005-0000-0000-00005F000000}"/>
    <cellStyle name="20% - Accent5 2 2 2 2" xfId="21580" xr:uid="{00000000-0005-0000-0000-000060000000}"/>
    <cellStyle name="20% - Accent5 2 2 3" xfId="15227" xr:uid="{00000000-0005-0000-0000-000061000000}"/>
    <cellStyle name="20% - Accent5 3" xfId="57" xr:uid="{00000000-0005-0000-0000-000062000000}"/>
    <cellStyle name="20% - Accent5 3 2" xfId="58" xr:uid="{00000000-0005-0000-0000-000063000000}"/>
    <cellStyle name="20% - Accent5 3 2 2" xfId="9230" xr:uid="{00000000-0005-0000-0000-000064000000}"/>
    <cellStyle name="20% - Accent5 3 2 2 2" xfId="21581" xr:uid="{00000000-0005-0000-0000-000065000000}"/>
    <cellStyle name="20% - Accent5 3 2 3" xfId="15228" xr:uid="{00000000-0005-0000-0000-000066000000}"/>
    <cellStyle name="20% - Accent5 3 3" xfId="59" xr:uid="{00000000-0005-0000-0000-000067000000}"/>
    <cellStyle name="20% - Accent5 4" xfId="60" xr:uid="{00000000-0005-0000-0000-000068000000}"/>
    <cellStyle name="20% - Accent5 4 2" xfId="61" xr:uid="{00000000-0005-0000-0000-000069000000}"/>
    <cellStyle name="20% - Accent5 4 2 2" xfId="9232" xr:uid="{00000000-0005-0000-0000-00006A000000}"/>
    <cellStyle name="20% - Accent5 4 2 2 2" xfId="21583" xr:uid="{00000000-0005-0000-0000-00006B000000}"/>
    <cellStyle name="20% - Accent5 4 2 3" xfId="15230" xr:uid="{00000000-0005-0000-0000-00006C000000}"/>
    <cellStyle name="20% - Accent5 4 3" xfId="9231" xr:uid="{00000000-0005-0000-0000-00006D000000}"/>
    <cellStyle name="20% - Accent5 4 3 2" xfId="21582" xr:uid="{00000000-0005-0000-0000-00006E000000}"/>
    <cellStyle name="20% - Accent5 4 4" xfId="15229" xr:uid="{00000000-0005-0000-0000-00006F000000}"/>
    <cellStyle name="20% - Accent5 5" xfId="62" xr:uid="{00000000-0005-0000-0000-000070000000}"/>
    <cellStyle name="20% - Accent5 5 2" xfId="9233" xr:uid="{00000000-0005-0000-0000-000071000000}"/>
    <cellStyle name="20% - Accent5 5 2 2" xfId="21584" xr:uid="{00000000-0005-0000-0000-000072000000}"/>
    <cellStyle name="20% - Accent5 5 3" xfId="15231" xr:uid="{00000000-0005-0000-0000-000073000000}"/>
    <cellStyle name="20% - Accent5 6" xfId="9228" xr:uid="{00000000-0005-0000-0000-000074000000}"/>
    <cellStyle name="20% - Accent5 6 2" xfId="21579" xr:uid="{00000000-0005-0000-0000-000075000000}"/>
    <cellStyle name="20% - Accent5 7" xfId="15226" xr:uid="{00000000-0005-0000-0000-000076000000}"/>
    <cellStyle name="20% - Accent6" xfId="63" builtinId="50" customBuiltin="1"/>
    <cellStyle name="20% - Accent6 2" xfId="64" xr:uid="{00000000-0005-0000-0000-000078000000}"/>
    <cellStyle name="20% - Accent6 2 2" xfId="65" xr:uid="{00000000-0005-0000-0000-000079000000}"/>
    <cellStyle name="20% - Accent6 2 3" xfId="66" xr:uid="{00000000-0005-0000-0000-00007A000000}"/>
    <cellStyle name="20% - Accent6 3" xfId="67" xr:uid="{00000000-0005-0000-0000-00007B000000}"/>
    <cellStyle name="20% - Accent6 3 2" xfId="68" xr:uid="{00000000-0005-0000-0000-00007C000000}"/>
    <cellStyle name="20% - Accent6 3 3" xfId="69" xr:uid="{00000000-0005-0000-0000-00007D000000}"/>
    <cellStyle name="20% - Accent6 4" xfId="70" xr:uid="{00000000-0005-0000-0000-00007E000000}"/>
    <cellStyle name="20% - Accent6 4 2" xfId="71" xr:uid="{00000000-0005-0000-0000-00007F000000}"/>
    <cellStyle name="20% - Accent6 4 2 2" xfId="9236" xr:uid="{00000000-0005-0000-0000-000080000000}"/>
    <cellStyle name="20% - Accent6 4 2 2 2" xfId="21587" xr:uid="{00000000-0005-0000-0000-000081000000}"/>
    <cellStyle name="20% - Accent6 4 2 3" xfId="15234" xr:uid="{00000000-0005-0000-0000-000082000000}"/>
    <cellStyle name="20% - Accent6 4 3" xfId="9235" xr:uid="{00000000-0005-0000-0000-000083000000}"/>
    <cellStyle name="20% - Accent6 4 3 2" xfId="21586" xr:uid="{00000000-0005-0000-0000-000084000000}"/>
    <cellStyle name="20% - Accent6 4 4" xfId="15233" xr:uid="{00000000-0005-0000-0000-000085000000}"/>
    <cellStyle name="20% - Accent6 5" xfId="72" xr:uid="{00000000-0005-0000-0000-000086000000}"/>
    <cellStyle name="20% - Accent6 5 2" xfId="9237" xr:uid="{00000000-0005-0000-0000-000087000000}"/>
    <cellStyle name="20% - Accent6 5 2 2" xfId="21588" xr:uid="{00000000-0005-0000-0000-000088000000}"/>
    <cellStyle name="20% - Accent6 5 3" xfId="15235" xr:uid="{00000000-0005-0000-0000-000089000000}"/>
    <cellStyle name="20% - Accent6 6" xfId="9234" xr:uid="{00000000-0005-0000-0000-00008A000000}"/>
    <cellStyle name="20% - Accent6 6 2" xfId="21585" xr:uid="{00000000-0005-0000-0000-00008B000000}"/>
    <cellStyle name="20% - Accent6 7" xfId="15232" xr:uid="{00000000-0005-0000-0000-00008C000000}"/>
    <cellStyle name="40% - Accent1" xfId="73" builtinId="31" customBuiltin="1"/>
    <cellStyle name="40% - Accent1 2" xfId="74" xr:uid="{00000000-0005-0000-0000-00008E000000}"/>
    <cellStyle name="40% - Accent1 2 2" xfId="75" xr:uid="{00000000-0005-0000-0000-00008F000000}"/>
    <cellStyle name="40% - Accent1 2 3" xfId="76" xr:uid="{00000000-0005-0000-0000-000090000000}"/>
    <cellStyle name="40% - Accent1 3" xfId="77" xr:uid="{00000000-0005-0000-0000-000091000000}"/>
    <cellStyle name="40% - Accent1 3 2" xfId="78" xr:uid="{00000000-0005-0000-0000-000092000000}"/>
    <cellStyle name="40% - Accent1 3 2 2" xfId="79" xr:uid="{00000000-0005-0000-0000-000093000000}"/>
    <cellStyle name="40% - Accent1 3 3" xfId="80" xr:uid="{00000000-0005-0000-0000-000094000000}"/>
    <cellStyle name="40% - Accent1 3 4" xfId="81" xr:uid="{00000000-0005-0000-0000-000095000000}"/>
    <cellStyle name="40% - Accent1 4" xfId="82" xr:uid="{00000000-0005-0000-0000-000096000000}"/>
    <cellStyle name="40% - Accent1 4 2" xfId="83" xr:uid="{00000000-0005-0000-0000-000097000000}"/>
    <cellStyle name="40% - Accent1 4 2 2" xfId="9239" xr:uid="{00000000-0005-0000-0000-000098000000}"/>
    <cellStyle name="40% - Accent1 4 2 2 2" xfId="21590" xr:uid="{00000000-0005-0000-0000-000099000000}"/>
    <cellStyle name="40% - Accent1 4 2 3" xfId="15237" xr:uid="{00000000-0005-0000-0000-00009A000000}"/>
    <cellStyle name="40% - Accent1 5" xfId="84" xr:uid="{00000000-0005-0000-0000-00009B000000}"/>
    <cellStyle name="40% - Accent1 5 2" xfId="9240" xr:uid="{00000000-0005-0000-0000-00009C000000}"/>
    <cellStyle name="40% - Accent1 5 2 2" xfId="21591" xr:uid="{00000000-0005-0000-0000-00009D000000}"/>
    <cellStyle name="40% - Accent1 5 3" xfId="15238" xr:uid="{00000000-0005-0000-0000-00009E000000}"/>
    <cellStyle name="40% - Accent1 6" xfId="85" xr:uid="{00000000-0005-0000-0000-00009F000000}"/>
    <cellStyle name="40% - Accent1 7" xfId="9238" xr:uid="{00000000-0005-0000-0000-0000A0000000}"/>
    <cellStyle name="40% - Accent1 7 2" xfId="21589" xr:uid="{00000000-0005-0000-0000-0000A1000000}"/>
    <cellStyle name="40% - Accent1 8" xfId="15236" xr:uid="{00000000-0005-0000-0000-0000A2000000}"/>
    <cellStyle name="40% - Accent2" xfId="86" builtinId="35" customBuiltin="1"/>
    <cellStyle name="40% - Accent2 2" xfId="87" xr:uid="{00000000-0005-0000-0000-0000A4000000}"/>
    <cellStyle name="40% - Accent2 2 2" xfId="88" xr:uid="{00000000-0005-0000-0000-0000A5000000}"/>
    <cellStyle name="40% - Accent2 2 2 2" xfId="9242" xr:uid="{00000000-0005-0000-0000-0000A6000000}"/>
    <cellStyle name="40% - Accent2 2 2 2 2" xfId="21593" xr:uid="{00000000-0005-0000-0000-0000A7000000}"/>
    <cellStyle name="40% - Accent2 2 2 3" xfId="15240" xr:uid="{00000000-0005-0000-0000-0000A8000000}"/>
    <cellStyle name="40% - Accent2 3" xfId="89" xr:uid="{00000000-0005-0000-0000-0000A9000000}"/>
    <cellStyle name="40% - Accent2 3 2" xfId="90" xr:uid="{00000000-0005-0000-0000-0000AA000000}"/>
    <cellStyle name="40% - Accent2 3 2 2" xfId="9243" xr:uid="{00000000-0005-0000-0000-0000AB000000}"/>
    <cellStyle name="40% - Accent2 3 2 2 2" xfId="21594" xr:uid="{00000000-0005-0000-0000-0000AC000000}"/>
    <cellStyle name="40% - Accent2 3 2 3" xfId="15241" xr:uid="{00000000-0005-0000-0000-0000AD000000}"/>
    <cellStyle name="40% - Accent2 3 3" xfId="91" xr:uid="{00000000-0005-0000-0000-0000AE000000}"/>
    <cellStyle name="40% - Accent2 4" xfId="92" xr:uid="{00000000-0005-0000-0000-0000AF000000}"/>
    <cellStyle name="40% - Accent2 4 2" xfId="93" xr:uid="{00000000-0005-0000-0000-0000B0000000}"/>
    <cellStyle name="40% - Accent2 4 2 2" xfId="9245" xr:uid="{00000000-0005-0000-0000-0000B1000000}"/>
    <cellStyle name="40% - Accent2 4 2 2 2" xfId="21596" xr:uid="{00000000-0005-0000-0000-0000B2000000}"/>
    <cellStyle name="40% - Accent2 4 2 3" xfId="15243" xr:uid="{00000000-0005-0000-0000-0000B3000000}"/>
    <cellStyle name="40% - Accent2 4 3" xfId="9244" xr:uid="{00000000-0005-0000-0000-0000B4000000}"/>
    <cellStyle name="40% - Accent2 4 3 2" xfId="21595" xr:uid="{00000000-0005-0000-0000-0000B5000000}"/>
    <cellStyle name="40% - Accent2 4 4" xfId="15242" xr:uid="{00000000-0005-0000-0000-0000B6000000}"/>
    <cellStyle name="40% - Accent2 5" xfId="94" xr:uid="{00000000-0005-0000-0000-0000B7000000}"/>
    <cellStyle name="40% - Accent2 5 2" xfId="9246" xr:uid="{00000000-0005-0000-0000-0000B8000000}"/>
    <cellStyle name="40% - Accent2 5 2 2" xfId="21597" xr:uid="{00000000-0005-0000-0000-0000B9000000}"/>
    <cellStyle name="40% - Accent2 5 3" xfId="15244" xr:uid="{00000000-0005-0000-0000-0000BA000000}"/>
    <cellStyle name="40% - Accent2 6" xfId="9241" xr:uid="{00000000-0005-0000-0000-0000BB000000}"/>
    <cellStyle name="40% - Accent2 6 2" xfId="21592" xr:uid="{00000000-0005-0000-0000-0000BC000000}"/>
    <cellStyle name="40% - Accent2 7" xfId="15239" xr:uid="{00000000-0005-0000-0000-0000BD000000}"/>
    <cellStyle name="40% - Accent3 2" xfId="95" xr:uid="{00000000-0005-0000-0000-0000BE000000}"/>
    <cellStyle name="40% - Accent3 2 2" xfId="96" xr:uid="{00000000-0005-0000-0000-0000BF000000}"/>
    <cellStyle name="40% - Accent3 2 3" xfId="97" xr:uid="{00000000-0005-0000-0000-0000C0000000}"/>
    <cellStyle name="40% - Accent3 3" xfId="98" xr:uid="{00000000-0005-0000-0000-0000C1000000}"/>
    <cellStyle name="40% - Accent3 3 2" xfId="99" xr:uid="{00000000-0005-0000-0000-0000C2000000}"/>
    <cellStyle name="40% - Accent3 3 3" xfId="100" xr:uid="{00000000-0005-0000-0000-0000C3000000}"/>
    <cellStyle name="40% - Accent3 4" xfId="101" xr:uid="{00000000-0005-0000-0000-0000C4000000}"/>
    <cellStyle name="40% - Accent3 4 2" xfId="102" xr:uid="{00000000-0005-0000-0000-0000C5000000}"/>
    <cellStyle name="40% - Accent3 4 2 2" xfId="9248" xr:uid="{00000000-0005-0000-0000-0000C6000000}"/>
    <cellStyle name="40% - Accent3 4 2 2 2" xfId="21599" xr:uid="{00000000-0005-0000-0000-0000C7000000}"/>
    <cellStyle name="40% - Accent3 4 2 3" xfId="15246" xr:uid="{00000000-0005-0000-0000-0000C8000000}"/>
    <cellStyle name="40% - Accent3 4 3" xfId="9247" xr:uid="{00000000-0005-0000-0000-0000C9000000}"/>
    <cellStyle name="40% - Accent3 4 3 2" xfId="21598" xr:uid="{00000000-0005-0000-0000-0000CA000000}"/>
    <cellStyle name="40% - Accent3 4 4" xfId="15245" xr:uid="{00000000-0005-0000-0000-0000CB000000}"/>
    <cellStyle name="40% - Accent3 5" xfId="103" xr:uid="{00000000-0005-0000-0000-0000CC000000}"/>
    <cellStyle name="40% - Accent3 5 2" xfId="9249" xr:uid="{00000000-0005-0000-0000-0000CD000000}"/>
    <cellStyle name="40% - Accent3 5 2 2" xfId="21600" xr:uid="{00000000-0005-0000-0000-0000CE000000}"/>
    <cellStyle name="40% - Accent3 5 3" xfId="15247" xr:uid="{00000000-0005-0000-0000-0000CF000000}"/>
    <cellStyle name="40% - Accent3 6" xfId="104" xr:uid="{00000000-0005-0000-0000-0000D0000000}"/>
    <cellStyle name="40% - Accent4" xfId="105" builtinId="43" customBuiltin="1"/>
    <cellStyle name="40% - Accent4 2" xfId="106" xr:uid="{00000000-0005-0000-0000-0000D2000000}"/>
    <cellStyle name="40% - Accent4 2 2" xfId="107" xr:uid="{00000000-0005-0000-0000-0000D3000000}"/>
    <cellStyle name="40% - Accent4 2 3" xfId="108" xr:uid="{00000000-0005-0000-0000-0000D4000000}"/>
    <cellStyle name="40% - Accent4 3" xfId="109" xr:uid="{00000000-0005-0000-0000-0000D5000000}"/>
    <cellStyle name="40% - Accent4 3 2" xfId="110" xr:uid="{00000000-0005-0000-0000-0000D6000000}"/>
    <cellStyle name="40% - Accent4 3 2 2" xfId="111" xr:uid="{00000000-0005-0000-0000-0000D7000000}"/>
    <cellStyle name="40% - Accent4 3 3" xfId="112" xr:uid="{00000000-0005-0000-0000-0000D8000000}"/>
    <cellStyle name="40% - Accent4 3 4" xfId="113" xr:uid="{00000000-0005-0000-0000-0000D9000000}"/>
    <cellStyle name="40% - Accent4 4" xfId="114" xr:uid="{00000000-0005-0000-0000-0000DA000000}"/>
    <cellStyle name="40% - Accent4 4 2" xfId="115" xr:uid="{00000000-0005-0000-0000-0000DB000000}"/>
    <cellStyle name="40% - Accent4 4 2 2" xfId="9251" xr:uid="{00000000-0005-0000-0000-0000DC000000}"/>
    <cellStyle name="40% - Accent4 4 2 2 2" xfId="21602" xr:uid="{00000000-0005-0000-0000-0000DD000000}"/>
    <cellStyle name="40% - Accent4 4 2 3" xfId="15249" xr:uid="{00000000-0005-0000-0000-0000DE000000}"/>
    <cellStyle name="40% - Accent4 5" xfId="116" xr:uid="{00000000-0005-0000-0000-0000DF000000}"/>
    <cellStyle name="40% - Accent4 5 2" xfId="9252" xr:uid="{00000000-0005-0000-0000-0000E0000000}"/>
    <cellStyle name="40% - Accent4 5 2 2" xfId="21603" xr:uid="{00000000-0005-0000-0000-0000E1000000}"/>
    <cellStyle name="40% - Accent4 5 3" xfId="15250" xr:uid="{00000000-0005-0000-0000-0000E2000000}"/>
    <cellStyle name="40% - Accent4 6" xfId="117" xr:uid="{00000000-0005-0000-0000-0000E3000000}"/>
    <cellStyle name="40% - Accent4 7" xfId="9250" xr:uid="{00000000-0005-0000-0000-0000E4000000}"/>
    <cellStyle name="40% - Accent4 7 2" xfId="21601" xr:uid="{00000000-0005-0000-0000-0000E5000000}"/>
    <cellStyle name="40% - Accent4 8" xfId="15248" xr:uid="{00000000-0005-0000-0000-0000E6000000}"/>
    <cellStyle name="40% - Accent5" xfId="118" builtinId="47" customBuiltin="1"/>
    <cellStyle name="40% - Accent5 2" xfId="119" xr:uid="{00000000-0005-0000-0000-0000E8000000}"/>
    <cellStyle name="40% - Accent5 2 2" xfId="120" xr:uid="{00000000-0005-0000-0000-0000E9000000}"/>
    <cellStyle name="40% - Accent5 2 3" xfId="121" xr:uid="{00000000-0005-0000-0000-0000EA000000}"/>
    <cellStyle name="40% - Accent5 3" xfId="122" xr:uid="{00000000-0005-0000-0000-0000EB000000}"/>
    <cellStyle name="40% - Accent5 3 2" xfId="123" xr:uid="{00000000-0005-0000-0000-0000EC000000}"/>
    <cellStyle name="40% - Accent5 3 3" xfId="124" xr:uid="{00000000-0005-0000-0000-0000ED000000}"/>
    <cellStyle name="40% - Accent5 4" xfId="125" xr:uid="{00000000-0005-0000-0000-0000EE000000}"/>
    <cellStyle name="40% - Accent5 4 2" xfId="126" xr:uid="{00000000-0005-0000-0000-0000EF000000}"/>
    <cellStyle name="40% - Accent5 4 2 2" xfId="9255" xr:uid="{00000000-0005-0000-0000-0000F0000000}"/>
    <cellStyle name="40% - Accent5 4 2 2 2" xfId="21606" xr:uid="{00000000-0005-0000-0000-0000F1000000}"/>
    <cellStyle name="40% - Accent5 4 2 3" xfId="15253" xr:uid="{00000000-0005-0000-0000-0000F2000000}"/>
    <cellStyle name="40% - Accent5 4 3" xfId="9254" xr:uid="{00000000-0005-0000-0000-0000F3000000}"/>
    <cellStyle name="40% - Accent5 4 3 2" xfId="21605" xr:uid="{00000000-0005-0000-0000-0000F4000000}"/>
    <cellStyle name="40% - Accent5 4 4" xfId="15252" xr:uid="{00000000-0005-0000-0000-0000F5000000}"/>
    <cellStyle name="40% - Accent5 5" xfId="127" xr:uid="{00000000-0005-0000-0000-0000F6000000}"/>
    <cellStyle name="40% - Accent5 5 2" xfId="9256" xr:uid="{00000000-0005-0000-0000-0000F7000000}"/>
    <cellStyle name="40% - Accent5 5 2 2" xfId="21607" xr:uid="{00000000-0005-0000-0000-0000F8000000}"/>
    <cellStyle name="40% - Accent5 5 3" xfId="15254" xr:uid="{00000000-0005-0000-0000-0000F9000000}"/>
    <cellStyle name="40% - Accent5 6" xfId="9253" xr:uid="{00000000-0005-0000-0000-0000FA000000}"/>
    <cellStyle name="40% - Accent5 6 2" xfId="21604" xr:uid="{00000000-0005-0000-0000-0000FB000000}"/>
    <cellStyle name="40% - Accent5 7" xfId="15251" xr:uid="{00000000-0005-0000-0000-0000FC000000}"/>
    <cellStyle name="40% - Accent6" xfId="128" builtinId="51" customBuiltin="1"/>
    <cellStyle name="40% - Accent6 2" xfId="129" xr:uid="{00000000-0005-0000-0000-0000FE000000}"/>
    <cellStyle name="40% - Accent6 2 2" xfId="130" xr:uid="{00000000-0005-0000-0000-0000FF000000}"/>
    <cellStyle name="40% - Accent6 2 2 2" xfId="131" xr:uid="{00000000-0005-0000-0000-000000010000}"/>
    <cellStyle name="40% - Accent6 2 3" xfId="132" xr:uid="{00000000-0005-0000-0000-000001010000}"/>
    <cellStyle name="40% - Accent6 3" xfId="133" xr:uid="{00000000-0005-0000-0000-000002010000}"/>
    <cellStyle name="40% - Accent6 3 2" xfId="134" xr:uid="{00000000-0005-0000-0000-000003010000}"/>
    <cellStyle name="40% - Accent6 3 2 2" xfId="135" xr:uid="{00000000-0005-0000-0000-000004010000}"/>
    <cellStyle name="40% - Accent6 3 3" xfId="136" xr:uid="{00000000-0005-0000-0000-000005010000}"/>
    <cellStyle name="40% - Accent6 3 4" xfId="137" xr:uid="{00000000-0005-0000-0000-000006010000}"/>
    <cellStyle name="40% - Accent6 4" xfId="138" xr:uid="{00000000-0005-0000-0000-000007010000}"/>
    <cellStyle name="40% - Accent6 4 2" xfId="139" xr:uid="{00000000-0005-0000-0000-000008010000}"/>
    <cellStyle name="40% - Accent6 4 2 2" xfId="9258" xr:uid="{00000000-0005-0000-0000-000009010000}"/>
    <cellStyle name="40% - Accent6 4 2 2 2" xfId="21609" xr:uid="{00000000-0005-0000-0000-00000A010000}"/>
    <cellStyle name="40% - Accent6 4 2 3" xfId="15256" xr:uid="{00000000-0005-0000-0000-00000B010000}"/>
    <cellStyle name="40% - Accent6 5" xfId="140" xr:uid="{00000000-0005-0000-0000-00000C010000}"/>
    <cellStyle name="40% - Accent6 5 2" xfId="9259" xr:uid="{00000000-0005-0000-0000-00000D010000}"/>
    <cellStyle name="40% - Accent6 5 2 2" xfId="21610" xr:uid="{00000000-0005-0000-0000-00000E010000}"/>
    <cellStyle name="40% - Accent6 5 3" xfId="15257" xr:uid="{00000000-0005-0000-0000-00000F010000}"/>
    <cellStyle name="40% - Accent6 6" xfId="141" xr:uid="{00000000-0005-0000-0000-000010010000}"/>
    <cellStyle name="40% - Accent6 7" xfId="9257" xr:uid="{00000000-0005-0000-0000-000011010000}"/>
    <cellStyle name="40% - Accent6 7 2" xfId="21608" xr:uid="{00000000-0005-0000-0000-000012010000}"/>
    <cellStyle name="40% - Accent6 8" xfId="15255" xr:uid="{00000000-0005-0000-0000-000013010000}"/>
    <cellStyle name="60% - Accent1" xfId="142" builtinId="32" customBuiltin="1"/>
    <cellStyle name="60% - Accent1 2" xfId="143" xr:uid="{00000000-0005-0000-0000-000015010000}"/>
    <cellStyle name="60% - Accent1 2 2" xfId="144" xr:uid="{00000000-0005-0000-0000-000016010000}"/>
    <cellStyle name="60% - Accent1 2 2 2" xfId="145" xr:uid="{00000000-0005-0000-0000-000017010000}"/>
    <cellStyle name="60% - Accent1 2 3" xfId="146" xr:uid="{00000000-0005-0000-0000-000018010000}"/>
    <cellStyle name="60% - Accent1 2 4" xfId="147" xr:uid="{00000000-0005-0000-0000-000019010000}"/>
    <cellStyle name="60% - Accent1 2 4 2" xfId="148" xr:uid="{00000000-0005-0000-0000-00001A010000}"/>
    <cellStyle name="60% - Accent1 3" xfId="149" xr:uid="{00000000-0005-0000-0000-00001B010000}"/>
    <cellStyle name="60% - Accent1 3 2" xfId="150" xr:uid="{00000000-0005-0000-0000-00001C010000}"/>
    <cellStyle name="60% - Accent1 3 3" xfId="151" xr:uid="{00000000-0005-0000-0000-00001D010000}"/>
    <cellStyle name="60% - Accent1 3 4" xfId="152" xr:uid="{00000000-0005-0000-0000-00001E010000}"/>
    <cellStyle name="60% - Accent1 4" xfId="153" xr:uid="{00000000-0005-0000-0000-00001F010000}"/>
    <cellStyle name="60% - Accent1 4 2" xfId="154" xr:uid="{00000000-0005-0000-0000-000020010000}"/>
    <cellStyle name="60% - Accent2" xfId="155" builtinId="36" customBuiltin="1"/>
    <cellStyle name="60% - Accent2 2" xfId="156" xr:uid="{00000000-0005-0000-0000-000022010000}"/>
    <cellStyle name="60% - Accent2 2 2" xfId="157" xr:uid="{00000000-0005-0000-0000-000023010000}"/>
    <cellStyle name="60% - Accent2 2 3" xfId="158" xr:uid="{00000000-0005-0000-0000-000024010000}"/>
    <cellStyle name="60% - Accent2 3" xfId="159" xr:uid="{00000000-0005-0000-0000-000025010000}"/>
    <cellStyle name="60% - Accent2 3 2" xfId="160" xr:uid="{00000000-0005-0000-0000-000026010000}"/>
    <cellStyle name="60% - Accent2 3 3" xfId="161" xr:uid="{00000000-0005-0000-0000-000027010000}"/>
    <cellStyle name="60% - Accent2 4" xfId="162" xr:uid="{00000000-0005-0000-0000-000028010000}"/>
    <cellStyle name="60% - Accent3 2" xfId="163" xr:uid="{00000000-0005-0000-0000-000029010000}"/>
    <cellStyle name="60% - Accent3 2 2" xfId="164" xr:uid="{00000000-0005-0000-0000-00002A010000}"/>
    <cellStyle name="60% - Accent3 2 3" xfId="165" xr:uid="{00000000-0005-0000-0000-00002B010000}"/>
    <cellStyle name="60% - Accent3 3" xfId="166" xr:uid="{00000000-0005-0000-0000-00002C010000}"/>
    <cellStyle name="60% - Accent3 3 2" xfId="167" xr:uid="{00000000-0005-0000-0000-00002D010000}"/>
    <cellStyle name="60% - Accent3 3 3" xfId="168" xr:uid="{00000000-0005-0000-0000-00002E010000}"/>
    <cellStyle name="60% - Accent3 3 4" xfId="169" xr:uid="{00000000-0005-0000-0000-00002F010000}"/>
    <cellStyle name="60% - Accent3 4" xfId="170" xr:uid="{00000000-0005-0000-0000-000030010000}"/>
    <cellStyle name="60% - Accent3 4 2" xfId="171" xr:uid="{00000000-0005-0000-0000-000031010000}"/>
    <cellStyle name="60% - Accent3 4 3" xfId="172" xr:uid="{00000000-0005-0000-0000-000032010000}"/>
    <cellStyle name="60% - Accent3 4 4" xfId="173" xr:uid="{00000000-0005-0000-0000-000033010000}"/>
    <cellStyle name="60% - Accent4 2" xfId="174" xr:uid="{00000000-0005-0000-0000-000034010000}"/>
    <cellStyle name="60% - Accent4 2 2" xfId="175" xr:uid="{00000000-0005-0000-0000-000035010000}"/>
    <cellStyle name="60% - Accent4 2 3" xfId="176" xr:uid="{00000000-0005-0000-0000-000036010000}"/>
    <cellStyle name="60% - Accent4 3" xfId="177" xr:uid="{00000000-0005-0000-0000-000037010000}"/>
    <cellStyle name="60% - Accent4 3 2" xfId="178" xr:uid="{00000000-0005-0000-0000-000038010000}"/>
    <cellStyle name="60% - Accent4 3 3" xfId="179" xr:uid="{00000000-0005-0000-0000-000039010000}"/>
    <cellStyle name="60% - Accent4 3 4" xfId="180" xr:uid="{00000000-0005-0000-0000-00003A010000}"/>
    <cellStyle name="60% - Accent4 4" xfId="181" xr:uid="{00000000-0005-0000-0000-00003B010000}"/>
    <cellStyle name="60% - Accent4 4 2" xfId="182" xr:uid="{00000000-0005-0000-0000-00003C010000}"/>
    <cellStyle name="60% - Accent4 4 3" xfId="183" xr:uid="{00000000-0005-0000-0000-00003D010000}"/>
    <cellStyle name="60% - Accent4 4 4" xfId="184" xr:uid="{00000000-0005-0000-0000-00003E010000}"/>
    <cellStyle name="60% - Accent5" xfId="185" builtinId="48" customBuiltin="1"/>
    <cellStyle name="60% - Accent5 2" xfId="186" xr:uid="{00000000-0005-0000-0000-000040010000}"/>
    <cellStyle name="60% - Accent5 2 2" xfId="187" xr:uid="{00000000-0005-0000-0000-000041010000}"/>
    <cellStyle name="60% - Accent5 2 2 2" xfId="188" xr:uid="{00000000-0005-0000-0000-000042010000}"/>
    <cellStyle name="60% - Accent5 2 3" xfId="189" xr:uid="{00000000-0005-0000-0000-000043010000}"/>
    <cellStyle name="60% - Accent5 2 4" xfId="190" xr:uid="{00000000-0005-0000-0000-000044010000}"/>
    <cellStyle name="60% - Accent5 2 4 2" xfId="191" xr:uid="{00000000-0005-0000-0000-000045010000}"/>
    <cellStyle name="60% - Accent5 3" xfId="192" xr:uid="{00000000-0005-0000-0000-000046010000}"/>
    <cellStyle name="60% - Accent5 3 2" xfId="193" xr:uid="{00000000-0005-0000-0000-000047010000}"/>
    <cellStyle name="60% - Accent5 3 3" xfId="194" xr:uid="{00000000-0005-0000-0000-000048010000}"/>
    <cellStyle name="60% - Accent5 4" xfId="195" xr:uid="{00000000-0005-0000-0000-000049010000}"/>
    <cellStyle name="60% - Accent6 2" xfId="196" xr:uid="{00000000-0005-0000-0000-00004A010000}"/>
    <cellStyle name="60% - Accent6 2 2" xfId="197" xr:uid="{00000000-0005-0000-0000-00004B010000}"/>
    <cellStyle name="60% - Accent6 2 3" xfId="198" xr:uid="{00000000-0005-0000-0000-00004C010000}"/>
    <cellStyle name="60% - Accent6 3" xfId="199" xr:uid="{00000000-0005-0000-0000-00004D010000}"/>
    <cellStyle name="60% - Accent6 3 2" xfId="200" xr:uid="{00000000-0005-0000-0000-00004E010000}"/>
    <cellStyle name="60% - Accent6 3 3" xfId="201" xr:uid="{00000000-0005-0000-0000-00004F010000}"/>
    <cellStyle name="60% - Accent6 4" xfId="202" xr:uid="{00000000-0005-0000-0000-000050010000}"/>
    <cellStyle name="Accent1" xfId="203" builtinId="29" customBuiltin="1"/>
    <cellStyle name="Accent1 2" xfId="204" xr:uid="{00000000-0005-0000-0000-000052010000}"/>
    <cellStyle name="Accent1 2 2" xfId="205" xr:uid="{00000000-0005-0000-0000-000053010000}"/>
    <cellStyle name="Accent1 2 2 2" xfId="206" xr:uid="{00000000-0005-0000-0000-000054010000}"/>
    <cellStyle name="Accent1 2 3" xfId="207" xr:uid="{00000000-0005-0000-0000-000055010000}"/>
    <cellStyle name="Accent1 2 4" xfId="208" xr:uid="{00000000-0005-0000-0000-000056010000}"/>
    <cellStyle name="Accent1 2 4 2" xfId="209" xr:uid="{00000000-0005-0000-0000-000057010000}"/>
    <cellStyle name="Accent1 3" xfId="210" xr:uid="{00000000-0005-0000-0000-000058010000}"/>
    <cellStyle name="Accent1 3 2" xfId="211" xr:uid="{00000000-0005-0000-0000-000059010000}"/>
    <cellStyle name="Accent1 3 3" xfId="212" xr:uid="{00000000-0005-0000-0000-00005A010000}"/>
    <cellStyle name="Accent1 3 4" xfId="213" xr:uid="{00000000-0005-0000-0000-00005B010000}"/>
    <cellStyle name="Accent1 4" xfId="214" xr:uid="{00000000-0005-0000-0000-00005C010000}"/>
    <cellStyle name="Accent1 4 2" xfId="215" xr:uid="{00000000-0005-0000-0000-00005D010000}"/>
    <cellStyle name="Accent2" xfId="216" builtinId="33" customBuiltin="1"/>
    <cellStyle name="Accent2 2" xfId="217" xr:uid="{00000000-0005-0000-0000-00005F010000}"/>
    <cellStyle name="Accent2 2 2" xfId="218" xr:uid="{00000000-0005-0000-0000-000060010000}"/>
    <cellStyle name="Accent2 2 3" xfId="219" xr:uid="{00000000-0005-0000-0000-000061010000}"/>
    <cellStyle name="Accent2 3" xfId="220" xr:uid="{00000000-0005-0000-0000-000062010000}"/>
    <cellStyle name="Accent2 3 2" xfId="221" xr:uid="{00000000-0005-0000-0000-000063010000}"/>
    <cellStyle name="Accent2 3 3" xfId="222" xr:uid="{00000000-0005-0000-0000-000064010000}"/>
    <cellStyle name="Accent2 4" xfId="223" xr:uid="{00000000-0005-0000-0000-000065010000}"/>
    <cellStyle name="Accent3" xfId="224" builtinId="37" customBuiltin="1"/>
    <cellStyle name="Accent3 2" xfId="225" xr:uid="{00000000-0005-0000-0000-000067010000}"/>
    <cellStyle name="Accent3 2 2" xfId="226" xr:uid="{00000000-0005-0000-0000-000068010000}"/>
    <cellStyle name="Accent3 2 3" xfId="227" xr:uid="{00000000-0005-0000-0000-000069010000}"/>
    <cellStyle name="Accent3 2 4" xfId="228" xr:uid="{00000000-0005-0000-0000-00006A010000}"/>
    <cellStyle name="Accent3 2 4 2" xfId="229" xr:uid="{00000000-0005-0000-0000-00006B010000}"/>
    <cellStyle name="Accent3 3" xfId="230" xr:uid="{00000000-0005-0000-0000-00006C010000}"/>
    <cellStyle name="Accent3 3 2" xfId="231" xr:uid="{00000000-0005-0000-0000-00006D010000}"/>
    <cellStyle name="Accent3 3 3" xfId="232" xr:uid="{00000000-0005-0000-0000-00006E010000}"/>
    <cellStyle name="Accent3 4" xfId="233" xr:uid="{00000000-0005-0000-0000-00006F010000}"/>
    <cellStyle name="Accent4" xfId="234" builtinId="41" customBuiltin="1"/>
    <cellStyle name="Accent4 2" xfId="235" xr:uid="{00000000-0005-0000-0000-000071010000}"/>
    <cellStyle name="Accent4 2 2" xfId="236" xr:uid="{00000000-0005-0000-0000-000072010000}"/>
    <cellStyle name="Accent4 2 2 2" xfId="237" xr:uid="{00000000-0005-0000-0000-000073010000}"/>
    <cellStyle name="Accent4 2 2 3" xfId="238" xr:uid="{00000000-0005-0000-0000-000074010000}"/>
    <cellStyle name="Accent4 2 3" xfId="239" xr:uid="{00000000-0005-0000-0000-000075010000}"/>
    <cellStyle name="Accent4 2 3 2" xfId="240" xr:uid="{00000000-0005-0000-0000-000076010000}"/>
    <cellStyle name="Accent4 3" xfId="241" xr:uid="{00000000-0005-0000-0000-000077010000}"/>
    <cellStyle name="Accent4 3 2" xfId="242" xr:uid="{00000000-0005-0000-0000-000078010000}"/>
    <cellStyle name="Accent4 3 3" xfId="243" xr:uid="{00000000-0005-0000-0000-000079010000}"/>
    <cellStyle name="Accent4 4" xfId="244" xr:uid="{00000000-0005-0000-0000-00007A010000}"/>
    <cellStyle name="Accent5" xfId="245" builtinId="45" customBuiltin="1"/>
    <cellStyle name="Accent5 2" xfId="246" xr:uid="{00000000-0005-0000-0000-00007C010000}"/>
    <cellStyle name="Accent5 2 2" xfId="247" xr:uid="{00000000-0005-0000-0000-00007D010000}"/>
    <cellStyle name="Accent5 2 2 2" xfId="248" xr:uid="{00000000-0005-0000-0000-00007E010000}"/>
    <cellStyle name="Accent5 2 2 3" xfId="249" xr:uid="{00000000-0005-0000-0000-00007F010000}"/>
    <cellStyle name="Accent5 2 3" xfId="250" xr:uid="{00000000-0005-0000-0000-000080010000}"/>
    <cellStyle name="Accent5 2 3 2" xfId="251" xr:uid="{00000000-0005-0000-0000-000081010000}"/>
    <cellStyle name="Accent5 2 4" xfId="252" xr:uid="{00000000-0005-0000-0000-000082010000}"/>
    <cellStyle name="Accent5 3" xfId="253" xr:uid="{00000000-0005-0000-0000-000083010000}"/>
    <cellStyle name="Accent5 4" xfId="254" xr:uid="{00000000-0005-0000-0000-000084010000}"/>
    <cellStyle name="Accent6" xfId="255" builtinId="49" customBuiltin="1"/>
    <cellStyle name="Accent6 2" xfId="256" xr:uid="{00000000-0005-0000-0000-000086010000}"/>
    <cellStyle name="Accent6 2 2" xfId="257" xr:uid="{00000000-0005-0000-0000-000087010000}"/>
    <cellStyle name="Accent6 2 3" xfId="258" xr:uid="{00000000-0005-0000-0000-000088010000}"/>
    <cellStyle name="Accent6 2 4" xfId="259" xr:uid="{00000000-0005-0000-0000-000089010000}"/>
    <cellStyle name="Accent6 2 4 2" xfId="260" xr:uid="{00000000-0005-0000-0000-00008A010000}"/>
    <cellStyle name="Accent6 3" xfId="261" xr:uid="{00000000-0005-0000-0000-00008B010000}"/>
    <cellStyle name="Accent6 3 2" xfId="262" xr:uid="{00000000-0005-0000-0000-00008C010000}"/>
    <cellStyle name="Accent6 3 3" xfId="263" xr:uid="{00000000-0005-0000-0000-00008D010000}"/>
    <cellStyle name="Accent6 4" xfId="264" xr:uid="{00000000-0005-0000-0000-00008E010000}"/>
    <cellStyle name="Accounting" xfId="265" xr:uid="{00000000-0005-0000-0000-00008F010000}"/>
    <cellStyle name="Accounting 2" xfId="266" xr:uid="{00000000-0005-0000-0000-000090010000}"/>
    <cellStyle name="Accounting 2 2" xfId="267" xr:uid="{00000000-0005-0000-0000-000091010000}"/>
    <cellStyle name="Accounting 3" xfId="268" xr:uid="{00000000-0005-0000-0000-000092010000}"/>
    <cellStyle name="Accounting 3 2" xfId="269" xr:uid="{00000000-0005-0000-0000-000093010000}"/>
    <cellStyle name="Accounting 4" xfId="270" xr:uid="{00000000-0005-0000-0000-000094010000}"/>
    <cellStyle name="Accounting_2011-11" xfId="271" xr:uid="{00000000-0005-0000-0000-000095010000}"/>
    <cellStyle name="APS" xfId="272" xr:uid="{00000000-0005-0000-0000-000096010000}"/>
    <cellStyle name="APSLabels" xfId="273" xr:uid="{00000000-0005-0000-0000-000097010000}"/>
    <cellStyle name="APSLabels 2" xfId="274" xr:uid="{00000000-0005-0000-0000-000098010000}"/>
    <cellStyle name="APSLabels 2 2" xfId="275" xr:uid="{00000000-0005-0000-0000-000099010000}"/>
    <cellStyle name="APSLabels 3" xfId="276" xr:uid="{00000000-0005-0000-0000-00009A010000}"/>
    <cellStyle name="APSLabels 4" xfId="277" xr:uid="{00000000-0005-0000-0000-00009B010000}"/>
    <cellStyle name="Bad" xfId="278" builtinId="27" customBuiltin="1"/>
    <cellStyle name="Bad 2" xfId="279" xr:uid="{00000000-0005-0000-0000-00009D010000}"/>
    <cellStyle name="Bad 2 2" xfId="280" xr:uid="{00000000-0005-0000-0000-00009E010000}"/>
    <cellStyle name="Bad 2 3" xfId="281" xr:uid="{00000000-0005-0000-0000-00009F010000}"/>
    <cellStyle name="Bad 3" xfId="282" xr:uid="{00000000-0005-0000-0000-0000A0010000}"/>
    <cellStyle name="Bad 3 2" xfId="283" xr:uid="{00000000-0005-0000-0000-0000A1010000}"/>
    <cellStyle name="Bad 3 3" xfId="284" xr:uid="{00000000-0005-0000-0000-0000A2010000}"/>
    <cellStyle name="Bad 4" xfId="285" xr:uid="{00000000-0005-0000-0000-0000A3010000}"/>
    <cellStyle name="Budget" xfId="286" xr:uid="{00000000-0005-0000-0000-0000A4010000}"/>
    <cellStyle name="Budget 2" xfId="287" xr:uid="{00000000-0005-0000-0000-0000A5010000}"/>
    <cellStyle name="Budget 3" xfId="288" xr:uid="{00000000-0005-0000-0000-0000A6010000}"/>
    <cellStyle name="Budget_2011-11" xfId="289" xr:uid="{00000000-0005-0000-0000-0000A7010000}"/>
    <cellStyle name="Calculation" xfId="290" builtinId="22" customBuiltin="1"/>
    <cellStyle name="Calculation 2" xfId="291" xr:uid="{00000000-0005-0000-0000-0000A9010000}"/>
    <cellStyle name="Calculation 2 2" xfId="292" xr:uid="{00000000-0005-0000-0000-0000AA010000}"/>
    <cellStyle name="Calculation 2 2 2" xfId="293" xr:uid="{00000000-0005-0000-0000-0000AB010000}"/>
    <cellStyle name="Calculation 2 2 2 2" xfId="294" xr:uid="{00000000-0005-0000-0000-0000AC010000}"/>
    <cellStyle name="Calculation 2 2 2 2 2" xfId="15261" xr:uid="{00000000-0005-0000-0000-0000AD010000}"/>
    <cellStyle name="Calculation 2 2 2 2 3" xfId="22827" xr:uid="{00000000-0005-0000-0000-0000AE010000}"/>
    <cellStyle name="Calculation 2 2 2 2 4" xfId="22964" xr:uid="{00000000-0005-0000-0000-0000AF010000}"/>
    <cellStyle name="Calculation 2 2 2 3" xfId="295" xr:uid="{00000000-0005-0000-0000-0000B0010000}"/>
    <cellStyle name="Calculation 2 2 2 3 2" xfId="15262" xr:uid="{00000000-0005-0000-0000-0000B1010000}"/>
    <cellStyle name="Calculation 2 2 2 3 3" xfId="22824" xr:uid="{00000000-0005-0000-0000-0000B2010000}"/>
    <cellStyle name="Calculation 2 2 2 3 4" xfId="22909" xr:uid="{00000000-0005-0000-0000-0000B3010000}"/>
    <cellStyle name="Calculation 2 2 2 4" xfId="296" xr:uid="{00000000-0005-0000-0000-0000B4010000}"/>
    <cellStyle name="Calculation 2 2 2 4 2" xfId="15263" xr:uid="{00000000-0005-0000-0000-0000B5010000}"/>
    <cellStyle name="Calculation 2 2 2 4 3" xfId="22825" xr:uid="{00000000-0005-0000-0000-0000B6010000}"/>
    <cellStyle name="Calculation 2 2 2 4 4" xfId="22908" xr:uid="{00000000-0005-0000-0000-0000B7010000}"/>
    <cellStyle name="Calculation 2 2 2 5" xfId="297" xr:uid="{00000000-0005-0000-0000-0000B8010000}"/>
    <cellStyle name="Calculation 2 2 2 5 2" xfId="15264" xr:uid="{00000000-0005-0000-0000-0000B9010000}"/>
    <cellStyle name="Calculation 2 2 2 5 3" xfId="22818" xr:uid="{00000000-0005-0000-0000-0000BA010000}"/>
    <cellStyle name="Calculation 2 2 2 5 4" xfId="22963" xr:uid="{00000000-0005-0000-0000-0000BB010000}"/>
    <cellStyle name="Calculation 2 2 2 6" xfId="15260" xr:uid="{00000000-0005-0000-0000-0000BC010000}"/>
    <cellStyle name="Calculation 2 2 2 7" xfId="22826" xr:uid="{00000000-0005-0000-0000-0000BD010000}"/>
    <cellStyle name="Calculation 2 2 2 8" xfId="22910" xr:uid="{00000000-0005-0000-0000-0000BE010000}"/>
    <cellStyle name="Calculation 2 2 3" xfId="298" xr:uid="{00000000-0005-0000-0000-0000BF010000}"/>
    <cellStyle name="Calculation 2 2 3 2" xfId="299" xr:uid="{00000000-0005-0000-0000-0000C0010000}"/>
    <cellStyle name="Calculation 2 2 3 2 2" xfId="15266" xr:uid="{00000000-0005-0000-0000-0000C1010000}"/>
    <cellStyle name="Calculation 2 2 3 2 3" xfId="22821" xr:uid="{00000000-0005-0000-0000-0000C2010000}"/>
    <cellStyle name="Calculation 2 2 3 2 4" xfId="22906" xr:uid="{00000000-0005-0000-0000-0000C3010000}"/>
    <cellStyle name="Calculation 2 2 3 3" xfId="300" xr:uid="{00000000-0005-0000-0000-0000C4010000}"/>
    <cellStyle name="Calculation 2 2 3 3 2" xfId="15267" xr:uid="{00000000-0005-0000-0000-0000C5010000}"/>
    <cellStyle name="Calculation 2 2 3 3 3" xfId="22822" xr:uid="{00000000-0005-0000-0000-0000C6010000}"/>
    <cellStyle name="Calculation 2 2 3 3 4" xfId="22962" xr:uid="{00000000-0005-0000-0000-0000C7010000}"/>
    <cellStyle name="Calculation 2 2 3 4" xfId="301" xr:uid="{00000000-0005-0000-0000-0000C8010000}"/>
    <cellStyle name="Calculation 2 2 3 4 2" xfId="15268" xr:uid="{00000000-0005-0000-0000-0000C9010000}"/>
    <cellStyle name="Calculation 2 2 3 4 3" xfId="22819" xr:uid="{00000000-0005-0000-0000-0000CA010000}"/>
    <cellStyle name="Calculation 2 2 3 4 4" xfId="22905" xr:uid="{00000000-0005-0000-0000-0000CB010000}"/>
    <cellStyle name="Calculation 2 2 3 5" xfId="302" xr:uid="{00000000-0005-0000-0000-0000CC010000}"/>
    <cellStyle name="Calculation 2 2 3 5 2" xfId="15269" xr:uid="{00000000-0005-0000-0000-0000CD010000}"/>
    <cellStyle name="Calculation 2 2 3 5 3" xfId="22820" xr:uid="{00000000-0005-0000-0000-0000CE010000}"/>
    <cellStyle name="Calculation 2 2 3 5 4" xfId="22904" xr:uid="{00000000-0005-0000-0000-0000CF010000}"/>
    <cellStyle name="Calculation 2 2 3 6" xfId="15265" xr:uid="{00000000-0005-0000-0000-0000D0010000}"/>
    <cellStyle name="Calculation 2 2 3 7" xfId="22823" xr:uid="{00000000-0005-0000-0000-0000D1010000}"/>
    <cellStyle name="Calculation 2 2 3 8" xfId="22907" xr:uid="{00000000-0005-0000-0000-0000D2010000}"/>
    <cellStyle name="Calculation 2 2 4" xfId="15259" xr:uid="{00000000-0005-0000-0000-0000D3010000}"/>
    <cellStyle name="Calculation 2 2 5" xfId="22828" xr:uid="{00000000-0005-0000-0000-0000D4010000}"/>
    <cellStyle name="Calculation 2 2 6" xfId="22911" xr:uid="{00000000-0005-0000-0000-0000D5010000}"/>
    <cellStyle name="Calculation 2 3" xfId="303" xr:uid="{00000000-0005-0000-0000-0000D6010000}"/>
    <cellStyle name="Calculation 2 3 2" xfId="304" xr:uid="{00000000-0005-0000-0000-0000D7010000}"/>
    <cellStyle name="Calculation 2 3 2 2" xfId="305" xr:uid="{00000000-0005-0000-0000-0000D8010000}"/>
    <cellStyle name="Calculation 2 3 2 2 2" xfId="15272" xr:uid="{00000000-0005-0000-0000-0000D9010000}"/>
    <cellStyle name="Calculation 2 3 2 2 3" xfId="22814" xr:uid="{00000000-0005-0000-0000-0000DA010000}"/>
    <cellStyle name="Calculation 2 3 2 2 4" xfId="22902" xr:uid="{00000000-0005-0000-0000-0000DB010000}"/>
    <cellStyle name="Calculation 2 3 2 3" xfId="306" xr:uid="{00000000-0005-0000-0000-0000DC010000}"/>
    <cellStyle name="Calculation 2 3 2 3 2" xfId="15273" xr:uid="{00000000-0005-0000-0000-0000DD010000}"/>
    <cellStyle name="Calculation 2 3 2 3 3" xfId="22815" xr:uid="{00000000-0005-0000-0000-0000DE010000}"/>
    <cellStyle name="Calculation 2 3 2 3 4" xfId="22960" xr:uid="{00000000-0005-0000-0000-0000DF010000}"/>
    <cellStyle name="Calculation 2 3 2 4" xfId="307" xr:uid="{00000000-0005-0000-0000-0000E0010000}"/>
    <cellStyle name="Calculation 2 3 2 4 2" xfId="15274" xr:uid="{00000000-0005-0000-0000-0000E1010000}"/>
    <cellStyle name="Calculation 2 3 2 4 3" xfId="22812" xr:uid="{00000000-0005-0000-0000-0000E2010000}"/>
    <cellStyle name="Calculation 2 3 2 4 4" xfId="22901" xr:uid="{00000000-0005-0000-0000-0000E3010000}"/>
    <cellStyle name="Calculation 2 3 2 5" xfId="308" xr:uid="{00000000-0005-0000-0000-0000E4010000}"/>
    <cellStyle name="Calculation 2 3 2 5 2" xfId="15275" xr:uid="{00000000-0005-0000-0000-0000E5010000}"/>
    <cellStyle name="Calculation 2 3 2 5 3" xfId="22813" xr:uid="{00000000-0005-0000-0000-0000E6010000}"/>
    <cellStyle name="Calculation 2 3 2 5 4" xfId="22900" xr:uid="{00000000-0005-0000-0000-0000E7010000}"/>
    <cellStyle name="Calculation 2 3 2 6" xfId="15271" xr:uid="{00000000-0005-0000-0000-0000E8010000}"/>
    <cellStyle name="Calculation 2 3 2 7" xfId="22816" xr:uid="{00000000-0005-0000-0000-0000E9010000}"/>
    <cellStyle name="Calculation 2 3 2 8" xfId="22903" xr:uid="{00000000-0005-0000-0000-0000EA010000}"/>
    <cellStyle name="Calculation 2 3 3" xfId="309" xr:uid="{00000000-0005-0000-0000-0000EB010000}"/>
    <cellStyle name="Calculation 2 3 3 2" xfId="15276" xr:uid="{00000000-0005-0000-0000-0000EC010000}"/>
    <cellStyle name="Calculation 2 3 3 3" xfId="22806" xr:uid="{00000000-0005-0000-0000-0000ED010000}"/>
    <cellStyle name="Calculation 2 3 3 4" xfId="22959" xr:uid="{00000000-0005-0000-0000-0000EE010000}"/>
    <cellStyle name="Calculation 2 3 4" xfId="15270" xr:uid="{00000000-0005-0000-0000-0000EF010000}"/>
    <cellStyle name="Calculation 2 3 5" xfId="22793" xr:uid="{00000000-0005-0000-0000-0000F0010000}"/>
    <cellStyle name="Calculation 2 3 6" xfId="22961" xr:uid="{00000000-0005-0000-0000-0000F1010000}"/>
    <cellStyle name="Calculation 2 4" xfId="310" xr:uid="{00000000-0005-0000-0000-0000F2010000}"/>
    <cellStyle name="Calculation 2 4 2" xfId="311" xr:uid="{00000000-0005-0000-0000-0000F3010000}"/>
    <cellStyle name="Calculation 2 4 2 2" xfId="312" xr:uid="{00000000-0005-0000-0000-0000F4010000}"/>
    <cellStyle name="Calculation 2 4 2 2 2" xfId="15279" xr:uid="{00000000-0005-0000-0000-0000F5010000}"/>
    <cellStyle name="Calculation 2 4 2 2 3" xfId="22810" xr:uid="{00000000-0005-0000-0000-0000F6010000}"/>
    <cellStyle name="Calculation 2 4 2 2 4" xfId="22958" xr:uid="{00000000-0005-0000-0000-0000F7010000}"/>
    <cellStyle name="Calculation 2 4 2 3" xfId="313" xr:uid="{00000000-0005-0000-0000-0000F8010000}"/>
    <cellStyle name="Calculation 2 4 2 3 2" xfId="15280" xr:uid="{00000000-0005-0000-0000-0000F9010000}"/>
    <cellStyle name="Calculation 2 4 2 3 3" xfId="22807" xr:uid="{00000000-0005-0000-0000-0000FA010000}"/>
    <cellStyle name="Calculation 2 4 2 3 4" xfId="22897" xr:uid="{00000000-0005-0000-0000-0000FB010000}"/>
    <cellStyle name="Calculation 2 4 2 4" xfId="314" xr:uid="{00000000-0005-0000-0000-0000FC010000}"/>
    <cellStyle name="Calculation 2 4 2 4 2" xfId="15281" xr:uid="{00000000-0005-0000-0000-0000FD010000}"/>
    <cellStyle name="Calculation 2 4 2 4 3" xfId="22808" xr:uid="{00000000-0005-0000-0000-0000FE010000}"/>
    <cellStyle name="Calculation 2 4 2 4 4" xfId="22896" xr:uid="{00000000-0005-0000-0000-0000FF010000}"/>
    <cellStyle name="Calculation 2 4 2 5" xfId="315" xr:uid="{00000000-0005-0000-0000-000000020000}"/>
    <cellStyle name="Calculation 2 4 2 5 2" xfId="15282" xr:uid="{00000000-0005-0000-0000-000001020000}"/>
    <cellStyle name="Calculation 2 4 2 5 3" xfId="22794" xr:uid="{00000000-0005-0000-0000-000002020000}"/>
    <cellStyle name="Calculation 2 4 2 5 4" xfId="22957" xr:uid="{00000000-0005-0000-0000-000003020000}"/>
    <cellStyle name="Calculation 2 4 2 6" xfId="15278" xr:uid="{00000000-0005-0000-0000-000004020000}"/>
    <cellStyle name="Calculation 2 4 2 7" xfId="22809" xr:uid="{00000000-0005-0000-0000-000005020000}"/>
    <cellStyle name="Calculation 2 4 2 8" xfId="22898" xr:uid="{00000000-0005-0000-0000-000006020000}"/>
    <cellStyle name="Calculation 2 4 3" xfId="316" xr:uid="{00000000-0005-0000-0000-000007020000}"/>
    <cellStyle name="Calculation 2 4 3 2" xfId="15283" xr:uid="{00000000-0005-0000-0000-000008020000}"/>
    <cellStyle name="Calculation 2 4 3 3" xfId="22805" xr:uid="{00000000-0005-0000-0000-000009020000}"/>
    <cellStyle name="Calculation 2 4 3 4" xfId="22895" xr:uid="{00000000-0005-0000-0000-00000A020000}"/>
    <cellStyle name="Calculation 2 4 4" xfId="317" xr:uid="{00000000-0005-0000-0000-00000B020000}"/>
    <cellStyle name="Calculation 2 4 4 2" xfId="15284" xr:uid="{00000000-0005-0000-0000-00000C020000}"/>
    <cellStyle name="Calculation 2 4 4 3" xfId="22803" xr:uid="{00000000-0005-0000-0000-00000D020000}"/>
    <cellStyle name="Calculation 2 4 4 4" xfId="22894" xr:uid="{00000000-0005-0000-0000-00000E020000}"/>
    <cellStyle name="Calculation 2 4 5" xfId="15277" xr:uid="{00000000-0005-0000-0000-00000F020000}"/>
    <cellStyle name="Calculation 2 4 6" xfId="22811" xr:uid="{00000000-0005-0000-0000-000010020000}"/>
    <cellStyle name="Calculation 2 4 7" xfId="22899" xr:uid="{00000000-0005-0000-0000-000011020000}"/>
    <cellStyle name="Calculation 2 5" xfId="318" xr:uid="{00000000-0005-0000-0000-000012020000}"/>
    <cellStyle name="Calculation 2 5 2" xfId="319" xr:uid="{00000000-0005-0000-0000-000013020000}"/>
    <cellStyle name="Calculation 2 5 2 2" xfId="15286" xr:uid="{00000000-0005-0000-0000-000014020000}"/>
    <cellStyle name="Calculation 2 5 2 3" xfId="22801" xr:uid="{00000000-0005-0000-0000-000015020000}"/>
    <cellStyle name="Calculation 2 5 2 4" xfId="22893" xr:uid="{00000000-0005-0000-0000-000016020000}"/>
    <cellStyle name="Calculation 2 5 3" xfId="320" xr:uid="{00000000-0005-0000-0000-000017020000}"/>
    <cellStyle name="Calculation 2 5 3 2" xfId="15287" xr:uid="{00000000-0005-0000-0000-000018020000}"/>
    <cellStyle name="Calculation 2 5 3 3" xfId="22802" xr:uid="{00000000-0005-0000-0000-000019020000}"/>
    <cellStyle name="Calculation 2 5 3 4" xfId="22955" xr:uid="{00000000-0005-0000-0000-00001A020000}"/>
    <cellStyle name="Calculation 2 5 4" xfId="321" xr:uid="{00000000-0005-0000-0000-00001B020000}"/>
    <cellStyle name="Calculation 2 5 4 2" xfId="15288" xr:uid="{00000000-0005-0000-0000-00001C020000}"/>
    <cellStyle name="Calculation 2 5 4 3" xfId="22795" xr:uid="{00000000-0005-0000-0000-00001D020000}"/>
    <cellStyle name="Calculation 2 5 4 4" xfId="22892" xr:uid="{00000000-0005-0000-0000-00001E020000}"/>
    <cellStyle name="Calculation 2 5 5" xfId="322" xr:uid="{00000000-0005-0000-0000-00001F020000}"/>
    <cellStyle name="Calculation 2 5 5 2" xfId="15289" xr:uid="{00000000-0005-0000-0000-000020020000}"/>
    <cellStyle name="Calculation 2 5 5 3" xfId="22800" xr:uid="{00000000-0005-0000-0000-000021020000}"/>
    <cellStyle name="Calculation 2 5 5 4" xfId="22954" xr:uid="{00000000-0005-0000-0000-000022020000}"/>
    <cellStyle name="Calculation 2 5 6" xfId="15285" xr:uid="{00000000-0005-0000-0000-000023020000}"/>
    <cellStyle name="Calculation 2 5 7" xfId="22804" xr:uid="{00000000-0005-0000-0000-000024020000}"/>
    <cellStyle name="Calculation 2 5 8" xfId="22956" xr:uid="{00000000-0005-0000-0000-000025020000}"/>
    <cellStyle name="Calculation 2 6" xfId="323" xr:uid="{00000000-0005-0000-0000-000026020000}"/>
    <cellStyle name="Calculation 2 6 2" xfId="15290" xr:uid="{00000000-0005-0000-0000-000027020000}"/>
    <cellStyle name="Calculation 2 6 3" xfId="22798" xr:uid="{00000000-0005-0000-0000-000028020000}"/>
    <cellStyle name="Calculation 2 6 4" xfId="22891" xr:uid="{00000000-0005-0000-0000-000029020000}"/>
    <cellStyle name="Calculation 2 7" xfId="15258" xr:uid="{00000000-0005-0000-0000-00002A020000}"/>
    <cellStyle name="Calculation 2 8" xfId="22817" xr:uid="{00000000-0005-0000-0000-00002B020000}"/>
    <cellStyle name="Calculation 2 9" xfId="22912" xr:uid="{00000000-0005-0000-0000-00002C020000}"/>
    <cellStyle name="Calculation 3" xfId="324" xr:uid="{00000000-0005-0000-0000-00002D020000}"/>
    <cellStyle name="Calculation 3 2" xfId="325" xr:uid="{00000000-0005-0000-0000-00002E020000}"/>
    <cellStyle name="Calculation 3 2 2" xfId="326" xr:uid="{00000000-0005-0000-0000-00002F020000}"/>
    <cellStyle name="Calculation 3 2 2 2" xfId="327" xr:uid="{00000000-0005-0000-0000-000030020000}"/>
    <cellStyle name="Calculation 3 2 2 2 2" xfId="15294" xr:uid="{00000000-0005-0000-0000-000031020000}"/>
    <cellStyle name="Calculation 3 2 2 2 3" xfId="22760" xr:uid="{00000000-0005-0000-0000-000032020000}"/>
    <cellStyle name="Calculation 3 2 2 2 4" xfId="22888" xr:uid="{00000000-0005-0000-0000-000033020000}"/>
    <cellStyle name="Calculation 3 2 2 3" xfId="328" xr:uid="{00000000-0005-0000-0000-000034020000}"/>
    <cellStyle name="Calculation 3 2 2 3 2" xfId="15295" xr:uid="{00000000-0005-0000-0000-000035020000}"/>
    <cellStyle name="Calculation 3 2 2 3 3" xfId="22792" xr:uid="{00000000-0005-0000-0000-000036020000}"/>
    <cellStyle name="Calculation 3 2 2 3 4" xfId="22950" xr:uid="{00000000-0005-0000-0000-000037020000}"/>
    <cellStyle name="Calculation 3 2 2 4" xfId="329" xr:uid="{00000000-0005-0000-0000-000038020000}"/>
    <cellStyle name="Calculation 3 2 2 4 2" xfId="15296" xr:uid="{00000000-0005-0000-0000-000039020000}"/>
    <cellStyle name="Calculation 3 2 2 4 3" xfId="22790" xr:uid="{00000000-0005-0000-0000-00003A020000}"/>
    <cellStyle name="Calculation 3 2 2 4 4" xfId="22887" xr:uid="{00000000-0005-0000-0000-00003B020000}"/>
    <cellStyle name="Calculation 3 2 2 5" xfId="330" xr:uid="{00000000-0005-0000-0000-00003C020000}"/>
    <cellStyle name="Calculation 3 2 2 5 2" xfId="15297" xr:uid="{00000000-0005-0000-0000-00003D020000}"/>
    <cellStyle name="Calculation 3 2 2 5 3" xfId="22791" xr:uid="{00000000-0005-0000-0000-00003E020000}"/>
    <cellStyle name="Calculation 3 2 2 5 4" xfId="22951" xr:uid="{00000000-0005-0000-0000-00003F020000}"/>
    <cellStyle name="Calculation 3 2 2 6" xfId="15293" xr:uid="{00000000-0005-0000-0000-000040020000}"/>
    <cellStyle name="Calculation 3 2 2 7" xfId="22797" xr:uid="{00000000-0005-0000-0000-000041020000}"/>
    <cellStyle name="Calculation 3 2 2 8" xfId="22889" xr:uid="{00000000-0005-0000-0000-000042020000}"/>
    <cellStyle name="Calculation 3 2 3" xfId="331" xr:uid="{00000000-0005-0000-0000-000043020000}"/>
    <cellStyle name="Calculation 3 2 3 2" xfId="332" xr:uid="{00000000-0005-0000-0000-000044020000}"/>
    <cellStyle name="Calculation 3 2 3 2 2" xfId="15299" xr:uid="{00000000-0005-0000-0000-000045020000}"/>
    <cellStyle name="Calculation 3 2 3 2 3" xfId="22789" xr:uid="{00000000-0005-0000-0000-000046020000}"/>
    <cellStyle name="Calculation 3 2 3 2 4" xfId="22886" xr:uid="{00000000-0005-0000-0000-000047020000}"/>
    <cellStyle name="Calculation 3 2 3 3" xfId="333" xr:uid="{00000000-0005-0000-0000-000048020000}"/>
    <cellStyle name="Calculation 3 2 3 3 2" xfId="15300" xr:uid="{00000000-0005-0000-0000-000049020000}"/>
    <cellStyle name="Calculation 3 2 3 3 3" xfId="22782" xr:uid="{00000000-0005-0000-0000-00004A020000}"/>
    <cellStyle name="Calculation 3 2 3 3 4" xfId="22885" xr:uid="{00000000-0005-0000-0000-00004B020000}"/>
    <cellStyle name="Calculation 3 2 3 4" xfId="334" xr:uid="{00000000-0005-0000-0000-00004C020000}"/>
    <cellStyle name="Calculation 3 2 3 4 2" xfId="15301" xr:uid="{00000000-0005-0000-0000-00004D020000}"/>
    <cellStyle name="Calculation 3 2 3 4 3" xfId="22787" xr:uid="{00000000-0005-0000-0000-00004E020000}"/>
    <cellStyle name="Calculation 3 2 3 4 4" xfId="22884" xr:uid="{00000000-0005-0000-0000-00004F020000}"/>
    <cellStyle name="Calculation 3 2 3 5" xfId="335" xr:uid="{00000000-0005-0000-0000-000050020000}"/>
    <cellStyle name="Calculation 3 2 3 5 2" xfId="15302" xr:uid="{00000000-0005-0000-0000-000051020000}"/>
    <cellStyle name="Calculation 3 2 3 5 3" xfId="22785" xr:uid="{00000000-0005-0000-0000-000052020000}"/>
    <cellStyle name="Calculation 3 2 3 5 4" xfId="22949" xr:uid="{00000000-0005-0000-0000-000053020000}"/>
    <cellStyle name="Calculation 3 2 3 6" xfId="15298" xr:uid="{00000000-0005-0000-0000-000054020000}"/>
    <cellStyle name="Calculation 3 2 3 7" xfId="22788" xr:uid="{00000000-0005-0000-0000-000055020000}"/>
    <cellStyle name="Calculation 3 2 3 8" xfId="22952" xr:uid="{00000000-0005-0000-0000-000056020000}"/>
    <cellStyle name="Calculation 3 2 4" xfId="15292" xr:uid="{00000000-0005-0000-0000-000057020000}"/>
    <cellStyle name="Calculation 3 2 5" xfId="22796" xr:uid="{00000000-0005-0000-0000-000058020000}"/>
    <cellStyle name="Calculation 3 2 6" xfId="22953" xr:uid="{00000000-0005-0000-0000-000059020000}"/>
    <cellStyle name="Calculation 3 3" xfId="336" xr:uid="{00000000-0005-0000-0000-00005A020000}"/>
    <cellStyle name="Calculation 3 3 2" xfId="337" xr:uid="{00000000-0005-0000-0000-00005B020000}"/>
    <cellStyle name="Calculation 3 3 2 2" xfId="338" xr:uid="{00000000-0005-0000-0000-00005C020000}"/>
    <cellStyle name="Calculation 3 3 2 2 2" xfId="15305" xr:uid="{00000000-0005-0000-0000-00005D020000}"/>
    <cellStyle name="Calculation 3 3 2 2 3" xfId="22784" xr:uid="{00000000-0005-0000-0000-00005E020000}"/>
    <cellStyle name="Calculation 3 3 2 2 4" xfId="22948" xr:uid="{00000000-0005-0000-0000-00005F020000}"/>
    <cellStyle name="Calculation 3 3 2 3" xfId="339" xr:uid="{00000000-0005-0000-0000-000060020000}"/>
    <cellStyle name="Calculation 3 3 2 3 2" xfId="15306" xr:uid="{00000000-0005-0000-0000-000061020000}"/>
    <cellStyle name="Calculation 3 3 2 3 3" xfId="22770" xr:uid="{00000000-0005-0000-0000-000062020000}"/>
    <cellStyle name="Calculation 3 3 2 3 4" xfId="22881" xr:uid="{00000000-0005-0000-0000-000063020000}"/>
    <cellStyle name="Calculation 3 3 2 4" xfId="340" xr:uid="{00000000-0005-0000-0000-000064020000}"/>
    <cellStyle name="Calculation 3 3 2 4 2" xfId="15307" xr:uid="{00000000-0005-0000-0000-000065020000}"/>
    <cellStyle name="Calculation 3 3 2 4 3" xfId="22781" xr:uid="{00000000-0005-0000-0000-000066020000}"/>
    <cellStyle name="Calculation 3 3 2 4 4" xfId="22880" xr:uid="{00000000-0005-0000-0000-000067020000}"/>
    <cellStyle name="Calculation 3 3 2 5" xfId="341" xr:uid="{00000000-0005-0000-0000-000068020000}"/>
    <cellStyle name="Calculation 3 3 2 5 2" xfId="15308" xr:uid="{00000000-0005-0000-0000-000069020000}"/>
    <cellStyle name="Calculation 3 3 2 5 3" xfId="22779" xr:uid="{00000000-0005-0000-0000-00006A020000}"/>
    <cellStyle name="Calculation 3 3 2 5 4" xfId="22947" xr:uid="{00000000-0005-0000-0000-00006B020000}"/>
    <cellStyle name="Calculation 3 3 2 6" xfId="15304" xr:uid="{00000000-0005-0000-0000-00006C020000}"/>
    <cellStyle name="Calculation 3 3 2 7" xfId="22783" xr:uid="{00000000-0005-0000-0000-00006D020000}"/>
    <cellStyle name="Calculation 3 3 2 8" xfId="22882" xr:uid="{00000000-0005-0000-0000-00006E020000}"/>
    <cellStyle name="Calculation 3 3 3" xfId="342" xr:uid="{00000000-0005-0000-0000-00006F020000}"/>
    <cellStyle name="Calculation 3 3 3 2" xfId="15309" xr:uid="{00000000-0005-0000-0000-000070020000}"/>
    <cellStyle name="Calculation 3 3 3 3" xfId="22780" xr:uid="{00000000-0005-0000-0000-000071020000}"/>
    <cellStyle name="Calculation 3 3 3 4" xfId="22879" xr:uid="{00000000-0005-0000-0000-000072020000}"/>
    <cellStyle name="Calculation 3 3 4" xfId="15303" xr:uid="{00000000-0005-0000-0000-000073020000}"/>
    <cellStyle name="Calculation 3 3 5" xfId="22786" xr:uid="{00000000-0005-0000-0000-000074020000}"/>
    <cellStyle name="Calculation 3 3 6" xfId="22883" xr:uid="{00000000-0005-0000-0000-000075020000}"/>
    <cellStyle name="Calculation 3 4" xfId="343" xr:uid="{00000000-0005-0000-0000-000076020000}"/>
    <cellStyle name="Calculation 3 4 2" xfId="344" xr:uid="{00000000-0005-0000-0000-000077020000}"/>
    <cellStyle name="Calculation 3 4 2 2" xfId="15311" xr:uid="{00000000-0005-0000-0000-000078020000}"/>
    <cellStyle name="Calculation 3 4 2 3" xfId="22778" xr:uid="{00000000-0005-0000-0000-000079020000}"/>
    <cellStyle name="Calculation 3 4 2 4" xfId="22877" xr:uid="{00000000-0005-0000-0000-00007A020000}"/>
    <cellStyle name="Calculation 3 4 3" xfId="345" xr:uid="{00000000-0005-0000-0000-00007B020000}"/>
    <cellStyle name="Calculation 3 4 3 2" xfId="15312" xr:uid="{00000000-0005-0000-0000-00007C020000}"/>
    <cellStyle name="Calculation 3 4 3 3" xfId="22771" xr:uid="{00000000-0005-0000-0000-00007D020000}"/>
    <cellStyle name="Calculation 3 4 3 4" xfId="22876" xr:uid="{00000000-0005-0000-0000-00007E020000}"/>
    <cellStyle name="Calculation 3 4 4" xfId="346" xr:uid="{00000000-0005-0000-0000-00007F020000}"/>
    <cellStyle name="Calculation 3 4 4 2" xfId="15313" xr:uid="{00000000-0005-0000-0000-000080020000}"/>
    <cellStyle name="Calculation 3 4 4 3" xfId="22776" xr:uid="{00000000-0005-0000-0000-000081020000}"/>
    <cellStyle name="Calculation 3 4 4 4" xfId="22944" xr:uid="{00000000-0005-0000-0000-000082020000}"/>
    <cellStyle name="Calculation 3 4 5" xfId="347" xr:uid="{00000000-0005-0000-0000-000083020000}"/>
    <cellStyle name="Calculation 3 4 5 2" xfId="15314" xr:uid="{00000000-0005-0000-0000-000084020000}"/>
    <cellStyle name="Calculation 3 4 5 3" xfId="22774" xr:uid="{00000000-0005-0000-0000-000085020000}"/>
    <cellStyle name="Calculation 3 4 5 4" xfId="22875" xr:uid="{00000000-0005-0000-0000-000086020000}"/>
    <cellStyle name="Calculation 3 4 6" xfId="15310" xr:uid="{00000000-0005-0000-0000-000087020000}"/>
    <cellStyle name="Calculation 3 4 7" xfId="22777" xr:uid="{00000000-0005-0000-0000-000088020000}"/>
    <cellStyle name="Calculation 3 4 8" xfId="22878" xr:uid="{00000000-0005-0000-0000-000089020000}"/>
    <cellStyle name="Calculation 3 5" xfId="348" xr:uid="{00000000-0005-0000-0000-00008A020000}"/>
    <cellStyle name="Calculation 3 5 2" xfId="349" xr:uid="{00000000-0005-0000-0000-00008B020000}"/>
    <cellStyle name="Calculation 3 5 2 2" xfId="15316" xr:uid="{00000000-0005-0000-0000-00008C020000}"/>
    <cellStyle name="Calculation 3 5 2 3" xfId="22772" xr:uid="{00000000-0005-0000-0000-00008D020000}"/>
    <cellStyle name="Calculation 3 5 2 4" xfId="22874" xr:uid="{00000000-0005-0000-0000-00008E020000}"/>
    <cellStyle name="Calculation 3 5 3" xfId="350" xr:uid="{00000000-0005-0000-0000-00008F020000}"/>
    <cellStyle name="Calculation 3 5 3 2" xfId="15317" xr:uid="{00000000-0005-0000-0000-000090020000}"/>
    <cellStyle name="Calculation 3 5 3 3" xfId="22773" xr:uid="{00000000-0005-0000-0000-000091020000}"/>
    <cellStyle name="Calculation 3 5 3 4" xfId="22873" xr:uid="{00000000-0005-0000-0000-000092020000}"/>
    <cellStyle name="Calculation 3 5 4" xfId="351" xr:uid="{00000000-0005-0000-0000-000093020000}"/>
    <cellStyle name="Calculation 3 5 4 2" xfId="15318" xr:uid="{00000000-0005-0000-0000-000094020000}"/>
    <cellStyle name="Calculation 3 5 4 3" xfId="22761" xr:uid="{00000000-0005-0000-0000-000095020000}"/>
    <cellStyle name="Calculation 3 5 4 4" xfId="22945" xr:uid="{00000000-0005-0000-0000-000096020000}"/>
    <cellStyle name="Calculation 3 5 5" xfId="352" xr:uid="{00000000-0005-0000-0000-000097020000}"/>
    <cellStyle name="Calculation 3 5 5 2" xfId="15319" xr:uid="{00000000-0005-0000-0000-000098020000}"/>
    <cellStyle name="Calculation 3 5 5 3" xfId="22769" xr:uid="{00000000-0005-0000-0000-000099020000}"/>
    <cellStyle name="Calculation 3 5 5 4" xfId="22872" xr:uid="{00000000-0005-0000-0000-00009A020000}"/>
    <cellStyle name="Calculation 3 5 6" xfId="15315" xr:uid="{00000000-0005-0000-0000-00009B020000}"/>
    <cellStyle name="Calculation 3 5 7" xfId="22775" xr:uid="{00000000-0005-0000-0000-00009C020000}"/>
    <cellStyle name="Calculation 3 5 8" xfId="22946" xr:uid="{00000000-0005-0000-0000-00009D020000}"/>
    <cellStyle name="Calculation 3 6" xfId="15291" xr:uid="{00000000-0005-0000-0000-00009E020000}"/>
    <cellStyle name="Calculation 3 7" xfId="22799" xr:uid="{00000000-0005-0000-0000-00009F020000}"/>
    <cellStyle name="Calculation 3 8" xfId="22890" xr:uid="{00000000-0005-0000-0000-0000A0020000}"/>
    <cellStyle name="Calculation 4" xfId="353" xr:uid="{00000000-0005-0000-0000-0000A1020000}"/>
    <cellStyle name="Calculation 4 2" xfId="354" xr:uid="{00000000-0005-0000-0000-0000A2020000}"/>
    <cellStyle name="Calculation 4 3" xfId="355" xr:uid="{00000000-0005-0000-0000-0000A3020000}"/>
    <cellStyle name="Calculation 4 3 2" xfId="356" xr:uid="{00000000-0005-0000-0000-0000A4020000}"/>
    <cellStyle name="Calculation 4 3 2 2" xfId="15322" xr:uid="{00000000-0005-0000-0000-0000A5020000}"/>
    <cellStyle name="Calculation 4 3 2 3" xfId="22767" xr:uid="{00000000-0005-0000-0000-0000A6020000}"/>
    <cellStyle name="Calculation 4 3 2 4" xfId="22943" xr:uid="{00000000-0005-0000-0000-0000A7020000}"/>
    <cellStyle name="Calculation 4 3 3" xfId="357" xr:uid="{00000000-0005-0000-0000-0000A8020000}"/>
    <cellStyle name="Calculation 4 3 3 2" xfId="15323" xr:uid="{00000000-0005-0000-0000-0000A9020000}"/>
    <cellStyle name="Calculation 4 3 3 3" xfId="22762" xr:uid="{00000000-0005-0000-0000-0000AA020000}"/>
    <cellStyle name="Calculation 4 3 3 4" xfId="22869" xr:uid="{00000000-0005-0000-0000-0000AB020000}"/>
    <cellStyle name="Calculation 4 3 4" xfId="358" xr:uid="{00000000-0005-0000-0000-0000AC020000}"/>
    <cellStyle name="Calculation 4 3 4 2" xfId="15324" xr:uid="{00000000-0005-0000-0000-0000AD020000}"/>
    <cellStyle name="Calculation 4 3 4 3" xfId="22765" xr:uid="{00000000-0005-0000-0000-0000AE020000}"/>
    <cellStyle name="Calculation 4 3 4 4" xfId="22868" xr:uid="{00000000-0005-0000-0000-0000AF020000}"/>
    <cellStyle name="Calculation 4 3 5" xfId="359" xr:uid="{00000000-0005-0000-0000-0000B0020000}"/>
    <cellStyle name="Calculation 4 3 5 2" xfId="15325" xr:uid="{00000000-0005-0000-0000-0000B1020000}"/>
    <cellStyle name="Calculation 4 3 5 3" xfId="22763" xr:uid="{00000000-0005-0000-0000-0000B2020000}"/>
    <cellStyle name="Calculation 4 3 5 4" xfId="22942" xr:uid="{00000000-0005-0000-0000-0000B3020000}"/>
    <cellStyle name="Calculation 4 3 6" xfId="15321" xr:uid="{00000000-0005-0000-0000-0000B4020000}"/>
    <cellStyle name="Calculation 4 3 7" xfId="22766" xr:uid="{00000000-0005-0000-0000-0000B5020000}"/>
    <cellStyle name="Calculation 4 3 8" xfId="22870" xr:uid="{00000000-0005-0000-0000-0000B6020000}"/>
    <cellStyle name="Calculation 4 4" xfId="360" xr:uid="{00000000-0005-0000-0000-0000B7020000}"/>
    <cellStyle name="Calculation 4 4 2" xfId="15326" xr:uid="{00000000-0005-0000-0000-0000B8020000}"/>
    <cellStyle name="Calculation 4 4 3" xfId="22764" xr:uid="{00000000-0005-0000-0000-0000B9020000}"/>
    <cellStyle name="Calculation 4 4 4" xfId="22867" xr:uid="{00000000-0005-0000-0000-0000BA020000}"/>
    <cellStyle name="Calculation 4 5" xfId="15320" xr:uid="{00000000-0005-0000-0000-0000BB020000}"/>
    <cellStyle name="Calculation 4 6" xfId="22768" xr:uid="{00000000-0005-0000-0000-0000BC020000}"/>
    <cellStyle name="Calculation 4 7" xfId="22871" xr:uid="{00000000-0005-0000-0000-0000BD020000}"/>
    <cellStyle name="Check Cell" xfId="361" builtinId="23" customBuiltin="1"/>
    <cellStyle name="Check Cell 2" xfId="362" xr:uid="{00000000-0005-0000-0000-0000BF020000}"/>
    <cellStyle name="Check Cell 2 2" xfId="363" xr:uid="{00000000-0005-0000-0000-0000C0020000}"/>
    <cellStyle name="Check Cell 2 2 2" xfId="364" xr:uid="{00000000-0005-0000-0000-0000C1020000}"/>
    <cellStyle name="Check Cell 2 3" xfId="365" xr:uid="{00000000-0005-0000-0000-0000C2020000}"/>
    <cellStyle name="Check Cell 2 4" xfId="366" xr:uid="{00000000-0005-0000-0000-0000C3020000}"/>
    <cellStyle name="Check Cell 3" xfId="367" xr:uid="{00000000-0005-0000-0000-0000C4020000}"/>
    <cellStyle name="Check Cell 4" xfId="368" xr:uid="{00000000-0005-0000-0000-0000C5020000}"/>
    <cellStyle name="Color" xfId="369" xr:uid="{00000000-0005-0000-0000-0000C6020000}"/>
    <cellStyle name="combo" xfId="370" xr:uid="{00000000-0005-0000-0000-0000C7020000}"/>
    <cellStyle name="Comma" xfId="371" builtinId="3"/>
    <cellStyle name="Comma 10" xfId="372" xr:uid="{00000000-0005-0000-0000-0000C9020000}"/>
    <cellStyle name="Comma 10 2" xfId="373" xr:uid="{00000000-0005-0000-0000-0000CA020000}"/>
    <cellStyle name="Comma 11" xfId="374" xr:uid="{00000000-0005-0000-0000-0000CB020000}"/>
    <cellStyle name="Comma 11 2" xfId="375" xr:uid="{00000000-0005-0000-0000-0000CC020000}"/>
    <cellStyle name="Comma 11 2 2" xfId="376" xr:uid="{00000000-0005-0000-0000-0000CD020000}"/>
    <cellStyle name="Comma 11 2 2 2" xfId="377" xr:uid="{00000000-0005-0000-0000-0000CE020000}"/>
    <cellStyle name="Comma 11 2 2 2 2" xfId="378" xr:uid="{00000000-0005-0000-0000-0000CF020000}"/>
    <cellStyle name="Comma 11 2 2 2 2 2" xfId="379" xr:uid="{00000000-0005-0000-0000-0000D0020000}"/>
    <cellStyle name="Comma 11 2 2 2 2 2 2" xfId="380" xr:uid="{00000000-0005-0000-0000-0000D1020000}"/>
    <cellStyle name="Comma 11 2 2 2 2 3" xfId="381" xr:uid="{00000000-0005-0000-0000-0000D2020000}"/>
    <cellStyle name="Comma 11 2 2 2 2 3 2" xfId="382" xr:uid="{00000000-0005-0000-0000-0000D3020000}"/>
    <cellStyle name="Comma 11 2 2 2 2 4" xfId="383" xr:uid="{00000000-0005-0000-0000-0000D4020000}"/>
    <cellStyle name="Comma 11 2 2 2 3" xfId="384" xr:uid="{00000000-0005-0000-0000-0000D5020000}"/>
    <cellStyle name="Comma 11 2 2 2 3 2" xfId="385" xr:uid="{00000000-0005-0000-0000-0000D6020000}"/>
    <cellStyle name="Comma 11 2 2 2 4" xfId="386" xr:uid="{00000000-0005-0000-0000-0000D7020000}"/>
    <cellStyle name="Comma 11 2 2 2 4 2" xfId="387" xr:uid="{00000000-0005-0000-0000-0000D8020000}"/>
    <cellStyle name="Comma 11 2 2 2 5" xfId="388" xr:uid="{00000000-0005-0000-0000-0000D9020000}"/>
    <cellStyle name="Comma 11 2 2 3" xfId="389" xr:uid="{00000000-0005-0000-0000-0000DA020000}"/>
    <cellStyle name="Comma 11 2 2 3 2" xfId="390" xr:uid="{00000000-0005-0000-0000-0000DB020000}"/>
    <cellStyle name="Comma 11 2 2 3 2 2" xfId="391" xr:uid="{00000000-0005-0000-0000-0000DC020000}"/>
    <cellStyle name="Comma 11 2 2 3 3" xfId="392" xr:uid="{00000000-0005-0000-0000-0000DD020000}"/>
    <cellStyle name="Comma 11 2 2 3 3 2" xfId="393" xr:uid="{00000000-0005-0000-0000-0000DE020000}"/>
    <cellStyle name="Comma 11 2 2 3 4" xfId="394" xr:uid="{00000000-0005-0000-0000-0000DF020000}"/>
    <cellStyle name="Comma 11 2 2 4" xfId="395" xr:uid="{00000000-0005-0000-0000-0000E0020000}"/>
    <cellStyle name="Comma 11 2 2 4 2" xfId="396" xr:uid="{00000000-0005-0000-0000-0000E1020000}"/>
    <cellStyle name="Comma 11 2 2 5" xfId="397" xr:uid="{00000000-0005-0000-0000-0000E2020000}"/>
    <cellStyle name="Comma 11 2 2 5 2" xfId="398" xr:uid="{00000000-0005-0000-0000-0000E3020000}"/>
    <cellStyle name="Comma 11 2 2 6" xfId="399" xr:uid="{00000000-0005-0000-0000-0000E4020000}"/>
    <cellStyle name="Comma 11 2 3" xfId="400" xr:uid="{00000000-0005-0000-0000-0000E5020000}"/>
    <cellStyle name="Comma 11 2 3 2" xfId="401" xr:uid="{00000000-0005-0000-0000-0000E6020000}"/>
    <cellStyle name="Comma 11 2 3 2 2" xfId="402" xr:uid="{00000000-0005-0000-0000-0000E7020000}"/>
    <cellStyle name="Comma 11 2 3 2 2 2" xfId="403" xr:uid="{00000000-0005-0000-0000-0000E8020000}"/>
    <cellStyle name="Comma 11 2 3 2 3" xfId="404" xr:uid="{00000000-0005-0000-0000-0000E9020000}"/>
    <cellStyle name="Comma 11 2 3 2 3 2" xfId="405" xr:uid="{00000000-0005-0000-0000-0000EA020000}"/>
    <cellStyle name="Comma 11 2 3 2 4" xfId="406" xr:uid="{00000000-0005-0000-0000-0000EB020000}"/>
    <cellStyle name="Comma 11 2 3 3" xfId="407" xr:uid="{00000000-0005-0000-0000-0000EC020000}"/>
    <cellStyle name="Comma 11 2 3 3 2" xfId="408" xr:uid="{00000000-0005-0000-0000-0000ED020000}"/>
    <cellStyle name="Comma 11 2 3 4" xfId="409" xr:uid="{00000000-0005-0000-0000-0000EE020000}"/>
    <cellStyle name="Comma 11 2 3 4 2" xfId="410" xr:uid="{00000000-0005-0000-0000-0000EF020000}"/>
    <cellStyle name="Comma 11 2 3 5" xfId="411" xr:uid="{00000000-0005-0000-0000-0000F0020000}"/>
    <cellStyle name="Comma 11 2 4" xfId="412" xr:uid="{00000000-0005-0000-0000-0000F1020000}"/>
    <cellStyle name="Comma 11 2 4 2" xfId="413" xr:uid="{00000000-0005-0000-0000-0000F2020000}"/>
    <cellStyle name="Comma 11 2 4 2 2" xfId="414" xr:uid="{00000000-0005-0000-0000-0000F3020000}"/>
    <cellStyle name="Comma 11 2 4 3" xfId="415" xr:uid="{00000000-0005-0000-0000-0000F4020000}"/>
    <cellStyle name="Comma 11 2 4 3 2" xfId="416" xr:uid="{00000000-0005-0000-0000-0000F5020000}"/>
    <cellStyle name="Comma 11 2 4 4" xfId="417" xr:uid="{00000000-0005-0000-0000-0000F6020000}"/>
    <cellStyle name="Comma 11 2 5" xfId="418" xr:uid="{00000000-0005-0000-0000-0000F7020000}"/>
    <cellStyle name="Comma 11 2 5 2" xfId="419" xr:uid="{00000000-0005-0000-0000-0000F8020000}"/>
    <cellStyle name="Comma 11 2 6" xfId="420" xr:uid="{00000000-0005-0000-0000-0000F9020000}"/>
    <cellStyle name="Comma 11 2 6 2" xfId="421" xr:uid="{00000000-0005-0000-0000-0000FA020000}"/>
    <cellStyle name="Comma 11 2 7" xfId="422" xr:uid="{00000000-0005-0000-0000-0000FB020000}"/>
    <cellStyle name="Comma 11 3" xfId="423" xr:uid="{00000000-0005-0000-0000-0000FC020000}"/>
    <cellStyle name="Comma 11 3 2" xfId="424" xr:uid="{00000000-0005-0000-0000-0000FD020000}"/>
    <cellStyle name="Comma 11 3 2 2" xfId="425" xr:uid="{00000000-0005-0000-0000-0000FE020000}"/>
    <cellStyle name="Comma 11 3 2 2 2" xfId="426" xr:uid="{00000000-0005-0000-0000-0000FF020000}"/>
    <cellStyle name="Comma 11 3 2 2 2 2" xfId="427" xr:uid="{00000000-0005-0000-0000-000000030000}"/>
    <cellStyle name="Comma 11 3 2 2 3" xfId="428" xr:uid="{00000000-0005-0000-0000-000001030000}"/>
    <cellStyle name="Comma 11 3 2 2 3 2" xfId="429" xr:uid="{00000000-0005-0000-0000-000002030000}"/>
    <cellStyle name="Comma 11 3 2 2 4" xfId="430" xr:uid="{00000000-0005-0000-0000-000003030000}"/>
    <cellStyle name="Comma 11 3 2 3" xfId="431" xr:uid="{00000000-0005-0000-0000-000004030000}"/>
    <cellStyle name="Comma 11 3 2 3 2" xfId="432" xr:uid="{00000000-0005-0000-0000-000005030000}"/>
    <cellStyle name="Comma 11 3 2 4" xfId="433" xr:uid="{00000000-0005-0000-0000-000006030000}"/>
    <cellStyle name="Comma 11 3 2 4 2" xfId="434" xr:uid="{00000000-0005-0000-0000-000007030000}"/>
    <cellStyle name="Comma 11 3 2 5" xfId="435" xr:uid="{00000000-0005-0000-0000-000008030000}"/>
    <cellStyle name="Comma 11 3 3" xfId="436" xr:uid="{00000000-0005-0000-0000-000009030000}"/>
    <cellStyle name="Comma 11 3 3 2" xfId="437" xr:uid="{00000000-0005-0000-0000-00000A030000}"/>
    <cellStyle name="Comma 11 3 3 2 2" xfId="438" xr:uid="{00000000-0005-0000-0000-00000B030000}"/>
    <cellStyle name="Comma 11 3 3 3" xfId="439" xr:uid="{00000000-0005-0000-0000-00000C030000}"/>
    <cellStyle name="Comma 11 3 3 3 2" xfId="440" xr:uid="{00000000-0005-0000-0000-00000D030000}"/>
    <cellStyle name="Comma 11 3 3 4" xfId="441" xr:uid="{00000000-0005-0000-0000-00000E030000}"/>
    <cellStyle name="Comma 11 3 4" xfId="442" xr:uid="{00000000-0005-0000-0000-00000F030000}"/>
    <cellStyle name="Comma 11 3 4 2" xfId="443" xr:uid="{00000000-0005-0000-0000-000010030000}"/>
    <cellStyle name="Comma 11 3 5" xfId="444" xr:uid="{00000000-0005-0000-0000-000011030000}"/>
    <cellStyle name="Comma 11 3 5 2" xfId="445" xr:uid="{00000000-0005-0000-0000-000012030000}"/>
    <cellStyle name="Comma 11 3 6" xfId="446" xr:uid="{00000000-0005-0000-0000-000013030000}"/>
    <cellStyle name="Comma 11 4" xfId="447" xr:uid="{00000000-0005-0000-0000-000014030000}"/>
    <cellStyle name="Comma 11 4 2" xfId="448" xr:uid="{00000000-0005-0000-0000-000015030000}"/>
    <cellStyle name="Comma 11 4 2 2" xfId="449" xr:uid="{00000000-0005-0000-0000-000016030000}"/>
    <cellStyle name="Comma 11 4 2 2 2" xfId="450" xr:uid="{00000000-0005-0000-0000-000017030000}"/>
    <cellStyle name="Comma 11 4 2 3" xfId="451" xr:uid="{00000000-0005-0000-0000-000018030000}"/>
    <cellStyle name="Comma 11 4 2 3 2" xfId="452" xr:uid="{00000000-0005-0000-0000-000019030000}"/>
    <cellStyle name="Comma 11 4 2 4" xfId="453" xr:uid="{00000000-0005-0000-0000-00001A030000}"/>
    <cellStyle name="Comma 11 4 3" xfId="454" xr:uid="{00000000-0005-0000-0000-00001B030000}"/>
    <cellStyle name="Comma 11 4 3 2" xfId="455" xr:uid="{00000000-0005-0000-0000-00001C030000}"/>
    <cellStyle name="Comma 11 4 4" xfId="456" xr:uid="{00000000-0005-0000-0000-00001D030000}"/>
    <cellStyle name="Comma 11 4 4 2" xfId="457" xr:uid="{00000000-0005-0000-0000-00001E030000}"/>
    <cellStyle name="Comma 11 4 5" xfId="458" xr:uid="{00000000-0005-0000-0000-00001F030000}"/>
    <cellStyle name="Comma 11 5" xfId="459" xr:uid="{00000000-0005-0000-0000-000020030000}"/>
    <cellStyle name="Comma 11 5 2" xfId="460" xr:uid="{00000000-0005-0000-0000-000021030000}"/>
    <cellStyle name="Comma 11 5 2 2" xfId="461" xr:uid="{00000000-0005-0000-0000-000022030000}"/>
    <cellStyle name="Comma 11 5 3" xfId="462" xr:uid="{00000000-0005-0000-0000-000023030000}"/>
    <cellStyle name="Comma 11 5 3 2" xfId="463" xr:uid="{00000000-0005-0000-0000-000024030000}"/>
    <cellStyle name="Comma 11 5 4" xfId="464" xr:uid="{00000000-0005-0000-0000-000025030000}"/>
    <cellStyle name="Comma 11 6" xfId="465" xr:uid="{00000000-0005-0000-0000-000026030000}"/>
    <cellStyle name="Comma 11 6 2" xfId="466" xr:uid="{00000000-0005-0000-0000-000027030000}"/>
    <cellStyle name="Comma 11 7" xfId="467" xr:uid="{00000000-0005-0000-0000-000028030000}"/>
    <cellStyle name="Comma 11 7 2" xfId="468" xr:uid="{00000000-0005-0000-0000-000029030000}"/>
    <cellStyle name="Comma 11 8" xfId="469" xr:uid="{00000000-0005-0000-0000-00002A030000}"/>
    <cellStyle name="Comma 12" xfId="470" xr:uid="{00000000-0005-0000-0000-00002B030000}"/>
    <cellStyle name="Comma 12 2" xfId="471" xr:uid="{00000000-0005-0000-0000-00002C030000}"/>
    <cellStyle name="Comma 12 2 2" xfId="472" xr:uid="{00000000-0005-0000-0000-00002D030000}"/>
    <cellStyle name="Comma 12 2 2 2" xfId="473" xr:uid="{00000000-0005-0000-0000-00002E030000}"/>
    <cellStyle name="Comma 12 2 2 2 2" xfId="474" xr:uid="{00000000-0005-0000-0000-00002F030000}"/>
    <cellStyle name="Comma 12 2 2 2 2 2" xfId="475" xr:uid="{00000000-0005-0000-0000-000030030000}"/>
    <cellStyle name="Comma 12 2 2 2 3" xfId="476" xr:uid="{00000000-0005-0000-0000-000031030000}"/>
    <cellStyle name="Comma 12 2 2 2 3 2" xfId="477" xr:uid="{00000000-0005-0000-0000-000032030000}"/>
    <cellStyle name="Comma 12 2 2 2 4" xfId="478" xr:uid="{00000000-0005-0000-0000-000033030000}"/>
    <cellStyle name="Comma 12 2 2 3" xfId="479" xr:uid="{00000000-0005-0000-0000-000034030000}"/>
    <cellStyle name="Comma 12 2 2 3 2" xfId="480" xr:uid="{00000000-0005-0000-0000-000035030000}"/>
    <cellStyle name="Comma 12 2 2 4" xfId="481" xr:uid="{00000000-0005-0000-0000-000036030000}"/>
    <cellStyle name="Comma 12 2 2 4 2" xfId="482" xr:uid="{00000000-0005-0000-0000-000037030000}"/>
    <cellStyle name="Comma 12 2 2 5" xfId="483" xr:uid="{00000000-0005-0000-0000-000038030000}"/>
    <cellStyle name="Comma 12 2 3" xfId="484" xr:uid="{00000000-0005-0000-0000-000039030000}"/>
    <cellStyle name="Comma 12 2 3 2" xfId="485" xr:uid="{00000000-0005-0000-0000-00003A030000}"/>
    <cellStyle name="Comma 12 2 3 2 2" xfId="486" xr:uid="{00000000-0005-0000-0000-00003B030000}"/>
    <cellStyle name="Comma 12 2 3 3" xfId="487" xr:uid="{00000000-0005-0000-0000-00003C030000}"/>
    <cellStyle name="Comma 12 2 3 3 2" xfId="488" xr:uid="{00000000-0005-0000-0000-00003D030000}"/>
    <cellStyle name="Comma 12 2 3 4" xfId="489" xr:uid="{00000000-0005-0000-0000-00003E030000}"/>
    <cellStyle name="Comma 12 2 4" xfId="490" xr:uid="{00000000-0005-0000-0000-00003F030000}"/>
    <cellStyle name="Comma 12 2 4 2" xfId="491" xr:uid="{00000000-0005-0000-0000-000040030000}"/>
    <cellStyle name="Comma 12 2 5" xfId="492" xr:uid="{00000000-0005-0000-0000-000041030000}"/>
    <cellStyle name="Comma 12 2 5 2" xfId="493" xr:uid="{00000000-0005-0000-0000-000042030000}"/>
    <cellStyle name="Comma 12 2 6" xfId="494" xr:uid="{00000000-0005-0000-0000-000043030000}"/>
    <cellStyle name="Comma 12 3" xfId="495" xr:uid="{00000000-0005-0000-0000-000044030000}"/>
    <cellStyle name="Comma 12 4" xfId="496" xr:uid="{00000000-0005-0000-0000-000045030000}"/>
    <cellStyle name="Comma 12 5" xfId="497" xr:uid="{00000000-0005-0000-0000-000046030000}"/>
    <cellStyle name="Comma 12 6" xfId="498" xr:uid="{00000000-0005-0000-0000-000047030000}"/>
    <cellStyle name="Comma 13" xfId="499" xr:uid="{00000000-0005-0000-0000-000048030000}"/>
    <cellStyle name="Comma 13 2" xfId="500" xr:uid="{00000000-0005-0000-0000-000049030000}"/>
    <cellStyle name="Comma 13 2 2" xfId="501" xr:uid="{00000000-0005-0000-0000-00004A030000}"/>
    <cellStyle name="Comma 13 2 2 2" xfId="502" xr:uid="{00000000-0005-0000-0000-00004B030000}"/>
    <cellStyle name="Comma 13 2 2 2 2" xfId="503" xr:uid="{00000000-0005-0000-0000-00004C030000}"/>
    <cellStyle name="Comma 13 2 2 2 2 2" xfId="504" xr:uid="{00000000-0005-0000-0000-00004D030000}"/>
    <cellStyle name="Comma 13 2 2 2 3" xfId="505" xr:uid="{00000000-0005-0000-0000-00004E030000}"/>
    <cellStyle name="Comma 13 2 2 2 3 2" xfId="506" xr:uid="{00000000-0005-0000-0000-00004F030000}"/>
    <cellStyle name="Comma 13 2 2 2 4" xfId="507" xr:uid="{00000000-0005-0000-0000-000050030000}"/>
    <cellStyle name="Comma 13 2 2 3" xfId="508" xr:uid="{00000000-0005-0000-0000-000051030000}"/>
    <cellStyle name="Comma 13 2 2 3 2" xfId="509" xr:uid="{00000000-0005-0000-0000-000052030000}"/>
    <cellStyle name="Comma 13 2 2 4" xfId="510" xr:uid="{00000000-0005-0000-0000-000053030000}"/>
    <cellStyle name="Comma 13 2 2 4 2" xfId="511" xr:uid="{00000000-0005-0000-0000-000054030000}"/>
    <cellStyle name="Comma 13 2 2 5" xfId="512" xr:uid="{00000000-0005-0000-0000-000055030000}"/>
    <cellStyle name="Comma 13 2 3" xfId="513" xr:uid="{00000000-0005-0000-0000-000056030000}"/>
    <cellStyle name="Comma 13 2 3 2" xfId="514" xr:uid="{00000000-0005-0000-0000-000057030000}"/>
    <cellStyle name="Comma 13 2 3 2 2" xfId="515" xr:uid="{00000000-0005-0000-0000-000058030000}"/>
    <cellStyle name="Comma 13 2 3 3" xfId="516" xr:uid="{00000000-0005-0000-0000-000059030000}"/>
    <cellStyle name="Comma 13 2 3 3 2" xfId="517" xr:uid="{00000000-0005-0000-0000-00005A030000}"/>
    <cellStyle name="Comma 13 2 3 4" xfId="518" xr:uid="{00000000-0005-0000-0000-00005B030000}"/>
    <cellStyle name="Comma 13 2 4" xfId="519" xr:uid="{00000000-0005-0000-0000-00005C030000}"/>
    <cellStyle name="Comma 13 2 4 2" xfId="520" xr:uid="{00000000-0005-0000-0000-00005D030000}"/>
    <cellStyle name="Comma 13 2 5" xfId="521" xr:uid="{00000000-0005-0000-0000-00005E030000}"/>
    <cellStyle name="Comma 13 2 5 2" xfId="522" xr:uid="{00000000-0005-0000-0000-00005F030000}"/>
    <cellStyle name="Comma 13 2 6" xfId="523" xr:uid="{00000000-0005-0000-0000-000060030000}"/>
    <cellStyle name="Comma 13 3" xfId="524" xr:uid="{00000000-0005-0000-0000-000061030000}"/>
    <cellStyle name="Comma 13 3 2" xfId="525" xr:uid="{00000000-0005-0000-0000-000062030000}"/>
    <cellStyle name="Comma 13 3 2 2" xfId="526" xr:uid="{00000000-0005-0000-0000-000063030000}"/>
    <cellStyle name="Comma 13 3 2 2 2" xfId="527" xr:uid="{00000000-0005-0000-0000-000064030000}"/>
    <cellStyle name="Comma 13 3 2 3" xfId="528" xr:uid="{00000000-0005-0000-0000-000065030000}"/>
    <cellStyle name="Comma 13 3 2 3 2" xfId="529" xr:uid="{00000000-0005-0000-0000-000066030000}"/>
    <cellStyle name="Comma 13 3 2 4" xfId="530" xr:uid="{00000000-0005-0000-0000-000067030000}"/>
    <cellStyle name="Comma 13 3 3" xfId="531" xr:uid="{00000000-0005-0000-0000-000068030000}"/>
    <cellStyle name="Comma 13 3 3 2" xfId="532" xr:uid="{00000000-0005-0000-0000-000069030000}"/>
    <cellStyle name="Comma 13 3 4" xfId="533" xr:uid="{00000000-0005-0000-0000-00006A030000}"/>
    <cellStyle name="Comma 13 3 4 2" xfId="534" xr:uid="{00000000-0005-0000-0000-00006B030000}"/>
    <cellStyle name="Comma 13 3 5" xfId="535" xr:uid="{00000000-0005-0000-0000-00006C030000}"/>
    <cellStyle name="Comma 13 4" xfId="536" xr:uid="{00000000-0005-0000-0000-00006D030000}"/>
    <cellStyle name="Comma 13 4 2" xfId="537" xr:uid="{00000000-0005-0000-0000-00006E030000}"/>
    <cellStyle name="Comma 13 4 2 2" xfId="538" xr:uid="{00000000-0005-0000-0000-00006F030000}"/>
    <cellStyle name="Comma 13 4 3" xfId="539" xr:uid="{00000000-0005-0000-0000-000070030000}"/>
    <cellStyle name="Comma 13 4 3 2" xfId="540" xr:uid="{00000000-0005-0000-0000-000071030000}"/>
    <cellStyle name="Comma 13 4 4" xfId="541" xr:uid="{00000000-0005-0000-0000-000072030000}"/>
    <cellStyle name="Comma 13 5" xfId="542" xr:uid="{00000000-0005-0000-0000-000073030000}"/>
    <cellStyle name="Comma 13 5 2" xfId="543" xr:uid="{00000000-0005-0000-0000-000074030000}"/>
    <cellStyle name="Comma 13 6" xfId="544" xr:uid="{00000000-0005-0000-0000-000075030000}"/>
    <cellStyle name="Comma 13 6 2" xfId="545" xr:uid="{00000000-0005-0000-0000-000076030000}"/>
    <cellStyle name="Comma 13 7" xfId="546" xr:uid="{00000000-0005-0000-0000-000077030000}"/>
    <cellStyle name="Comma 14" xfId="547" xr:uid="{00000000-0005-0000-0000-000078030000}"/>
    <cellStyle name="Comma 14 2" xfId="548" xr:uid="{00000000-0005-0000-0000-000079030000}"/>
    <cellStyle name="Comma 15" xfId="549" xr:uid="{00000000-0005-0000-0000-00007A030000}"/>
    <cellStyle name="Comma 15 2" xfId="550" xr:uid="{00000000-0005-0000-0000-00007B030000}"/>
    <cellStyle name="Comma 15 2 2" xfId="551" xr:uid="{00000000-0005-0000-0000-00007C030000}"/>
    <cellStyle name="Comma 15 3" xfId="552" xr:uid="{00000000-0005-0000-0000-00007D030000}"/>
    <cellStyle name="Comma 15 4" xfId="553" xr:uid="{00000000-0005-0000-0000-00007E030000}"/>
    <cellStyle name="Comma 16" xfId="554" xr:uid="{00000000-0005-0000-0000-00007F030000}"/>
    <cellStyle name="Comma 16 2" xfId="555" xr:uid="{00000000-0005-0000-0000-000080030000}"/>
    <cellStyle name="Comma 16 2 2" xfId="556" xr:uid="{00000000-0005-0000-0000-000081030000}"/>
    <cellStyle name="Comma 16 2 2 2" xfId="557" xr:uid="{00000000-0005-0000-0000-000082030000}"/>
    <cellStyle name="Comma 16 2 3" xfId="558" xr:uid="{00000000-0005-0000-0000-000083030000}"/>
    <cellStyle name="Comma 16 2 3 2" xfId="559" xr:uid="{00000000-0005-0000-0000-000084030000}"/>
    <cellStyle name="Comma 16 2 4" xfId="560" xr:uid="{00000000-0005-0000-0000-000085030000}"/>
    <cellStyle name="Comma 16 3" xfId="561" xr:uid="{00000000-0005-0000-0000-000086030000}"/>
    <cellStyle name="Comma 16 3 2" xfId="562" xr:uid="{00000000-0005-0000-0000-000087030000}"/>
    <cellStyle name="Comma 16 4" xfId="563" xr:uid="{00000000-0005-0000-0000-000088030000}"/>
    <cellStyle name="Comma 16 4 2" xfId="564" xr:uid="{00000000-0005-0000-0000-000089030000}"/>
    <cellStyle name="Comma 16 5" xfId="565" xr:uid="{00000000-0005-0000-0000-00008A030000}"/>
    <cellStyle name="Comma 17" xfId="566" xr:uid="{00000000-0005-0000-0000-00008B030000}"/>
    <cellStyle name="Comma 17 2" xfId="567" xr:uid="{00000000-0005-0000-0000-00008C030000}"/>
    <cellStyle name="Comma 17 2 2" xfId="568" xr:uid="{00000000-0005-0000-0000-00008D030000}"/>
    <cellStyle name="Comma 17 3" xfId="569" xr:uid="{00000000-0005-0000-0000-00008E030000}"/>
    <cellStyle name="Comma 17 4" xfId="570" xr:uid="{00000000-0005-0000-0000-00008F030000}"/>
    <cellStyle name="Comma 17 5" xfId="571" xr:uid="{00000000-0005-0000-0000-000090030000}"/>
    <cellStyle name="Comma 18" xfId="572" xr:uid="{00000000-0005-0000-0000-000091030000}"/>
    <cellStyle name="Comma 18 2" xfId="573" xr:uid="{00000000-0005-0000-0000-000092030000}"/>
    <cellStyle name="Comma 18 2 2" xfId="574" xr:uid="{00000000-0005-0000-0000-000093030000}"/>
    <cellStyle name="Comma 18 3" xfId="575" xr:uid="{00000000-0005-0000-0000-000094030000}"/>
    <cellStyle name="Comma 18 4" xfId="576" xr:uid="{00000000-0005-0000-0000-000095030000}"/>
    <cellStyle name="Comma 18 5" xfId="577" xr:uid="{00000000-0005-0000-0000-000096030000}"/>
    <cellStyle name="Comma 19" xfId="578" xr:uid="{00000000-0005-0000-0000-000097030000}"/>
    <cellStyle name="Comma 19 2" xfId="579" xr:uid="{00000000-0005-0000-0000-000098030000}"/>
    <cellStyle name="Comma 19 3" xfId="580" xr:uid="{00000000-0005-0000-0000-000099030000}"/>
    <cellStyle name="Comma 19 4" xfId="581" xr:uid="{00000000-0005-0000-0000-00009A030000}"/>
    <cellStyle name="Comma 19 5" xfId="582" xr:uid="{00000000-0005-0000-0000-00009B030000}"/>
    <cellStyle name="Comma 19 6" xfId="583" xr:uid="{00000000-0005-0000-0000-00009C030000}"/>
    <cellStyle name="Comma 2" xfId="584" xr:uid="{00000000-0005-0000-0000-00009D030000}"/>
    <cellStyle name="Comma 2 2" xfId="585" xr:uid="{00000000-0005-0000-0000-00009E030000}"/>
    <cellStyle name="Comma 2 2 2" xfId="586" xr:uid="{00000000-0005-0000-0000-00009F030000}"/>
    <cellStyle name="Comma 2 2 2 2" xfId="587" xr:uid="{00000000-0005-0000-0000-0000A0030000}"/>
    <cellStyle name="Comma 2 2 2 2 2" xfId="588" xr:uid="{00000000-0005-0000-0000-0000A1030000}"/>
    <cellStyle name="Comma 2 2 2 2 3" xfId="589" xr:uid="{00000000-0005-0000-0000-0000A2030000}"/>
    <cellStyle name="Comma 2 2 2 2 4" xfId="590" xr:uid="{00000000-0005-0000-0000-0000A3030000}"/>
    <cellStyle name="Comma 2 2 3" xfId="591" xr:uid="{00000000-0005-0000-0000-0000A4030000}"/>
    <cellStyle name="Comma 2 2 3 2" xfId="592" xr:uid="{00000000-0005-0000-0000-0000A5030000}"/>
    <cellStyle name="Comma 2 2 3 3" xfId="593" xr:uid="{00000000-0005-0000-0000-0000A6030000}"/>
    <cellStyle name="Comma 2 3" xfId="594" xr:uid="{00000000-0005-0000-0000-0000A7030000}"/>
    <cellStyle name="Comma 2 3 2" xfId="595" xr:uid="{00000000-0005-0000-0000-0000A8030000}"/>
    <cellStyle name="Comma 2 4" xfId="596" xr:uid="{00000000-0005-0000-0000-0000A9030000}"/>
    <cellStyle name="Comma 2 4 2" xfId="597" xr:uid="{00000000-0005-0000-0000-0000AA030000}"/>
    <cellStyle name="Comma 2 4 2 2" xfId="598" xr:uid="{00000000-0005-0000-0000-0000AB030000}"/>
    <cellStyle name="Comma 2 4 2 2 2" xfId="599" xr:uid="{00000000-0005-0000-0000-0000AC030000}"/>
    <cellStyle name="Comma 2 4 3" xfId="600" xr:uid="{00000000-0005-0000-0000-0000AD030000}"/>
    <cellStyle name="Comma 2 4 4" xfId="601" xr:uid="{00000000-0005-0000-0000-0000AE030000}"/>
    <cellStyle name="Comma 2 4 5" xfId="602" xr:uid="{00000000-0005-0000-0000-0000AF030000}"/>
    <cellStyle name="Comma 2 5" xfId="603" xr:uid="{00000000-0005-0000-0000-0000B0030000}"/>
    <cellStyle name="Comma 2 5 2" xfId="604" xr:uid="{00000000-0005-0000-0000-0000B1030000}"/>
    <cellStyle name="Comma 2 5 3" xfId="605" xr:uid="{00000000-0005-0000-0000-0000B2030000}"/>
    <cellStyle name="Comma 2 6" xfId="606" xr:uid="{00000000-0005-0000-0000-0000B3030000}"/>
    <cellStyle name="Comma 2 6 2" xfId="607" xr:uid="{00000000-0005-0000-0000-0000B4030000}"/>
    <cellStyle name="Comma 2 6 2 2" xfId="608" xr:uid="{00000000-0005-0000-0000-0000B5030000}"/>
    <cellStyle name="Comma 2 6 3" xfId="609" xr:uid="{00000000-0005-0000-0000-0000B6030000}"/>
    <cellStyle name="Comma 2 6 3 2" xfId="610" xr:uid="{00000000-0005-0000-0000-0000B7030000}"/>
    <cellStyle name="Comma 2 6 3 3" xfId="611" xr:uid="{00000000-0005-0000-0000-0000B8030000}"/>
    <cellStyle name="Comma 2 6 4" xfId="612" xr:uid="{00000000-0005-0000-0000-0000B9030000}"/>
    <cellStyle name="Comma 2 7" xfId="613" xr:uid="{00000000-0005-0000-0000-0000BA030000}"/>
    <cellStyle name="Comma 2 7 2" xfId="614" xr:uid="{00000000-0005-0000-0000-0000BB030000}"/>
    <cellStyle name="Comma 2 7 3" xfId="615" xr:uid="{00000000-0005-0000-0000-0000BC030000}"/>
    <cellStyle name="Comma 2 7 4" xfId="616" xr:uid="{00000000-0005-0000-0000-0000BD030000}"/>
    <cellStyle name="Comma 2 8" xfId="617" xr:uid="{00000000-0005-0000-0000-0000BE030000}"/>
    <cellStyle name="Comma 2 9" xfId="618" xr:uid="{00000000-0005-0000-0000-0000BF030000}"/>
    <cellStyle name="Comma 20" xfId="619" xr:uid="{00000000-0005-0000-0000-0000C0030000}"/>
    <cellStyle name="Comma 20 2" xfId="620" xr:uid="{00000000-0005-0000-0000-0000C1030000}"/>
    <cellStyle name="Comma 20 3" xfId="621" xr:uid="{00000000-0005-0000-0000-0000C2030000}"/>
    <cellStyle name="Comma 20 4" xfId="622" xr:uid="{00000000-0005-0000-0000-0000C3030000}"/>
    <cellStyle name="Comma 21" xfId="623" xr:uid="{00000000-0005-0000-0000-0000C4030000}"/>
    <cellStyle name="Comma 21 2" xfId="624" xr:uid="{00000000-0005-0000-0000-0000C5030000}"/>
    <cellStyle name="Comma 21 3" xfId="625" xr:uid="{00000000-0005-0000-0000-0000C6030000}"/>
    <cellStyle name="Comma 21 4" xfId="626" xr:uid="{00000000-0005-0000-0000-0000C7030000}"/>
    <cellStyle name="Comma 22" xfId="627" xr:uid="{00000000-0005-0000-0000-0000C8030000}"/>
    <cellStyle name="Comma 22 2" xfId="628" xr:uid="{00000000-0005-0000-0000-0000C9030000}"/>
    <cellStyle name="Comma 23" xfId="629" xr:uid="{00000000-0005-0000-0000-0000CA030000}"/>
    <cellStyle name="Comma 24" xfId="630" xr:uid="{00000000-0005-0000-0000-0000CB030000}"/>
    <cellStyle name="Comma 25" xfId="631" xr:uid="{00000000-0005-0000-0000-0000CC030000}"/>
    <cellStyle name="Comma 25 2" xfId="632" xr:uid="{00000000-0005-0000-0000-0000CD030000}"/>
    <cellStyle name="Comma 25 2 2" xfId="633" xr:uid="{00000000-0005-0000-0000-0000CE030000}"/>
    <cellStyle name="Comma 26" xfId="634" xr:uid="{00000000-0005-0000-0000-0000CF030000}"/>
    <cellStyle name="Comma 27" xfId="635" xr:uid="{00000000-0005-0000-0000-0000D0030000}"/>
    <cellStyle name="Comma 28" xfId="636" xr:uid="{00000000-0005-0000-0000-0000D1030000}"/>
    <cellStyle name="Comma 29" xfId="637" xr:uid="{00000000-0005-0000-0000-0000D2030000}"/>
    <cellStyle name="Comma 29 2" xfId="638" xr:uid="{00000000-0005-0000-0000-0000D3030000}"/>
    <cellStyle name="Comma 3" xfId="639" xr:uid="{00000000-0005-0000-0000-0000D4030000}"/>
    <cellStyle name="Comma 3 2" xfId="640" xr:uid="{00000000-0005-0000-0000-0000D5030000}"/>
    <cellStyle name="Comma 3 2 2" xfId="641" xr:uid="{00000000-0005-0000-0000-0000D6030000}"/>
    <cellStyle name="Comma 3 3" xfId="642" xr:uid="{00000000-0005-0000-0000-0000D7030000}"/>
    <cellStyle name="Comma 3 4" xfId="643" xr:uid="{00000000-0005-0000-0000-0000D8030000}"/>
    <cellStyle name="Comma 30" xfId="644" xr:uid="{00000000-0005-0000-0000-0000D9030000}"/>
    <cellStyle name="Comma 31" xfId="645" xr:uid="{00000000-0005-0000-0000-0000DA030000}"/>
    <cellStyle name="Comma 32" xfId="15199" xr:uid="{00000000-0005-0000-0000-0000DB030000}"/>
    <cellStyle name="Comma 32 2" xfId="22831" xr:uid="{00000000-0005-0000-0000-0000DC030000}"/>
    <cellStyle name="Comma 32 2 2" xfId="23042" xr:uid="{8C6EF00C-C1CC-4EED-8C42-A7B007EF2931}"/>
    <cellStyle name="Comma 32 2 2 2" xfId="23045" xr:uid="{BBFE8961-63D7-44A9-A788-1D9F040BE640}"/>
    <cellStyle name="Comma 33" xfId="22966" xr:uid="{00000000-0005-0000-0000-0000DD030000}"/>
    <cellStyle name="Comma 34" xfId="22985" xr:uid="{00000000-0005-0000-0000-0000DE030000}"/>
    <cellStyle name="Comma 34 2" xfId="23025" xr:uid="{00000000-0005-0000-0000-0000DF030000}"/>
    <cellStyle name="Comma 35" xfId="23021" xr:uid="{00000000-0005-0000-0000-0000E0030000}"/>
    <cellStyle name="Comma 36" xfId="23023" xr:uid="{00000000-0005-0000-0000-0000E1030000}"/>
    <cellStyle name="Comma 37" xfId="23027" xr:uid="{1A15C063-81EA-40A3-B389-64BB31D5C399}"/>
    <cellStyle name="Comma 38" xfId="23029" xr:uid="{D726CEE0-E927-4F1A-B12B-F6A6B18FD2AA}"/>
    <cellStyle name="Comma 38 2" xfId="23036" xr:uid="{3AF956D3-D0A4-4E96-B80B-1310F38E1717}"/>
    <cellStyle name="Comma 39" xfId="23035" xr:uid="{7DC135BE-58AD-4E4E-AA65-0BFDD590B286}"/>
    <cellStyle name="Comma 4" xfId="646" xr:uid="{00000000-0005-0000-0000-0000E2030000}"/>
    <cellStyle name="Comma 4 10" xfId="647" xr:uid="{00000000-0005-0000-0000-0000E3030000}"/>
    <cellStyle name="Comma 4 11" xfId="648" xr:uid="{00000000-0005-0000-0000-0000E4030000}"/>
    <cellStyle name="Comma 4 12" xfId="649" xr:uid="{00000000-0005-0000-0000-0000E5030000}"/>
    <cellStyle name="Comma 4 2" xfId="650" xr:uid="{00000000-0005-0000-0000-0000E6030000}"/>
    <cellStyle name="Comma 4 2 2" xfId="651" xr:uid="{00000000-0005-0000-0000-0000E7030000}"/>
    <cellStyle name="Comma 4 2 2 10" xfId="652" xr:uid="{00000000-0005-0000-0000-0000E8030000}"/>
    <cellStyle name="Comma 4 2 2 2" xfId="653" xr:uid="{00000000-0005-0000-0000-0000E9030000}"/>
    <cellStyle name="Comma 4 2 2 2 2" xfId="654" xr:uid="{00000000-0005-0000-0000-0000EA030000}"/>
    <cellStyle name="Comma 4 2 2 2 2 2" xfId="655" xr:uid="{00000000-0005-0000-0000-0000EB030000}"/>
    <cellStyle name="Comma 4 2 2 2 2 2 2" xfId="656" xr:uid="{00000000-0005-0000-0000-0000EC030000}"/>
    <cellStyle name="Comma 4 2 2 2 2 2 2 2" xfId="657" xr:uid="{00000000-0005-0000-0000-0000ED030000}"/>
    <cellStyle name="Comma 4 2 2 2 2 2 3" xfId="658" xr:uid="{00000000-0005-0000-0000-0000EE030000}"/>
    <cellStyle name="Comma 4 2 2 2 2 2 3 2" xfId="659" xr:uid="{00000000-0005-0000-0000-0000EF030000}"/>
    <cellStyle name="Comma 4 2 2 2 2 2 4" xfId="660" xr:uid="{00000000-0005-0000-0000-0000F0030000}"/>
    <cellStyle name="Comma 4 2 2 2 2 3" xfId="661" xr:uid="{00000000-0005-0000-0000-0000F1030000}"/>
    <cellStyle name="Comma 4 2 2 2 2 3 2" xfId="662" xr:uid="{00000000-0005-0000-0000-0000F2030000}"/>
    <cellStyle name="Comma 4 2 2 2 2 4" xfId="663" xr:uid="{00000000-0005-0000-0000-0000F3030000}"/>
    <cellStyle name="Comma 4 2 2 2 2 4 2" xfId="664" xr:uid="{00000000-0005-0000-0000-0000F4030000}"/>
    <cellStyle name="Comma 4 2 2 2 2 5" xfId="665" xr:uid="{00000000-0005-0000-0000-0000F5030000}"/>
    <cellStyle name="Comma 4 2 2 2 3" xfId="666" xr:uid="{00000000-0005-0000-0000-0000F6030000}"/>
    <cellStyle name="Comma 4 2 2 2 3 2" xfId="667" xr:uid="{00000000-0005-0000-0000-0000F7030000}"/>
    <cellStyle name="Comma 4 2 2 2 3 2 2" xfId="668" xr:uid="{00000000-0005-0000-0000-0000F8030000}"/>
    <cellStyle name="Comma 4 2 2 2 3 3" xfId="669" xr:uid="{00000000-0005-0000-0000-0000F9030000}"/>
    <cellStyle name="Comma 4 2 2 2 3 3 2" xfId="670" xr:uid="{00000000-0005-0000-0000-0000FA030000}"/>
    <cellStyle name="Comma 4 2 2 2 3 4" xfId="671" xr:uid="{00000000-0005-0000-0000-0000FB030000}"/>
    <cellStyle name="Comma 4 2 2 2 4" xfId="672" xr:uid="{00000000-0005-0000-0000-0000FC030000}"/>
    <cellStyle name="Comma 4 2 2 2 4 2" xfId="673" xr:uid="{00000000-0005-0000-0000-0000FD030000}"/>
    <cellStyle name="Comma 4 2 2 2 5" xfId="674" xr:uid="{00000000-0005-0000-0000-0000FE030000}"/>
    <cellStyle name="Comma 4 2 2 2 5 2" xfId="675" xr:uid="{00000000-0005-0000-0000-0000FF030000}"/>
    <cellStyle name="Comma 4 2 2 2 6" xfId="676" xr:uid="{00000000-0005-0000-0000-000000040000}"/>
    <cellStyle name="Comma 4 2 2 3" xfId="677" xr:uid="{00000000-0005-0000-0000-000001040000}"/>
    <cellStyle name="Comma 4 2 2 3 2" xfId="678" xr:uid="{00000000-0005-0000-0000-000002040000}"/>
    <cellStyle name="Comma 4 2 2 3 2 2" xfId="679" xr:uid="{00000000-0005-0000-0000-000003040000}"/>
    <cellStyle name="Comma 4 2 2 3 2 2 2" xfId="680" xr:uid="{00000000-0005-0000-0000-000004040000}"/>
    <cellStyle name="Comma 4 2 2 3 2 2 2 2" xfId="681" xr:uid="{00000000-0005-0000-0000-000005040000}"/>
    <cellStyle name="Comma 4 2 2 3 2 2 3" xfId="682" xr:uid="{00000000-0005-0000-0000-000006040000}"/>
    <cellStyle name="Comma 4 2 2 3 2 2 3 2" xfId="683" xr:uid="{00000000-0005-0000-0000-000007040000}"/>
    <cellStyle name="Comma 4 2 2 3 2 2 4" xfId="684" xr:uid="{00000000-0005-0000-0000-000008040000}"/>
    <cellStyle name="Comma 4 2 2 3 2 3" xfId="685" xr:uid="{00000000-0005-0000-0000-000009040000}"/>
    <cellStyle name="Comma 4 2 2 3 2 3 2" xfId="686" xr:uid="{00000000-0005-0000-0000-00000A040000}"/>
    <cellStyle name="Comma 4 2 2 3 2 4" xfId="687" xr:uid="{00000000-0005-0000-0000-00000B040000}"/>
    <cellStyle name="Comma 4 2 2 3 2 4 2" xfId="688" xr:uid="{00000000-0005-0000-0000-00000C040000}"/>
    <cellStyle name="Comma 4 2 2 3 2 5" xfId="689" xr:uid="{00000000-0005-0000-0000-00000D040000}"/>
    <cellStyle name="Comma 4 2 2 3 3" xfId="690" xr:uid="{00000000-0005-0000-0000-00000E040000}"/>
    <cellStyle name="Comma 4 2 2 3 3 2" xfId="691" xr:uid="{00000000-0005-0000-0000-00000F040000}"/>
    <cellStyle name="Comma 4 2 2 3 3 2 2" xfId="692" xr:uid="{00000000-0005-0000-0000-000010040000}"/>
    <cellStyle name="Comma 4 2 2 3 3 3" xfId="693" xr:uid="{00000000-0005-0000-0000-000011040000}"/>
    <cellStyle name="Comma 4 2 2 3 3 3 2" xfId="694" xr:uid="{00000000-0005-0000-0000-000012040000}"/>
    <cellStyle name="Comma 4 2 2 3 3 4" xfId="695" xr:uid="{00000000-0005-0000-0000-000013040000}"/>
    <cellStyle name="Comma 4 2 2 3 4" xfId="696" xr:uid="{00000000-0005-0000-0000-000014040000}"/>
    <cellStyle name="Comma 4 2 2 3 4 2" xfId="697" xr:uid="{00000000-0005-0000-0000-000015040000}"/>
    <cellStyle name="Comma 4 2 2 3 5" xfId="698" xr:uid="{00000000-0005-0000-0000-000016040000}"/>
    <cellStyle name="Comma 4 2 2 3 5 2" xfId="699" xr:uid="{00000000-0005-0000-0000-000017040000}"/>
    <cellStyle name="Comma 4 2 2 3 6" xfId="700" xr:uid="{00000000-0005-0000-0000-000018040000}"/>
    <cellStyle name="Comma 4 2 2 4" xfId="701" xr:uid="{00000000-0005-0000-0000-000019040000}"/>
    <cellStyle name="Comma 4 2 2 4 2" xfId="702" xr:uid="{00000000-0005-0000-0000-00001A040000}"/>
    <cellStyle name="Comma 4 2 2 4 2 2" xfId="703" xr:uid="{00000000-0005-0000-0000-00001B040000}"/>
    <cellStyle name="Comma 4 2 2 4 2 2 2" xfId="704" xr:uid="{00000000-0005-0000-0000-00001C040000}"/>
    <cellStyle name="Comma 4 2 2 4 2 3" xfId="705" xr:uid="{00000000-0005-0000-0000-00001D040000}"/>
    <cellStyle name="Comma 4 2 2 4 2 3 2" xfId="706" xr:uid="{00000000-0005-0000-0000-00001E040000}"/>
    <cellStyle name="Comma 4 2 2 4 2 4" xfId="707" xr:uid="{00000000-0005-0000-0000-00001F040000}"/>
    <cellStyle name="Comma 4 2 2 4 3" xfId="708" xr:uid="{00000000-0005-0000-0000-000020040000}"/>
    <cellStyle name="Comma 4 2 2 4 3 2" xfId="709" xr:uid="{00000000-0005-0000-0000-000021040000}"/>
    <cellStyle name="Comma 4 2 2 4 4" xfId="710" xr:uid="{00000000-0005-0000-0000-000022040000}"/>
    <cellStyle name="Comma 4 2 2 4 4 2" xfId="711" xr:uid="{00000000-0005-0000-0000-000023040000}"/>
    <cellStyle name="Comma 4 2 2 4 5" xfId="712" xr:uid="{00000000-0005-0000-0000-000024040000}"/>
    <cellStyle name="Comma 4 2 2 5" xfId="713" xr:uid="{00000000-0005-0000-0000-000025040000}"/>
    <cellStyle name="Comma 4 2 2 5 2" xfId="714" xr:uid="{00000000-0005-0000-0000-000026040000}"/>
    <cellStyle name="Comma 4 2 2 5 2 2" xfId="715" xr:uid="{00000000-0005-0000-0000-000027040000}"/>
    <cellStyle name="Comma 4 2 2 5 3" xfId="716" xr:uid="{00000000-0005-0000-0000-000028040000}"/>
    <cellStyle name="Comma 4 2 2 5 3 2" xfId="717" xr:uid="{00000000-0005-0000-0000-000029040000}"/>
    <cellStyle name="Comma 4 2 2 5 4" xfId="718" xr:uid="{00000000-0005-0000-0000-00002A040000}"/>
    <cellStyle name="Comma 4 2 2 6" xfId="719" xr:uid="{00000000-0005-0000-0000-00002B040000}"/>
    <cellStyle name="Comma 4 2 2 6 2" xfId="720" xr:uid="{00000000-0005-0000-0000-00002C040000}"/>
    <cellStyle name="Comma 4 2 2 7" xfId="721" xr:uid="{00000000-0005-0000-0000-00002D040000}"/>
    <cellStyle name="Comma 4 2 2 7 2" xfId="722" xr:uid="{00000000-0005-0000-0000-00002E040000}"/>
    <cellStyle name="Comma 4 2 2 8" xfId="723" xr:uid="{00000000-0005-0000-0000-00002F040000}"/>
    <cellStyle name="Comma 4 2 2 9" xfId="724" xr:uid="{00000000-0005-0000-0000-000030040000}"/>
    <cellStyle name="Comma 4 2 3" xfId="725" xr:uid="{00000000-0005-0000-0000-000031040000}"/>
    <cellStyle name="Comma 4 2 3 2" xfId="726" xr:uid="{00000000-0005-0000-0000-000032040000}"/>
    <cellStyle name="Comma 4 2 3 2 2" xfId="727" xr:uid="{00000000-0005-0000-0000-000033040000}"/>
    <cellStyle name="Comma 4 2 3 2 2 2" xfId="728" xr:uid="{00000000-0005-0000-0000-000034040000}"/>
    <cellStyle name="Comma 4 2 3 2 2 2 2" xfId="729" xr:uid="{00000000-0005-0000-0000-000035040000}"/>
    <cellStyle name="Comma 4 2 3 2 2 3" xfId="730" xr:uid="{00000000-0005-0000-0000-000036040000}"/>
    <cellStyle name="Comma 4 2 3 2 2 3 2" xfId="731" xr:uid="{00000000-0005-0000-0000-000037040000}"/>
    <cellStyle name="Comma 4 2 3 2 2 4" xfId="732" xr:uid="{00000000-0005-0000-0000-000038040000}"/>
    <cellStyle name="Comma 4 2 3 2 3" xfId="733" xr:uid="{00000000-0005-0000-0000-000039040000}"/>
    <cellStyle name="Comma 4 2 3 2 3 2" xfId="734" xr:uid="{00000000-0005-0000-0000-00003A040000}"/>
    <cellStyle name="Comma 4 2 3 2 4" xfId="735" xr:uid="{00000000-0005-0000-0000-00003B040000}"/>
    <cellStyle name="Comma 4 2 3 2 4 2" xfId="736" xr:uid="{00000000-0005-0000-0000-00003C040000}"/>
    <cellStyle name="Comma 4 2 3 2 5" xfId="737" xr:uid="{00000000-0005-0000-0000-00003D040000}"/>
    <cellStyle name="Comma 4 2 3 3" xfId="738" xr:uid="{00000000-0005-0000-0000-00003E040000}"/>
    <cellStyle name="Comma 4 2 3 3 2" xfId="739" xr:uid="{00000000-0005-0000-0000-00003F040000}"/>
    <cellStyle name="Comma 4 2 3 3 2 2" xfId="740" xr:uid="{00000000-0005-0000-0000-000040040000}"/>
    <cellStyle name="Comma 4 2 3 3 3" xfId="741" xr:uid="{00000000-0005-0000-0000-000041040000}"/>
    <cellStyle name="Comma 4 2 3 3 3 2" xfId="742" xr:uid="{00000000-0005-0000-0000-000042040000}"/>
    <cellStyle name="Comma 4 2 3 3 4" xfId="743" xr:uid="{00000000-0005-0000-0000-000043040000}"/>
    <cellStyle name="Comma 4 2 3 4" xfId="744" xr:uid="{00000000-0005-0000-0000-000044040000}"/>
    <cellStyle name="Comma 4 2 3 4 2" xfId="745" xr:uid="{00000000-0005-0000-0000-000045040000}"/>
    <cellStyle name="Comma 4 2 3 5" xfId="746" xr:uid="{00000000-0005-0000-0000-000046040000}"/>
    <cellStyle name="Comma 4 2 3 5 2" xfId="747" xr:uid="{00000000-0005-0000-0000-000047040000}"/>
    <cellStyle name="Comma 4 2 3 6" xfId="748" xr:uid="{00000000-0005-0000-0000-000048040000}"/>
    <cellStyle name="Comma 4 2 3 7" xfId="749" xr:uid="{00000000-0005-0000-0000-000049040000}"/>
    <cellStyle name="Comma 4 2 4" xfId="750" xr:uid="{00000000-0005-0000-0000-00004A040000}"/>
    <cellStyle name="Comma 4 2 4 2" xfId="751" xr:uid="{00000000-0005-0000-0000-00004B040000}"/>
    <cellStyle name="Comma 4 2 4 2 2" xfId="752" xr:uid="{00000000-0005-0000-0000-00004C040000}"/>
    <cellStyle name="Comma 4 2 4 2 2 2" xfId="753" xr:uid="{00000000-0005-0000-0000-00004D040000}"/>
    <cellStyle name="Comma 4 2 4 2 2 2 2" xfId="754" xr:uid="{00000000-0005-0000-0000-00004E040000}"/>
    <cellStyle name="Comma 4 2 4 2 2 3" xfId="755" xr:uid="{00000000-0005-0000-0000-00004F040000}"/>
    <cellStyle name="Comma 4 2 4 2 2 3 2" xfId="756" xr:uid="{00000000-0005-0000-0000-000050040000}"/>
    <cellStyle name="Comma 4 2 4 2 2 4" xfId="757" xr:uid="{00000000-0005-0000-0000-000051040000}"/>
    <cellStyle name="Comma 4 2 4 2 3" xfId="758" xr:uid="{00000000-0005-0000-0000-000052040000}"/>
    <cellStyle name="Comma 4 2 4 2 3 2" xfId="759" xr:uid="{00000000-0005-0000-0000-000053040000}"/>
    <cellStyle name="Comma 4 2 4 2 4" xfId="760" xr:uid="{00000000-0005-0000-0000-000054040000}"/>
    <cellStyle name="Comma 4 2 4 2 4 2" xfId="761" xr:uid="{00000000-0005-0000-0000-000055040000}"/>
    <cellStyle name="Comma 4 2 4 2 5" xfId="762" xr:uid="{00000000-0005-0000-0000-000056040000}"/>
    <cellStyle name="Comma 4 2 4 3" xfId="763" xr:uid="{00000000-0005-0000-0000-000057040000}"/>
    <cellStyle name="Comma 4 2 4 3 2" xfId="764" xr:uid="{00000000-0005-0000-0000-000058040000}"/>
    <cellStyle name="Comma 4 2 4 3 2 2" xfId="765" xr:uid="{00000000-0005-0000-0000-000059040000}"/>
    <cellStyle name="Comma 4 2 4 3 3" xfId="766" xr:uid="{00000000-0005-0000-0000-00005A040000}"/>
    <cellStyle name="Comma 4 2 4 3 3 2" xfId="767" xr:uid="{00000000-0005-0000-0000-00005B040000}"/>
    <cellStyle name="Comma 4 2 4 3 4" xfId="768" xr:uid="{00000000-0005-0000-0000-00005C040000}"/>
    <cellStyle name="Comma 4 2 4 4" xfId="769" xr:uid="{00000000-0005-0000-0000-00005D040000}"/>
    <cellStyle name="Comma 4 2 4 4 2" xfId="770" xr:uid="{00000000-0005-0000-0000-00005E040000}"/>
    <cellStyle name="Comma 4 2 4 5" xfId="771" xr:uid="{00000000-0005-0000-0000-00005F040000}"/>
    <cellStyle name="Comma 4 2 4 5 2" xfId="772" xr:uid="{00000000-0005-0000-0000-000060040000}"/>
    <cellStyle name="Comma 4 2 4 6" xfId="773" xr:uid="{00000000-0005-0000-0000-000061040000}"/>
    <cellStyle name="Comma 4 2 4 7" xfId="774" xr:uid="{00000000-0005-0000-0000-000062040000}"/>
    <cellStyle name="Comma 4 2 5" xfId="775" xr:uid="{00000000-0005-0000-0000-000063040000}"/>
    <cellStyle name="Comma 4 2 5 2" xfId="776" xr:uid="{00000000-0005-0000-0000-000064040000}"/>
    <cellStyle name="Comma 4 2 5 2 2" xfId="777" xr:uid="{00000000-0005-0000-0000-000065040000}"/>
    <cellStyle name="Comma 4 2 5 2 2 2" xfId="778" xr:uid="{00000000-0005-0000-0000-000066040000}"/>
    <cellStyle name="Comma 4 2 5 2 3" xfId="779" xr:uid="{00000000-0005-0000-0000-000067040000}"/>
    <cellStyle name="Comma 4 2 5 2 3 2" xfId="780" xr:uid="{00000000-0005-0000-0000-000068040000}"/>
    <cellStyle name="Comma 4 2 5 2 4" xfId="781" xr:uid="{00000000-0005-0000-0000-000069040000}"/>
    <cellStyle name="Comma 4 2 5 3" xfId="782" xr:uid="{00000000-0005-0000-0000-00006A040000}"/>
    <cellStyle name="Comma 4 2 5 3 2" xfId="783" xr:uid="{00000000-0005-0000-0000-00006B040000}"/>
    <cellStyle name="Comma 4 2 5 4" xfId="784" xr:uid="{00000000-0005-0000-0000-00006C040000}"/>
    <cellStyle name="Comma 4 2 5 4 2" xfId="785" xr:uid="{00000000-0005-0000-0000-00006D040000}"/>
    <cellStyle name="Comma 4 2 5 5" xfId="786" xr:uid="{00000000-0005-0000-0000-00006E040000}"/>
    <cellStyle name="Comma 4 2 5 6" xfId="787" xr:uid="{00000000-0005-0000-0000-00006F040000}"/>
    <cellStyle name="Comma 4 2 6" xfId="788" xr:uid="{00000000-0005-0000-0000-000070040000}"/>
    <cellStyle name="Comma 4 2 6 2" xfId="789" xr:uid="{00000000-0005-0000-0000-000071040000}"/>
    <cellStyle name="Comma 4 2 6 2 2" xfId="790" xr:uid="{00000000-0005-0000-0000-000072040000}"/>
    <cellStyle name="Comma 4 2 6 3" xfId="791" xr:uid="{00000000-0005-0000-0000-000073040000}"/>
    <cellStyle name="Comma 4 2 6 3 2" xfId="792" xr:uid="{00000000-0005-0000-0000-000074040000}"/>
    <cellStyle name="Comma 4 2 6 4" xfId="793" xr:uid="{00000000-0005-0000-0000-000075040000}"/>
    <cellStyle name="Comma 4 2 7" xfId="794" xr:uid="{00000000-0005-0000-0000-000076040000}"/>
    <cellStyle name="Comma 4 2 7 2" xfId="795" xr:uid="{00000000-0005-0000-0000-000077040000}"/>
    <cellStyle name="Comma 4 2 8" xfId="796" xr:uid="{00000000-0005-0000-0000-000078040000}"/>
    <cellStyle name="Comma 4 2 8 2" xfId="797" xr:uid="{00000000-0005-0000-0000-000079040000}"/>
    <cellStyle name="Comma 4 2 9" xfId="798" xr:uid="{00000000-0005-0000-0000-00007A040000}"/>
    <cellStyle name="Comma 4 3" xfId="799" xr:uid="{00000000-0005-0000-0000-00007B040000}"/>
    <cellStyle name="Comma 4 3 10" xfId="800" xr:uid="{00000000-0005-0000-0000-00007C040000}"/>
    <cellStyle name="Comma 4 3 2" xfId="801" xr:uid="{00000000-0005-0000-0000-00007D040000}"/>
    <cellStyle name="Comma 4 3 2 2" xfId="802" xr:uid="{00000000-0005-0000-0000-00007E040000}"/>
    <cellStyle name="Comma 4 3 2 2 2" xfId="803" xr:uid="{00000000-0005-0000-0000-00007F040000}"/>
    <cellStyle name="Comma 4 3 2 2 2 2" xfId="804" xr:uid="{00000000-0005-0000-0000-000080040000}"/>
    <cellStyle name="Comma 4 3 2 2 2 2 2" xfId="805" xr:uid="{00000000-0005-0000-0000-000081040000}"/>
    <cellStyle name="Comma 4 3 2 2 2 3" xfId="806" xr:uid="{00000000-0005-0000-0000-000082040000}"/>
    <cellStyle name="Comma 4 3 2 2 2 3 2" xfId="807" xr:uid="{00000000-0005-0000-0000-000083040000}"/>
    <cellStyle name="Comma 4 3 2 2 2 4" xfId="808" xr:uid="{00000000-0005-0000-0000-000084040000}"/>
    <cellStyle name="Comma 4 3 2 2 3" xfId="809" xr:uid="{00000000-0005-0000-0000-000085040000}"/>
    <cellStyle name="Comma 4 3 2 2 3 2" xfId="810" xr:uid="{00000000-0005-0000-0000-000086040000}"/>
    <cellStyle name="Comma 4 3 2 2 4" xfId="811" xr:uid="{00000000-0005-0000-0000-000087040000}"/>
    <cellStyle name="Comma 4 3 2 2 4 2" xfId="812" xr:uid="{00000000-0005-0000-0000-000088040000}"/>
    <cellStyle name="Comma 4 3 2 2 5" xfId="813" xr:uid="{00000000-0005-0000-0000-000089040000}"/>
    <cellStyle name="Comma 4 3 2 3" xfId="814" xr:uid="{00000000-0005-0000-0000-00008A040000}"/>
    <cellStyle name="Comma 4 3 2 3 2" xfId="815" xr:uid="{00000000-0005-0000-0000-00008B040000}"/>
    <cellStyle name="Comma 4 3 2 3 2 2" xfId="816" xr:uid="{00000000-0005-0000-0000-00008C040000}"/>
    <cellStyle name="Comma 4 3 2 3 3" xfId="817" xr:uid="{00000000-0005-0000-0000-00008D040000}"/>
    <cellStyle name="Comma 4 3 2 3 3 2" xfId="818" xr:uid="{00000000-0005-0000-0000-00008E040000}"/>
    <cellStyle name="Comma 4 3 2 3 4" xfId="819" xr:uid="{00000000-0005-0000-0000-00008F040000}"/>
    <cellStyle name="Comma 4 3 2 4" xfId="820" xr:uid="{00000000-0005-0000-0000-000090040000}"/>
    <cellStyle name="Comma 4 3 2 4 2" xfId="821" xr:uid="{00000000-0005-0000-0000-000091040000}"/>
    <cellStyle name="Comma 4 3 2 5" xfId="822" xr:uid="{00000000-0005-0000-0000-000092040000}"/>
    <cellStyle name="Comma 4 3 2 5 2" xfId="823" xr:uid="{00000000-0005-0000-0000-000093040000}"/>
    <cellStyle name="Comma 4 3 2 6" xfId="824" xr:uid="{00000000-0005-0000-0000-000094040000}"/>
    <cellStyle name="Comma 4 3 2 7" xfId="825" xr:uid="{00000000-0005-0000-0000-000095040000}"/>
    <cellStyle name="Comma 4 3 2 8" xfId="826" xr:uid="{00000000-0005-0000-0000-000096040000}"/>
    <cellStyle name="Comma 4 3 3" xfId="827" xr:uid="{00000000-0005-0000-0000-000097040000}"/>
    <cellStyle name="Comma 4 3 3 2" xfId="828" xr:uid="{00000000-0005-0000-0000-000098040000}"/>
    <cellStyle name="Comma 4 3 3 2 2" xfId="829" xr:uid="{00000000-0005-0000-0000-000099040000}"/>
    <cellStyle name="Comma 4 3 3 2 2 2" xfId="830" xr:uid="{00000000-0005-0000-0000-00009A040000}"/>
    <cellStyle name="Comma 4 3 3 2 2 2 2" xfId="831" xr:uid="{00000000-0005-0000-0000-00009B040000}"/>
    <cellStyle name="Comma 4 3 3 2 2 3" xfId="832" xr:uid="{00000000-0005-0000-0000-00009C040000}"/>
    <cellStyle name="Comma 4 3 3 2 2 3 2" xfId="833" xr:uid="{00000000-0005-0000-0000-00009D040000}"/>
    <cellStyle name="Comma 4 3 3 2 2 4" xfId="834" xr:uid="{00000000-0005-0000-0000-00009E040000}"/>
    <cellStyle name="Comma 4 3 3 2 3" xfId="835" xr:uid="{00000000-0005-0000-0000-00009F040000}"/>
    <cellStyle name="Comma 4 3 3 2 3 2" xfId="836" xr:uid="{00000000-0005-0000-0000-0000A0040000}"/>
    <cellStyle name="Comma 4 3 3 2 4" xfId="837" xr:uid="{00000000-0005-0000-0000-0000A1040000}"/>
    <cellStyle name="Comma 4 3 3 2 4 2" xfId="838" xr:uid="{00000000-0005-0000-0000-0000A2040000}"/>
    <cellStyle name="Comma 4 3 3 2 5" xfId="839" xr:uid="{00000000-0005-0000-0000-0000A3040000}"/>
    <cellStyle name="Comma 4 3 3 3" xfId="840" xr:uid="{00000000-0005-0000-0000-0000A4040000}"/>
    <cellStyle name="Comma 4 3 3 3 2" xfId="841" xr:uid="{00000000-0005-0000-0000-0000A5040000}"/>
    <cellStyle name="Comma 4 3 3 3 2 2" xfId="842" xr:uid="{00000000-0005-0000-0000-0000A6040000}"/>
    <cellStyle name="Comma 4 3 3 3 3" xfId="843" xr:uid="{00000000-0005-0000-0000-0000A7040000}"/>
    <cellStyle name="Comma 4 3 3 3 3 2" xfId="844" xr:uid="{00000000-0005-0000-0000-0000A8040000}"/>
    <cellStyle name="Comma 4 3 3 3 4" xfId="845" xr:uid="{00000000-0005-0000-0000-0000A9040000}"/>
    <cellStyle name="Comma 4 3 3 4" xfId="846" xr:uid="{00000000-0005-0000-0000-0000AA040000}"/>
    <cellStyle name="Comma 4 3 3 4 2" xfId="847" xr:uid="{00000000-0005-0000-0000-0000AB040000}"/>
    <cellStyle name="Comma 4 3 3 5" xfId="848" xr:uid="{00000000-0005-0000-0000-0000AC040000}"/>
    <cellStyle name="Comma 4 3 3 5 2" xfId="849" xr:uid="{00000000-0005-0000-0000-0000AD040000}"/>
    <cellStyle name="Comma 4 3 3 6" xfId="850" xr:uid="{00000000-0005-0000-0000-0000AE040000}"/>
    <cellStyle name="Comma 4 3 3 7" xfId="851" xr:uid="{00000000-0005-0000-0000-0000AF040000}"/>
    <cellStyle name="Comma 4 3 4" xfId="852" xr:uid="{00000000-0005-0000-0000-0000B0040000}"/>
    <cellStyle name="Comma 4 3 4 2" xfId="853" xr:uid="{00000000-0005-0000-0000-0000B1040000}"/>
    <cellStyle name="Comma 4 3 4 2 2" xfId="854" xr:uid="{00000000-0005-0000-0000-0000B2040000}"/>
    <cellStyle name="Comma 4 3 4 2 2 2" xfId="855" xr:uid="{00000000-0005-0000-0000-0000B3040000}"/>
    <cellStyle name="Comma 4 3 4 2 3" xfId="856" xr:uid="{00000000-0005-0000-0000-0000B4040000}"/>
    <cellStyle name="Comma 4 3 4 2 3 2" xfId="857" xr:uid="{00000000-0005-0000-0000-0000B5040000}"/>
    <cellStyle name="Comma 4 3 4 2 4" xfId="858" xr:uid="{00000000-0005-0000-0000-0000B6040000}"/>
    <cellStyle name="Comma 4 3 4 3" xfId="859" xr:uid="{00000000-0005-0000-0000-0000B7040000}"/>
    <cellStyle name="Comma 4 3 4 3 2" xfId="860" xr:uid="{00000000-0005-0000-0000-0000B8040000}"/>
    <cellStyle name="Comma 4 3 4 4" xfId="861" xr:uid="{00000000-0005-0000-0000-0000B9040000}"/>
    <cellStyle name="Comma 4 3 4 4 2" xfId="862" xr:uid="{00000000-0005-0000-0000-0000BA040000}"/>
    <cellStyle name="Comma 4 3 4 5" xfId="863" xr:uid="{00000000-0005-0000-0000-0000BB040000}"/>
    <cellStyle name="Comma 4 3 5" xfId="864" xr:uid="{00000000-0005-0000-0000-0000BC040000}"/>
    <cellStyle name="Comma 4 3 5 2" xfId="865" xr:uid="{00000000-0005-0000-0000-0000BD040000}"/>
    <cellStyle name="Comma 4 3 5 2 2" xfId="866" xr:uid="{00000000-0005-0000-0000-0000BE040000}"/>
    <cellStyle name="Comma 4 3 5 3" xfId="867" xr:uid="{00000000-0005-0000-0000-0000BF040000}"/>
    <cellStyle name="Comma 4 3 5 3 2" xfId="868" xr:uid="{00000000-0005-0000-0000-0000C0040000}"/>
    <cellStyle name="Comma 4 3 5 4" xfId="869" xr:uid="{00000000-0005-0000-0000-0000C1040000}"/>
    <cellStyle name="Comma 4 3 6" xfId="870" xr:uid="{00000000-0005-0000-0000-0000C2040000}"/>
    <cellStyle name="Comma 4 3 6 2" xfId="871" xr:uid="{00000000-0005-0000-0000-0000C3040000}"/>
    <cellStyle name="Comma 4 3 7" xfId="872" xr:uid="{00000000-0005-0000-0000-0000C4040000}"/>
    <cellStyle name="Comma 4 3 7 2" xfId="873" xr:uid="{00000000-0005-0000-0000-0000C5040000}"/>
    <cellStyle name="Comma 4 3 8" xfId="874" xr:uid="{00000000-0005-0000-0000-0000C6040000}"/>
    <cellStyle name="Comma 4 3 9" xfId="875" xr:uid="{00000000-0005-0000-0000-0000C7040000}"/>
    <cellStyle name="Comma 4 4" xfId="876" xr:uid="{00000000-0005-0000-0000-0000C8040000}"/>
    <cellStyle name="Comma 4 4 10" xfId="877" xr:uid="{00000000-0005-0000-0000-0000C9040000}"/>
    <cellStyle name="Comma 4 4 2" xfId="878" xr:uid="{00000000-0005-0000-0000-0000CA040000}"/>
    <cellStyle name="Comma 4 4 2 2" xfId="879" xr:uid="{00000000-0005-0000-0000-0000CB040000}"/>
    <cellStyle name="Comma 4 4 2 2 2" xfId="880" xr:uid="{00000000-0005-0000-0000-0000CC040000}"/>
    <cellStyle name="Comma 4 4 2 2 2 2" xfId="881" xr:uid="{00000000-0005-0000-0000-0000CD040000}"/>
    <cellStyle name="Comma 4 4 2 2 2 2 2" xfId="882" xr:uid="{00000000-0005-0000-0000-0000CE040000}"/>
    <cellStyle name="Comma 4 4 2 2 2 3" xfId="883" xr:uid="{00000000-0005-0000-0000-0000CF040000}"/>
    <cellStyle name="Comma 4 4 2 2 2 3 2" xfId="884" xr:uid="{00000000-0005-0000-0000-0000D0040000}"/>
    <cellStyle name="Comma 4 4 2 2 2 4" xfId="885" xr:uid="{00000000-0005-0000-0000-0000D1040000}"/>
    <cellStyle name="Comma 4 4 2 2 3" xfId="886" xr:uid="{00000000-0005-0000-0000-0000D2040000}"/>
    <cellStyle name="Comma 4 4 2 2 3 2" xfId="887" xr:uid="{00000000-0005-0000-0000-0000D3040000}"/>
    <cellStyle name="Comma 4 4 2 2 4" xfId="888" xr:uid="{00000000-0005-0000-0000-0000D4040000}"/>
    <cellStyle name="Comma 4 4 2 2 4 2" xfId="889" xr:uid="{00000000-0005-0000-0000-0000D5040000}"/>
    <cellStyle name="Comma 4 4 2 2 5" xfId="890" xr:uid="{00000000-0005-0000-0000-0000D6040000}"/>
    <cellStyle name="Comma 4 4 2 3" xfId="891" xr:uid="{00000000-0005-0000-0000-0000D7040000}"/>
    <cellStyle name="Comma 4 4 2 3 2" xfId="892" xr:uid="{00000000-0005-0000-0000-0000D8040000}"/>
    <cellStyle name="Comma 4 4 2 3 2 2" xfId="893" xr:uid="{00000000-0005-0000-0000-0000D9040000}"/>
    <cellStyle name="Comma 4 4 2 3 3" xfId="894" xr:uid="{00000000-0005-0000-0000-0000DA040000}"/>
    <cellStyle name="Comma 4 4 2 3 3 2" xfId="895" xr:uid="{00000000-0005-0000-0000-0000DB040000}"/>
    <cellStyle name="Comma 4 4 2 3 4" xfId="896" xr:uid="{00000000-0005-0000-0000-0000DC040000}"/>
    <cellStyle name="Comma 4 4 2 4" xfId="897" xr:uid="{00000000-0005-0000-0000-0000DD040000}"/>
    <cellStyle name="Comma 4 4 2 4 2" xfId="898" xr:uid="{00000000-0005-0000-0000-0000DE040000}"/>
    <cellStyle name="Comma 4 4 2 5" xfId="899" xr:uid="{00000000-0005-0000-0000-0000DF040000}"/>
    <cellStyle name="Comma 4 4 2 5 2" xfId="900" xr:uid="{00000000-0005-0000-0000-0000E0040000}"/>
    <cellStyle name="Comma 4 4 2 6" xfId="901" xr:uid="{00000000-0005-0000-0000-0000E1040000}"/>
    <cellStyle name="Comma 4 4 2 7" xfId="902" xr:uid="{00000000-0005-0000-0000-0000E2040000}"/>
    <cellStyle name="Comma 4 4 3" xfId="903" xr:uid="{00000000-0005-0000-0000-0000E3040000}"/>
    <cellStyle name="Comma 4 4 3 2" xfId="904" xr:uid="{00000000-0005-0000-0000-0000E4040000}"/>
    <cellStyle name="Comma 4 4 3 2 2" xfId="905" xr:uid="{00000000-0005-0000-0000-0000E5040000}"/>
    <cellStyle name="Comma 4 4 3 2 2 2" xfId="906" xr:uid="{00000000-0005-0000-0000-0000E6040000}"/>
    <cellStyle name="Comma 4 4 3 2 3" xfId="907" xr:uid="{00000000-0005-0000-0000-0000E7040000}"/>
    <cellStyle name="Comma 4 4 3 2 3 2" xfId="908" xr:uid="{00000000-0005-0000-0000-0000E8040000}"/>
    <cellStyle name="Comma 4 4 3 2 4" xfId="909" xr:uid="{00000000-0005-0000-0000-0000E9040000}"/>
    <cellStyle name="Comma 4 4 3 3" xfId="910" xr:uid="{00000000-0005-0000-0000-0000EA040000}"/>
    <cellStyle name="Comma 4 4 3 3 2" xfId="911" xr:uid="{00000000-0005-0000-0000-0000EB040000}"/>
    <cellStyle name="Comma 4 4 3 4" xfId="912" xr:uid="{00000000-0005-0000-0000-0000EC040000}"/>
    <cellStyle name="Comma 4 4 3 4 2" xfId="913" xr:uid="{00000000-0005-0000-0000-0000ED040000}"/>
    <cellStyle name="Comma 4 4 3 5" xfId="914" xr:uid="{00000000-0005-0000-0000-0000EE040000}"/>
    <cellStyle name="Comma 4 4 3 6" xfId="915" xr:uid="{00000000-0005-0000-0000-0000EF040000}"/>
    <cellStyle name="Comma 4 4 4" xfId="916" xr:uid="{00000000-0005-0000-0000-0000F0040000}"/>
    <cellStyle name="Comma 4 4 4 2" xfId="917" xr:uid="{00000000-0005-0000-0000-0000F1040000}"/>
    <cellStyle name="Comma 4 4 4 2 2" xfId="918" xr:uid="{00000000-0005-0000-0000-0000F2040000}"/>
    <cellStyle name="Comma 4 4 4 3" xfId="919" xr:uid="{00000000-0005-0000-0000-0000F3040000}"/>
    <cellStyle name="Comma 4 4 4 3 2" xfId="920" xr:uid="{00000000-0005-0000-0000-0000F4040000}"/>
    <cellStyle name="Comma 4 4 4 4" xfId="921" xr:uid="{00000000-0005-0000-0000-0000F5040000}"/>
    <cellStyle name="Comma 4 4 5" xfId="922" xr:uid="{00000000-0005-0000-0000-0000F6040000}"/>
    <cellStyle name="Comma 4 4 5 2" xfId="923" xr:uid="{00000000-0005-0000-0000-0000F7040000}"/>
    <cellStyle name="Comma 4 4 5 3" xfId="924" xr:uid="{00000000-0005-0000-0000-0000F8040000}"/>
    <cellStyle name="Comma 4 4 6" xfId="925" xr:uid="{00000000-0005-0000-0000-0000F9040000}"/>
    <cellStyle name="Comma 4 4 6 2" xfId="926" xr:uid="{00000000-0005-0000-0000-0000FA040000}"/>
    <cellStyle name="Comma 4 4 7" xfId="927" xr:uid="{00000000-0005-0000-0000-0000FB040000}"/>
    <cellStyle name="Comma 4 4 8" xfId="928" xr:uid="{00000000-0005-0000-0000-0000FC040000}"/>
    <cellStyle name="Comma 4 4 9" xfId="929" xr:uid="{00000000-0005-0000-0000-0000FD040000}"/>
    <cellStyle name="Comma 4 5" xfId="930" xr:uid="{00000000-0005-0000-0000-0000FE040000}"/>
    <cellStyle name="Comma 4 5 2" xfId="931" xr:uid="{00000000-0005-0000-0000-0000FF040000}"/>
    <cellStyle name="Comma 4 5 2 2" xfId="932" xr:uid="{00000000-0005-0000-0000-000000050000}"/>
    <cellStyle name="Comma 4 5 2 2 2" xfId="933" xr:uid="{00000000-0005-0000-0000-000001050000}"/>
    <cellStyle name="Comma 4 5 2 2 2 2" xfId="934" xr:uid="{00000000-0005-0000-0000-000002050000}"/>
    <cellStyle name="Comma 4 5 2 2 3" xfId="935" xr:uid="{00000000-0005-0000-0000-000003050000}"/>
    <cellStyle name="Comma 4 5 2 2 3 2" xfId="936" xr:uid="{00000000-0005-0000-0000-000004050000}"/>
    <cellStyle name="Comma 4 5 2 2 4" xfId="937" xr:uid="{00000000-0005-0000-0000-000005050000}"/>
    <cellStyle name="Comma 4 5 2 3" xfId="938" xr:uid="{00000000-0005-0000-0000-000006050000}"/>
    <cellStyle name="Comma 4 5 2 3 2" xfId="939" xr:uid="{00000000-0005-0000-0000-000007050000}"/>
    <cellStyle name="Comma 4 5 2 4" xfId="940" xr:uid="{00000000-0005-0000-0000-000008050000}"/>
    <cellStyle name="Comma 4 5 2 4 2" xfId="941" xr:uid="{00000000-0005-0000-0000-000009050000}"/>
    <cellStyle name="Comma 4 5 2 5" xfId="942" xr:uid="{00000000-0005-0000-0000-00000A050000}"/>
    <cellStyle name="Comma 4 5 2 6" xfId="943" xr:uid="{00000000-0005-0000-0000-00000B050000}"/>
    <cellStyle name="Comma 4 5 3" xfId="944" xr:uid="{00000000-0005-0000-0000-00000C050000}"/>
    <cellStyle name="Comma 4 5 3 2" xfId="945" xr:uid="{00000000-0005-0000-0000-00000D050000}"/>
    <cellStyle name="Comma 4 5 3 2 2" xfId="946" xr:uid="{00000000-0005-0000-0000-00000E050000}"/>
    <cellStyle name="Comma 4 5 3 3" xfId="947" xr:uid="{00000000-0005-0000-0000-00000F050000}"/>
    <cellStyle name="Comma 4 5 3 3 2" xfId="948" xr:uid="{00000000-0005-0000-0000-000010050000}"/>
    <cellStyle name="Comma 4 5 3 4" xfId="949" xr:uid="{00000000-0005-0000-0000-000011050000}"/>
    <cellStyle name="Comma 4 5 4" xfId="950" xr:uid="{00000000-0005-0000-0000-000012050000}"/>
    <cellStyle name="Comma 4 5 4 2" xfId="951" xr:uid="{00000000-0005-0000-0000-000013050000}"/>
    <cellStyle name="Comma 4 5 5" xfId="952" xr:uid="{00000000-0005-0000-0000-000014050000}"/>
    <cellStyle name="Comma 4 5 5 2" xfId="953" xr:uid="{00000000-0005-0000-0000-000015050000}"/>
    <cellStyle name="Comma 4 5 6" xfId="954" xr:uid="{00000000-0005-0000-0000-000016050000}"/>
    <cellStyle name="Comma 4 6" xfId="955" xr:uid="{00000000-0005-0000-0000-000017050000}"/>
    <cellStyle name="Comma 4 6 2" xfId="956" xr:uid="{00000000-0005-0000-0000-000018050000}"/>
    <cellStyle name="Comma 4 6 2 2" xfId="957" xr:uid="{00000000-0005-0000-0000-000019050000}"/>
    <cellStyle name="Comma 4 6 2 2 2" xfId="958" xr:uid="{00000000-0005-0000-0000-00001A050000}"/>
    <cellStyle name="Comma 4 6 2 3" xfId="959" xr:uid="{00000000-0005-0000-0000-00001B050000}"/>
    <cellStyle name="Comma 4 6 2 3 2" xfId="960" xr:uid="{00000000-0005-0000-0000-00001C050000}"/>
    <cellStyle name="Comma 4 6 2 4" xfId="961" xr:uid="{00000000-0005-0000-0000-00001D050000}"/>
    <cellStyle name="Comma 4 6 3" xfId="962" xr:uid="{00000000-0005-0000-0000-00001E050000}"/>
    <cellStyle name="Comma 4 6 3 2" xfId="963" xr:uid="{00000000-0005-0000-0000-00001F050000}"/>
    <cellStyle name="Comma 4 6 4" xfId="964" xr:uid="{00000000-0005-0000-0000-000020050000}"/>
    <cellStyle name="Comma 4 6 4 2" xfId="965" xr:uid="{00000000-0005-0000-0000-000021050000}"/>
    <cellStyle name="Comma 4 6 5" xfId="966" xr:uid="{00000000-0005-0000-0000-000022050000}"/>
    <cellStyle name="Comma 4 6 6" xfId="967" xr:uid="{00000000-0005-0000-0000-000023050000}"/>
    <cellStyle name="Comma 4 7" xfId="968" xr:uid="{00000000-0005-0000-0000-000024050000}"/>
    <cellStyle name="Comma 4 7 2" xfId="969" xr:uid="{00000000-0005-0000-0000-000025050000}"/>
    <cellStyle name="Comma 4 7 2 2" xfId="970" xr:uid="{00000000-0005-0000-0000-000026050000}"/>
    <cellStyle name="Comma 4 7 3" xfId="971" xr:uid="{00000000-0005-0000-0000-000027050000}"/>
    <cellStyle name="Comma 4 7 3 2" xfId="972" xr:uid="{00000000-0005-0000-0000-000028050000}"/>
    <cellStyle name="Comma 4 7 4" xfId="973" xr:uid="{00000000-0005-0000-0000-000029050000}"/>
    <cellStyle name="Comma 4 8" xfId="974" xr:uid="{00000000-0005-0000-0000-00002A050000}"/>
    <cellStyle name="Comma 4 8 2" xfId="975" xr:uid="{00000000-0005-0000-0000-00002B050000}"/>
    <cellStyle name="Comma 4 9" xfId="976" xr:uid="{00000000-0005-0000-0000-00002C050000}"/>
    <cellStyle name="Comma 4 9 2" xfId="977" xr:uid="{00000000-0005-0000-0000-00002D050000}"/>
    <cellStyle name="Comma 40" xfId="23048" xr:uid="{11806239-7C8E-41B1-A397-8D7A5DE000EE}"/>
    <cellStyle name="Comma 5" xfId="978" xr:uid="{00000000-0005-0000-0000-00002E050000}"/>
    <cellStyle name="Comma 5 10" xfId="979" xr:uid="{00000000-0005-0000-0000-00002F050000}"/>
    <cellStyle name="Comma 5 2" xfId="980" xr:uid="{00000000-0005-0000-0000-000030050000}"/>
    <cellStyle name="Comma 5 2 2" xfId="981" xr:uid="{00000000-0005-0000-0000-000031050000}"/>
    <cellStyle name="Comma 5 2 2 2" xfId="982" xr:uid="{00000000-0005-0000-0000-000032050000}"/>
    <cellStyle name="Comma 5 2 2 2 2" xfId="983" xr:uid="{00000000-0005-0000-0000-000033050000}"/>
    <cellStyle name="Comma 5 2 2 2 2 2" xfId="984" xr:uid="{00000000-0005-0000-0000-000034050000}"/>
    <cellStyle name="Comma 5 2 2 2 2 2 2" xfId="985" xr:uid="{00000000-0005-0000-0000-000035050000}"/>
    <cellStyle name="Comma 5 2 2 2 2 2 2 2" xfId="986" xr:uid="{00000000-0005-0000-0000-000036050000}"/>
    <cellStyle name="Comma 5 2 2 2 2 2 3" xfId="987" xr:uid="{00000000-0005-0000-0000-000037050000}"/>
    <cellStyle name="Comma 5 2 2 2 2 2 3 2" xfId="988" xr:uid="{00000000-0005-0000-0000-000038050000}"/>
    <cellStyle name="Comma 5 2 2 2 2 2 4" xfId="989" xr:uid="{00000000-0005-0000-0000-000039050000}"/>
    <cellStyle name="Comma 5 2 2 2 2 3" xfId="990" xr:uid="{00000000-0005-0000-0000-00003A050000}"/>
    <cellStyle name="Comma 5 2 2 2 2 3 2" xfId="991" xr:uid="{00000000-0005-0000-0000-00003B050000}"/>
    <cellStyle name="Comma 5 2 2 2 2 4" xfId="992" xr:uid="{00000000-0005-0000-0000-00003C050000}"/>
    <cellStyle name="Comma 5 2 2 2 2 4 2" xfId="993" xr:uid="{00000000-0005-0000-0000-00003D050000}"/>
    <cellStyle name="Comma 5 2 2 2 2 5" xfId="994" xr:uid="{00000000-0005-0000-0000-00003E050000}"/>
    <cellStyle name="Comma 5 2 2 2 3" xfId="995" xr:uid="{00000000-0005-0000-0000-00003F050000}"/>
    <cellStyle name="Comma 5 2 2 2 3 2" xfId="996" xr:uid="{00000000-0005-0000-0000-000040050000}"/>
    <cellStyle name="Comma 5 2 2 2 3 2 2" xfId="997" xr:uid="{00000000-0005-0000-0000-000041050000}"/>
    <cellStyle name="Comma 5 2 2 2 3 3" xfId="998" xr:uid="{00000000-0005-0000-0000-000042050000}"/>
    <cellStyle name="Comma 5 2 2 2 3 3 2" xfId="999" xr:uid="{00000000-0005-0000-0000-000043050000}"/>
    <cellStyle name="Comma 5 2 2 2 3 4" xfId="1000" xr:uid="{00000000-0005-0000-0000-000044050000}"/>
    <cellStyle name="Comma 5 2 2 2 4" xfId="1001" xr:uid="{00000000-0005-0000-0000-000045050000}"/>
    <cellStyle name="Comma 5 2 2 2 4 2" xfId="1002" xr:uid="{00000000-0005-0000-0000-000046050000}"/>
    <cellStyle name="Comma 5 2 2 2 5" xfId="1003" xr:uid="{00000000-0005-0000-0000-000047050000}"/>
    <cellStyle name="Comma 5 2 2 2 5 2" xfId="1004" xr:uid="{00000000-0005-0000-0000-000048050000}"/>
    <cellStyle name="Comma 5 2 2 2 6" xfId="1005" xr:uid="{00000000-0005-0000-0000-000049050000}"/>
    <cellStyle name="Comma 5 2 2 3" xfId="1006" xr:uid="{00000000-0005-0000-0000-00004A050000}"/>
    <cellStyle name="Comma 5 2 2 3 2" xfId="1007" xr:uid="{00000000-0005-0000-0000-00004B050000}"/>
    <cellStyle name="Comma 5 2 2 3 2 2" xfId="1008" xr:uid="{00000000-0005-0000-0000-00004C050000}"/>
    <cellStyle name="Comma 5 2 2 3 2 2 2" xfId="1009" xr:uid="{00000000-0005-0000-0000-00004D050000}"/>
    <cellStyle name="Comma 5 2 2 3 2 3" xfId="1010" xr:uid="{00000000-0005-0000-0000-00004E050000}"/>
    <cellStyle name="Comma 5 2 2 3 2 3 2" xfId="1011" xr:uid="{00000000-0005-0000-0000-00004F050000}"/>
    <cellStyle name="Comma 5 2 2 3 2 4" xfId="1012" xr:uid="{00000000-0005-0000-0000-000050050000}"/>
    <cellStyle name="Comma 5 2 2 3 3" xfId="1013" xr:uid="{00000000-0005-0000-0000-000051050000}"/>
    <cellStyle name="Comma 5 2 2 3 3 2" xfId="1014" xr:uid="{00000000-0005-0000-0000-000052050000}"/>
    <cellStyle name="Comma 5 2 2 3 4" xfId="1015" xr:uid="{00000000-0005-0000-0000-000053050000}"/>
    <cellStyle name="Comma 5 2 2 3 4 2" xfId="1016" xr:uid="{00000000-0005-0000-0000-000054050000}"/>
    <cellStyle name="Comma 5 2 2 3 5" xfId="1017" xr:uid="{00000000-0005-0000-0000-000055050000}"/>
    <cellStyle name="Comma 5 2 2 4" xfId="1018" xr:uid="{00000000-0005-0000-0000-000056050000}"/>
    <cellStyle name="Comma 5 2 2 4 2" xfId="1019" xr:uid="{00000000-0005-0000-0000-000057050000}"/>
    <cellStyle name="Comma 5 2 2 4 2 2" xfId="1020" xr:uid="{00000000-0005-0000-0000-000058050000}"/>
    <cellStyle name="Comma 5 2 2 4 3" xfId="1021" xr:uid="{00000000-0005-0000-0000-000059050000}"/>
    <cellStyle name="Comma 5 2 2 4 3 2" xfId="1022" xr:uid="{00000000-0005-0000-0000-00005A050000}"/>
    <cellStyle name="Comma 5 2 2 4 4" xfId="1023" xr:uid="{00000000-0005-0000-0000-00005B050000}"/>
    <cellStyle name="Comma 5 2 2 5" xfId="1024" xr:uid="{00000000-0005-0000-0000-00005C050000}"/>
    <cellStyle name="Comma 5 2 2 5 2" xfId="1025" xr:uid="{00000000-0005-0000-0000-00005D050000}"/>
    <cellStyle name="Comma 5 2 2 6" xfId="1026" xr:uid="{00000000-0005-0000-0000-00005E050000}"/>
    <cellStyle name="Comma 5 2 2 6 2" xfId="1027" xr:uid="{00000000-0005-0000-0000-00005F050000}"/>
    <cellStyle name="Comma 5 2 2 7" xfId="1028" xr:uid="{00000000-0005-0000-0000-000060050000}"/>
    <cellStyle name="Comma 5 2 2 8" xfId="1029" xr:uid="{00000000-0005-0000-0000-000061050000}"/>
    <cellStyle name="Comma 5 2 3" xfId="1030" xr:uid="{00000000-0005-0000-0000-000062050000}"/>
    <cellStyle name="Comma 5 2 3 2" xfId="1031" xr:uid="{00000000-0005-0000-0000-000063050000}"/>
    <cellStyle name="Comma 5 2 3 2 2" xfId="1032" xr:uid="{00000000-0005-0000-0000-000064050000}"/>
    <cellStyle name="Comma 5 2 3 2 2 2" xfId="1033" xr:uid="{00000000-0005-0000-0000-000065050000}"/>
    <cellStyle name="Comma 5 2 3 2 2 2 2" xfId="1034" xr:uid="{00000000-0005-0000-0000-000066050000}"/>
    <cellStyle name="Comma 5 2 3 2 2 3" xfId="1035" xr:uid="{00000000-0005-0000-0000-000067050000}"/>
    <cellStyle name="Comma 5 2 3 2 2 3 2" xfId="1036" xr:uid="{00000000-0005-0000-0000-000068050000}"/>
    <cellStyle name="Comma 5 2 3 2 2 4" xfId="1037" xr:uid="{00000000-0005-0000-0000-000069050000}"/>
    <cellStyle name="Comma 5 2 3 2 3" xfId="1038" xr:uid="{00000000-0005-0000-0000-00006A050000}"/>
    <cellStyle name="Comma 5 2 3 2 3 2" xfId="1039" xr:uid="{00000000-0005-0000-0000-00006B050000}"/>
    <cellStyle name="Comma 5 2 3 2 4" xfId="1040" xr:uid="{00000000-0005-0000-0000-00006C050000}"/>
    <cellStyle name="Comma 5 2 3 2 4 2" xfId="1041" xr:uid="{00000000-0005-0000-0000-00006D050000}"/>
    <cellStyle name="Comma 5 2 3 2 5" xfId="1042" xr:uid="{00000000-0005-0000-0000-00006E050000}"/>
    <cellStyle name="Comma 5 2 3 3" xfId="1043" xr:uid="{00000000-0005-0000-0000-00006F050000}"/>
    <cellStyle name="Comma 5 2 3 3 2" xfId="1044" xr:uid="{00000000-0005-0000-0000-000070050000}"/>
    <cellStyle name="Comma 5 2 3 3 2 2" xfId="1045" xr:uid="{00000000-0005-0000-0000-000071050000}"/>
    <cellStyle name="Comma 5 2 3 3 3" xfId="1046" xr:uid="{00000000-0005-0000-0000-000072050000}"/>
    <cellStyle name="Comma 5 2 3 3 3 2" xfId="1047" xr:uid="{00000000-0005-0000-0000-000073050000}"/>
    <cellStyle name="Comma 5 2 3 3 4" xfId="1048" xr:uid="{00000000-0005-0000-0000-000074050000}"/>
    <cellStyle name="Comma 5 2 3 4" xfId="1049" xr:uid="{00000000-0005-0000-0000-000075050000}"/>
    <cellStyle name="Comma 5 2 3 4 2" xfId="1050" xr:uid="{00000000-0005-0000-0000-000076050000}"/>
    <cellStyle name="Comma 5 2 3 5" xfId="1051" xr:uid="{00000000-0005-0000-0000-000077050000}"/>
    <cellStyle name="Comma 5 2 3 5 2" xfId="1052" xr:uid="{00000000-0005-0000-0000-000078050000}"/>
    <cellStyle name="Comma 5 2 3 6" xfId="1053" xr:uid="{00000000-0005-0000-0000-000079050000}"/>
    <cellStyle name="Comma 5 2 4" xfId="1054" xr:uid="{00000000-0005-0000-0000-00007A050000}"/>
    <cellStyle name="Comma 5 2 4 2" xfId="1055" xr:uid="{00000000-0005-0000-0000-00007B050000}"/>
    <cellStyle name="Comma 5 2 4 2 2" xfId="1056" xr:uid="{00000000-0005-0000-0000-00007C050000}"/>
    <cellStyle name="Comma 5 2 4 2 2 2" xfId="1057" xr:uid="{00000000-0005-0000-0000-00007D050000}"/>
    <cellStyle name="Comma 5 2 4 2 3" xfId="1058" xr:uid="{00000000-0005-0000-0000-00007E050000}"/>
    <cellStyle name="Comma 5 2 4 2 3 2" xfId="1059" xr:uid="{00000000-0005-0000-0000-00007F050000}"/>
    <cellStyle name="Comma 5 2 4 2 4" xfId="1060" xr:uid="{00000000-0005-0000-0000-000080050000}"/>
    <cellStyle name="Comma 5 2 4 3" xfId="1061" xr:uid="{00000000-0005-0000-0000-000081050000}"/>
    <cellStyle name="Comma 5 2 4 3 2" xfId="1062" xr:uid="{00000000-0005-0000-0000-000082050000}"/>
    <cellStyle name="Comma 5 2 4 4" xfId="1063" xr:uid="{00000000-0005-0000-0000-000083050000}"/>
    <cellStyle name="Comma 5 2 4 4 2" xfId="1064" xr:uid="{00000000-0005-0000-0000-000084050000}"/>
    <cellStyle name="Comma 5 2 4 5" xfId="1065" xr:uid="{00000000-0005-0000-0000-000085050000}"/>
    <cellStyle name="Comma 5 2 5" xfId="1066" xr:uid="{00000000-0005-0000-0000-000086050000}"/>
    <cellStyle name="Comma 5 2 5 2" xfId="1067" xr:uid="{00000000-0005-0000-0000-000087050000}"/>
    <cellStyle name="Comma 5 2 5 2 2" xfId="1068" xr:uid="{00000000-0005-0000-0000-000088050000}"/>
    <cellStyle name="Comma 5 2 5 3" xfId="1069" xr:uid="{00000000-0005-0000-0000-000089050000}"/>
    <cellStyle name="Comma 5 2 5 3 2" xfId="1070" xr:uid="{00000000-0005-0000-0000-00008A050000}"/>
    <cellStyle name="Comma 5 2 5 4" xfId="1071" xr:uid="{00000000-0005-0000-0000-00008B050000}"/>
    <cellStyle name="Comma 5 2 6" xfId="1072" xr:uid="{00000000-0005-0000-0000-00008C050000}"/>
    <cellStyle name="Comma 5 2 6 2" xfId="1073" xr:uid="{00000000-0005-0000-0000-00008D050000}"/>
    <cellStyle name="Comma 5 2 7" xfId="1074" xr:uid="{00000000-0005-0000-0000-00008E050000}"/>
    <cellStyle name="Comma 5 2 7 2" xfId="1075" xr:uid="{00000000-0005-0000-0000-00008F050000}"/>
    <cellStyle name="Comma 5 2 8" xfId="1076" xr:uid="{00000000-0005-0000-0000-000090050000}"/>
    <cellStyle name="Comma 5 2 9" xfId="1077" xr:uid="{00000000-0005-0000-0000-000091050000}"/>
    <cellStyle name="Comma 5 3" xfId="1078" xr:uid="{00000000-0005-0000-0000-000092050000}"/>
    <cellStyle name="Comma 5 3 2" xfId="1079" xr:uid="{00000000-0005-0000-0000-000093050000}"/>
    <cellStyle name="Comma 5 3 2 2" xfId="1080" xr:uid="{00000000-0005-0000-0000-000094050000}"/>
    <cellStyle name="Comma 5 3 2 2 2" xfId="1081" xr:uid="{00000000-0005-0000-0000-000095050000}"/>
    <cellStyle name="Comma 5 3 2 2 2 2" xfId="1082" xr:uid="{00000000-0005-0000-0000-000096050000}"/>
    <cellStyle name="Comma 5 3 2 2 2 2 2" xfId="1083" xr:uid="{00000000-0005-0000-0000-000097050000}"/>
    <cellStyle name="Comma 5 3 2 2 2 3" xfId="1084" xr:uid="{00000000-0005-0000-0000-000098050000}"/>
    <cellStyle name="Comma 5 3 2 2 2 3 2" xfId="1085" xr:uid="{00000000-0005-0000-0000-000099050000}"/>
    <cellStyle name="Comma 5 3 2 2 2 4" xfId="1086" xr:uid="{00000000-0005-0000-0000-00009A050000}"/>
    <cellStyle name="Comma 5 3 2 2 3" xfId="1087" xr:uid="{00000000-0005-0000-0000-00009B050000}"/>
    <cellStyle name="Comma 5 3 2 2 3 2" xfId="1088" xr:uid="{00000000-0005-0000-0000-00009C050000}"/>
    <cellStyle name="Comma 5 3 2 2 4" xfId="1089" xr:uid="{00000000-0005-0000-0000-00009D050000}"/>
    <cellStyle name="Comma 5 3 2 2 4 2" xfId="1090" xr:uid="{00000000-0005-0000-0000-00009E050000}"/>
    <cellStyle name="Comma 5 3 2 2 5" xfId="1091" xr:uid="{00000000-0005-0000-0000-00009F050000}"/>
    <cellStyle name="Comma 5 3 2 3" xfId="1092" xr:uid="{00000000-0005-0000-0000-0000A0050000}"/>
    <cellStyle name="Comma 5 3 2 3 2" xfId="1093" xr:uid="{00000000-0005-0000-0000-0000A1050000}"/>
    <cellStyle name="Comma 5 3 2 3 2 2" xfId="1094" xr:uid="{00000000-0005-0000-0000-0000A2050000}"/>
    <cellStyle name="Comma 5 3 2 3 3" xfId="1095" xr:uid="{00000000-0005-0000-0000-0000A3050000}"/>
    <cellStyle name="Comma 5 3 2 3 3 2" xfId="1096" xr:uid="{00000000-0005-0000-0000-0000A4050000}"/>
    <cellStyle name="Comma 5 3 2 3 4" xfId="1097" xr:uid="{00000000-0005-0000-0000-0000A5050000}"/>
    <cellStyle name="Comma 5 3 2 4" xfId="1098" xr:uid="{00000000-0005-0000-0000-0000A6050000}"/>
    <cellStyle name="Comma 5 3 2 4 2" xfId="1099" xr:uid="{00000000-0005-0000-0000-0000A7050000}"/>
    <cellStyle name="Comma 5 3 2 5" xfId="1100" xr:uid="{00000000-0005-0000-0000-0000A8050000}"/>
    <cellStyle name="Comma 5 3 2 5 2" xfId="1101" xr:uid="{00000000-0005-0000-0000-0000A9050000}"/>
    <cellStyle name="Comma 5 3 2 6" xfId="1102" xr:uid="{00000000-0005-0000-0000-0000AA050000}"/>
    <cellStyle name="Comma 5 3 3" xfId="1103" xr:uid="{00000000-0005-0000-0000-0000AB050000}"/>
    <cellStyle name="Comma 5 3 3 2" xfId="1104" xr:uid="{00000000-0005-0000-0000-0000AC050000}"/>
    <cellStyle name="Comma 5 3 3 2 2" xfId="1105" xr:uid="{00000000-0005-0000-0000-0000AD050000}"/>
    <cellStyle name="Comma 5 3 3 2 2 2" xfId="1106" xr:uid="{00000000-0005-0000-0000-0000AE050000}"/>
    <cellStyle name="Comma 5 3 3 2 3" xfId="1107" xr:uid="{00000000-0005-0000-0000-0000AF050000}"/>
    <cellStyle name="Comma 5 3 3 2 3 2" xfId="1108" xr:uid="{00000000-0005-0000-0000-0000B0050000}"/>
    <cellStyle name="Comma 5 3 3 2 4" xfId="1109" xr:uid="{00000000-0005-0000-0000-0000B1050000}"/>
    <cellStyle name="Comma 5 3 3 3" xfId="1110" xr:uid="{00000000-0005-0000-0000-0000B2050000}"/>
    <cellStyle name="Comma 5 3 3 3 2" xfId="1111" xr:uid="{00000000-0005-0000-0000-0000B3050000}"/>
    <cellStyle name="Comma 5 3 3 4" xfId="1112" xr:uid="{00000000-0005-0000-0000-0000B4050000}"/>
    <cellStyle name="Comma 5 3 3 4 2" xfId="1113" xr:uid="{00000000-0005-0000-0000-0000B5050000}"/>
    <cellStyle name="Comma 5 3 3 5" xfId="1114" xr:uid="{00000000-0005-0000-0000-0000B6050000}"/>
    <cellStyle name="Comma 5 3 4" xfId="1115" xr:uid="{00000000-0005-0000-0000-0000B7050000}"/>
    <cellStyle name="Comma 5 3 4 2" xfId="1116" xr:uid="{00000000-0005-0000-0000-0000B8050000}"/>
    <cellStyle name="Comma 5 3 4 2 2" xfId="1117" xr:uid="{00000000-0005-0000-0000-0000B9050000}"/>
    <cellStyle name="Comma 5 3 4 3" xfId="1118" xr:uid="{00000000-0005-0000-0000-0000BA050000}"/>
    <cellStyle name="Comma 5 3 4 3 2" xfId="1119" xr:uid="{00000000-0005-0000-0000-0000BB050000}"/>
    <cellStyle name="Comma 5 3 4 4" xfId="1120" xr:uid="{00000000-0005-0000-0000-0000BC050000}"/>
    <cellStyle name="Comma 5 3 5" xfId="1121" xr:uid="{00000000-0005-0000-0000-0000BD050000}"/>
    <cellStyle name="Comma 5 3 5 2" xfId="1122" xr:uid="{00000000-0005-0000-0000-0000BE050000}"/>
    <cellStyle name="Comma 5 3 6" xfId="1123" xr:uid="{00000000-0005-0000-0000-0000BF050000}"/>
    <cellStyle name="Comma 5 3 6 2" xfId="1124" xr:uid="{00000000-0005-0000-0000-0000C0050000}"/>
    <cellStyle name="Comma 5 3 7" xfId="1125" xr:uid="{00000000-0005-0000-0000-0000C1050000}"/>
    <cellStyle name="Comma 5 3 8" xfId="1126" xr:uid="{00000000-0005-0000-0000-0000C2050000}"/>
    <cellStyle name="Comma 5 4" xfId="1127" xr:uid="{00000000-0005-0000-0000-0000C3050000}"/>
    <cellStyle name="Comma 5 4 2" xfId="1128" xr:uid="{00000000-0005-0000-0000-0000C4050000}"/>
    <cellStyle name="Comma 5 4 2 2" xfId="1129" xr:uid="{00000000-0005-0000-0000-0000C5050000}"/>
    <cellStyle name="Comma 5 4 2 2 2" xfId="1130" xr:uid="{00000000-0005-0000-0000-0000C6050000}"/>
    <cellStyle name="Comma 5 4 2 2 2 2" xfId="1131" xr:uid="{00000000-0005-0000-0000-0000C7050000}"/>
    <cellStyle name="Comma 5 4 2 2 2 2 2" xfId="1132" xr:uid="{00000000-0005-0000-0000-0000C8050000}"/>
    <cellStyle name="Comma 5 4 2 2 2 3" xfId="1133" xr:uid="{00000000-0005-0000-0000-0000C9050000}"/>
    <cellStyle name="Comma 5 4 2 2 2 3 2" xfId="1134" xr:uid="{00000000-0005-0000-0000-0000CA050000}"/>
    <cellStyle name="Comma 5 4 2 2 2 4" xfId="1135" xr:uid="{00000000-0005-0000-0000-0000CB050000}"/>
    <cellStyle name="Comma 5 4 2 2 3" xfId="1136" xr:uid="{00000000-0005-0000-0000-0000CC050000}"/>
    <cellStyle name="Comma 5 4 2 2 3 2" xfId="1137" xr:uid="{00000000-0005-0000-0000-0000CD050000}"/>
    <cellStyle name="Comma 5 4 2 2 4" xfId="1138" xr:uid="{00000000-0005-0000-0000-0000CE050000}"/>
    <cellStyle name="Comma 5 4 2 2 4 2" xfId="1139" xr:uid="{00000000-0005-0000-0000-0000CF050000}"/>
    <cellStyle name="Comma 5 4 2 2 5" xfId="1140" xr:uid="{00000000-0005-0000-0000-0000D0050000}"/>
    <cellStyle name="Comma 5 4 2 3" xfId="1141" xr:uid="{00000000-0005-0000-0000-0000D1050000}"/>
    <cellStyle name="Comma 5 4 2 3 2" xfId="1142" xr:uid="{00000000-0005-0000-0000-0000D2050000}"/>
    <cellStyle name="Comma 5 4 2 3 2 2" xfId="1143" xr:uid="{00000000-0005-0000-0000-0000D3050000}"/>
    <cellStyle name="Comma 5 4 2 3 3" xfId="1144" xr:uid="{00000000-0005-0000-0000-0000D4050000}"/>
    <cellStyle name="Comma 5 4 2 3 3 2" xfId="1145" xr:uid="{00000000-0005-0000-0000-0000D5050000}"/>
    <cellStyle name="Comma 5 4 2 3 4" xfId="1146" xr:uid="{00000000-0005-0000-0000-0000D6050000}"/>
    <cellStyle name="Comma 5 4 2 4" xfId="1147" xr:uid="{00000000-0005-0000-0000-0000D7050000}"/>
    <cellStyle name="Comma 5 4 2 4 2" xfId="1148" xr:uid="{00000000-0005-0000-0000-0000D8050000}"/>
    <cellStyle name="Comma 5 4 2 5" xfId="1149" xr:uid="{00000000-0005-0000-0000-0000D9050000}"/>
    <cellStyle name="Comma 5 4 2 5 2" xfId="1150" xr:uid="{00000000-0005-0000-0000-0000DA050000}"/>
    <cellStyle name="Comma 5 4 2 6" xfId="1151" xr:uid="{00000000-0005-0000-0000-0000DB050000}"/>
    <cellStyle name="Comma 5 4 3" xfId="1152" xr:uid="{00000000-0005-0000-0000-0000DC050000}"/>
    <cellStyle name="Comma 5 4 3 2" xfId="1153" xr:uid="{00000000-0005-0000-0000-0000DD050000}"/>
    <cellStyle name="Comma 5 4 3 2 2" xfId="1154" xr:uid="{00000000-0005-0000-0000-0000DE050000}"/>
    <cellStyle name="Comma 5 4 3 2 2 2" xfId="1155" xr:uid="{00000000-0005-0000-0000-0000DF050000}"/>
    <cellStyle name="Comma 5 4 3 2 3" xfId="1156" xr:uid="{00000000-0005-0000-0000-0000E0050000}"/>
    <cellStyle name="Comma 5 4 3 2 3 2" xfId="1157" xr:uid="{00000000-0005-0000-0000-0000E1050000}"/>
    <cellStyle name="Comma 5 4 3 2 4" xfId="1158" xr:uid="{00000000-0005-0000-0000-0000E2050000}"/>
    <cellStyle name="Comma 5 4 3 3" xfId="1159" xr:uid="{00000000-0005-0000-0000-0000E3050000}"/>
    <cellStyle name="Comma 5 4 3 3 2" xfId="1160" xr:uid="{00000000-0005-0000-0000-0000E4050000}"/>
    <cellStyle name="Comma 5 4 3 4" xfId="1161" xr:uid="{00000000-0005-0000-0000-0000E5050000}"/>
    <cellStyle name="Comma 5 4 3 4 2" xfId="1162" xr:uid="{00000000-0005-0000-0000-0000E6050000}"/>
    <cellStyle name="Comma 5 4 3 5" xfId="1163" xr:uid="{00000000-0005-0000-0000-0000E7050000}"/>
    <cellStyle name="Comma 5 4 4" xfId="1164" xr:uid="{00000000-0005-0000-0000-0000E8050000}"/>
    <cellStyle name="Comma 5 4 4 2" xfId="1165" xr:uid="{00000000-0005-0000-0000-0000E9050000}"/>
    <cellStyle name="Comma 5 4 4 2 2" xfId="1166" xr:uid="{00000000-0005-0000-0000-0000EA050000}"/>
    <cellStyle name="Comma 5 4 4 3" xfId="1167" xr:uid="{00000000-0005-0000-0000-0000EB050000}"/>
    <cellStyle name="Comma 5 4 4 3 2" xfId="1168" xr:uid="{00000000-0005-0000-0000-0000EC050000}"/>
    <cellStyle name="Comma 5 4 4 4" xfId="1169" xr:uid="{00000000-0005-0000-0000-0000ED050000}"/>
    <cellStyle name="Comma 5 4 5" xfId="1170" xr:uid="{00000000-0005-0000-0000-0000EE050000}"/>
    <cellStyle name="Comma 5 4 5 2" xfId="1171" xr:uid="{00000000-0005-0000-0000-0000EF050000}"/>
    <cellStyle name="Comma 5 4 6" xfId="1172" xr:uid="{00000000-0005-0000-0000-0000F0050000}"/>
    <cellStyle name="Comma 5 4 6 2" xfId="1173" xr:uid="{00000000-0005-0000-0000-0000F1050000}"/>
    <cellStyle name="Comma 5 4 7" xfId="1174" xr:uid="{00000000-0005-0000-0000-0000F2050000}"/>
    <cellStyle name="Comma 5 5" xfId="1175" xr:uid="{00000000-0005-0000-0000-0000F3050000}"/>
    <cellStyle name="Comma 5 5 2" xfId="1176" xr:uid="{00000000-0005-0000-0000-0000F4050000}"/>
    <cellStyle name="Comma 5 5 2 2" xfId="1177" xr:uid="{00000000-0005-0000-0000-0000F5050000}"/>
    <cellStyle name="Comma 5 5 2 2 2" xfId="1178" xr:uid="{00000000-0005-0000-0000-0000F6050000}"/>
    <cellStyle name="Comma 5 5 2 2 2 2" xfId="1179" xr:uid="{00000000-0005-0000-0000-0000F7050000}"/>
    <cellStyle name="Comma 5 5 2 2 3" xfId="1180" xr:uid="{00000000-0005-0000-0000-0000F8050000}"/>
    <cellStyle name="Comma 5 5 2 2 3 2" xfId="1181" xr:uid="{00000000-0005-0000-0000-0000F9050000}"/>
    <cellStyle name="Comma 5 5 2 2 4" xfId="1182" xr:uid="{00000000-0005-0000-0000-0000FA050000}"/>
    <cellStyle name="Comma 5 5 2 3" xfId="1183" xr:uid="{00000000-0005-0000-0000-0000FB050000}"/>
    <cellStyle name="Comma 5 5 2 3 2" xfId="1184" xr:uid="{00000000-0005-0000-0000-0000FC050000}"/>
    <cellStyle name="Comma 5 5 2 4" xfId="1185" xr:uid="{00000000-0005-0000-0000-0000FD050000}"/>
    <cellStyle name="Comma 5 5 2 4 2" xfId="1186" xr:uid="{00000000-0005-0000-0000-0000FE050000}"/>
    <cellStyle name="Comma 5 5 2 5" xfId="1187" xr:uid="{00000000-0005-0000-0000-0000FF050000}"/>
    <cellStyle name="Comma 5 5 3" xfId="1188" xr:uid="{00000000-0005-0000-0000-000000060000}"/>
    <cellStyle name="Comma 5 5 3 2" xfId="1189" xr:uid="{00000000-0005-0000-0000-000001060000}"/>
    <cellStyle name="Comma 5 5 3 2 2" xfId="1190" xr:uid="{00000000-0005-0000-0000-000002060000}"/>
    <cellStyle name="Comma 5 5 3 3" xfId="1191" xr:uid="{00000000-0005-0000-0000-000003060000}"/>
    <cellStyle name="Comma 5 5 3 3 2" xfId="1192" xr:uid="{00000000-0005-0000-0000-000004060000}"/>
    <cellStyle name="Comma 5 5 3 4" xfId="1193" xr:uid="{00000000-0005-0000-0000-000005060000}"/>
    <cellStyle name="Comma 5 5 4" xfId="1194" xr:uid="{00000000-0005-0000-0000-000006060000}"/>
    <cellStyle name="Comma 5 5 4 2" xfId="1195" xr:uid="{00000000-0005-0000-0000-000007060000}"/>
    <cellStyle name="Comma 5 5 5" xfId="1196" xr:uid="{00000000-0005-0000-0000-000008060000}"/>
    <cellStyle name="Comma 5 5 5 2" xfId="1197" xr:uid="{00000000-0005-0000-0000-000009060000}"/>
    <cellStyle name="Comma 5 5 6" xfId="1198" xr:uid="{00000000-0005-0000-0000-00000A060000}"/>
    <cellStyle name="Comma 5 6" xfId="1199" xr:uid="{00000000-0005-0000-0000-00000B060000}"/>
    <cellStyle name="Comma 5 6 2" xfId="1200" xr:uid="{00000000-0005-0000-0000-00000C060000}"/>
    <cellStyle name="Comma 5 6 2 2" xfId="1201" xr:uid="{00000000-0005-0000-0000-00000D060000}"/>
    <cellStyle name="Comma 5 6 2 2 2" xfId="1202" xr:uid="{00000000-0005-0000-0000-00000E060000}"/>
    <cellStyle name="Comma 5 6 2 3" xfId="1203" xr:uid="{00000000-0005-0000-0000-00000F060000}"/>
    <cellStyle name="Comma 5 6 2 3 2" xfId="1204" xr:uid="{00000000-0005-0000-0000-000010060000}"/>
    <cellStyle name="Comma 5 6 2 4" xfId="1205" xr:uid="{00000000-0005-0000-0000-000011060000}"/>
    <cellStyle name="Comma 5 6 3" xfId="1206" xr:uid="{00000000-0005-0000-0000-000012060000}"/>
    <cellStyle name="Comma 5 6 3 2" xfId="1207" xr:uid="{00000000-0005-0000-0000-000013060000}"/>
    <cellStyle name="Comma 5 6 4" xfId="1208" xr:uid="{00000000-0005-0000-0000-000014060000}"/>
    <cellStyle name="Comma 5 6 4 2" xfId="1209" xr:uid="{00000000-0005-0000-0000-000015060000}"/>
    <cellStyle name="Comma 5 6 5" xfId="1210" xr:uid="{00000000-0005-0000-0000-000016060000}"/>
    <cellStyle name="Comma 5 7" xfId="1211" xr:uid="{00000000-0005-0000-0000-000017060000}"/>
    <cellStyle name="Comma 5 7 2" xfId="1212" xr:uid="{00000000-0005-0000-0000-000018060000}"/>
    <cellStyle name="Comma 5 7 2 2" xfId="1213" xr:uid="{00000000-0005-0000-0000-000019060000}"/>
    <cellStyle name="Comma 5 7 3" xfId="1214" xr:uid="{00000000-0005-0000-0000-00001A060000}"/>
    <cellStyle name="Comma 5 7 3 2" xfId="1215" xr:uid="{00000000-0005-0000-0000-00001B060000}"/>
    <cellStyle name="Comma 5 7 4" xfId="1216" xr:uid="{00000000-0005-0000-0000-00001C060000}"/>
    <cellStyle name="Comma 5 8" xfId="1217" xr:uid="{00000000-0005-0000-0000-00001D060000}"/>
    <cellStyle name="Comma 5 8 2" xfId="1218" xr:uid="{00000000-0005-0000-0000-00001E060000}"/>
    <cellStyle name="Comma 5 9" xfId="1219" xr:uid="{00000000-0005-0000-0000-00001F060000}"/>
    <cellStyle name="Comma 5 9 2" xfId="1220" xr:uid="{00000000-0005-0000-0000-000020060000}"/>
    <cellStyle name="Comma 6" xfId="1221" xr:uid="{00000000-0005-0000-0000-000021060000}"/>
    <cellStyle name="Comma 6 10" xfId="1222" xr:uid="{00000000-0005-0000-0000-000022060000}"/>
    <cellStyle name="Comma 6 2" xfId="1223" xr:uid="{00000000-0005-0000-0000-000023060000}"/>
    <cellStyle name="Comma 6 2 2" xfId="1224" xr:uid="{00000000-0005-0000-0000-000024060000}"/>
    <cellStyle name="Comma 6 2 2 2" xfId="1225" xr:uid="{00000000-0005-0000-0000-000025060000}"/>
    <cellStyle name="Comma 6 2 2 2 2" xfId="1226" xr:uid="{00000000-0005-0000-0000-000026060000}"/>
    <cellStyle name="Comma 6 2 2 2 2 2" xfId="1227" xr:uid="{00000000-0005-0000-0000-000027060000}"/>
    <cellStyle name="Comma 6 2 2 2 2 2 2" xfId="1228" xr:uid="{00000000-0005-0000-0000-000028060000}"/>
    <cellStyle name="Comma 6 2 2 2 2 2 2 2" xfId="1229" xr:uid="{00000000-0005-0000-0000-000029060000}"/>
    <cellStyle name="Comma 6 2 2 2 2 2 3" xfId="1230" xr:uid="{00000000-0005-0000-0000-00002A060000}"/>
    <cellStyle name="Comma 6 2 2 2 2 2 3 2" xfId="1231" xr:uid="{00000000-0005-0000-0000-00002B060000}"/>
    <cellStyle name="Comma 6 2 2 2 2 2 4" xfId="1232" xr:uid="{00000000-0005-0000-0000-00002C060000}"/>
    <cellStyle name="Comma 6 2 2 2 2 3" xfId="1233" xr:uid="{00000000-0005-0000-0000-00002D060000}"/>
    <cellStyle name="Comma 6 2 2 2 2 3 2" xfId="1234" xr:uid="{00000000-0005-0000-0000-00002E060000}"/>
    <cellStyle name="Comma 6 2 2 2 2 4" xfId="1235" xr:uid="{00000000-0005-0000-0000-00002F060000}"/>
    <cellStyle name="Comma 6 2 2 2 2 4 2" xfId="1236" xr:uid="{00000000-0005-0000-0000-000030060000}"/>
    <cellStyle name="Comma 6 2 2 2 2 5" xfId="1237" xr:uid="{00000000-0005-0000-0000-000031060000}"/>
    <cellStyle name="Comma 6 2 2 2 3" xfId="1238" xr:uid="{00000000-0005-0000-0000-000032060000}"/>
    <cellStyle name="Comma 6 2 2 2 3 2" xfId="1239" xr:uid="{00000000-0005-0000-0000-000033060000}"/>
    <cellStyle name="Comma 6 2 2 2 3 2 2" xfId="1240" xr:uid="{00000000-0005-0000-0000-000034060000}"/>
    <cellStyle name="Comma 6 2 2 2 3 3" xfId="1241" xr:uid="{00000000-0005-0000-0000-000035060000}"/>
    <cellStyle name="Comma 6 2 2 2 3 3 2" xfId="1242" xr:uid="{00000000-0005-0000-0000-000036060000}"/>
    <cellStyle name="Comma 6 2 2 2 3 4" xfId="1243" xr:uid="{00000000-0005-0000-0000-000037060000}"/>
    <cellStyle name="Comma 6 2 2 2 4" xfId="1244" xr:uid="{00000000-0005-0000-0000-000038060000}"/>
    <cellStyle name="Comma 6 2 2 2 4 2" xfId="1245" xr:uid="{00000000-0005-0000-0000-000039060000}"/>
    <cellStyle name="Comma 6 2 2 2 5" xfId="1246" xr:uid="{00000000-0005-0000-0000-00003A060000}"/>
    <cellStyle name="Comma 6 2 2 2 5 2" xfId="1247" xr:uid="{00000000-0005-0000-0000-00003B060000}"/>
    <cellStyle name="Comma 6 2 2 2 6" xfId="1248" xr:uid="{00000000-0005-0000-0000-00003C060000}"/>
    <cellStyle name="Comma 6 2 2 3" xfId="1249" xr:uid="{00000000-0005-0000-0000-00003D060000}"/>
    <cellStyle name="Comma 6 2 2 3 2" xfId="1250" xr:uid="{00000000-0005-0000-0000-00003E060000}"/>
    <cellStyle name="Comma 6 2 2 3 2 2" xfId="1251" xr:uid="{00000000-0005-0000-0000-00003F060000}"/>
    <cellStyle name="Comma 6 2 2 3 2 2 2" xfId="1252" xr:uid="{00000000-0005-0000-0000-000040060000}"/>
    <cellStyle name="Comma 6 2 2 3 2 3" xfId="1253" xr:uid="{00000000-0005-0000-0000-000041060000}"/>
    <cellStyle name="Comma 6 2 2 3 2 3 2" xfId="1254" xr:uid="{00000000-0005-0000-0000-000042060000}"/>
    <cellStyle name="Comma 6 2 2 3 2 4" xfId="1255" xr:uid="{00000000-0005-0000-0000-000043060000}"/>
    <cellStyle name="Comma 6 2 2 3 3" xfId="1256" xr:uid="{00000000-0005-0000-0000-000044060000}"/>
    <cellStyle name="Comma 6 2 2 3 3 2" xfId="1257" xr:uid="{00000000-0005-0000-0000-000045060000}"/>
    <cellStyle name="Comma 6 2 2 3 4" xfId="1258" xr:uid="{00000000-0005-0000-0000-000046060000}"/>
    <cellStyle name="Comma 6 2 2 3 4 2" xfId="1259" xr:uid="{00000000-0005-0000-0000-000047060000}"/>
    <cellStyle name="Comma 6 2 2 3 5" xfId="1260" xr:uid="{00000000-0005-0000-0000-000048060000}"/>
    <cellStyle name="Comma 6 2 2 4" xfId="1261" xr:uid="{00000000-0005-0000-0000-000049060000}"/>
    <cellStyle name="Comma 6 2 2 4 2" xfId="1262" xr:uid="{00000000-0005-0000-0000-00004A060000}"/>
    <cellStyle name="Comma 6 2 2 4 2 2" xfId="1263" xr:uid="{00000000-0005-0000-0000-00004B060000}"/>
    <cellStyle name="Comma 6 2 2 4 3" xfId="1264" xr:uid="{00000000-0005-0000-0000-00004C060000}"/>
    <cellStyle name="Comma 6 2 2 4 3 2" xfId="1265" xr:uid="{00000000-0005-0000-0000-00004D060000}"/>
    <cellStyle name="Comma 6 2 2 4 4" xfId="1266" xr:uid="{00000000-0005-0000-0000-00004E060000}"/>
    <cellStyle name="Comma 6 2 2 5" xfId="1267" xr:uid="{00000000-0005-0000-0000-00004F060000}"/>
    <cellStyle name="Comma 6 2 2 5 2" xfId="1268" xr:uid="{00000000-0005-0000-0000-000050060000}"/>
    <cellStyle name="Comma 6 2 2 6" xfId="1269" xr:uid="{00000000-0005-0000-0000-000051060000}"/>
    <cellStyle name="Comma 6 2 2 6 2" xfId="1270" xr:uid="{00000000-0005-0000-0000-000052060000}"/>
    <cellStyle name="Comma 6 2 2 7" xfId="1271" xr:uid="{00000000-0005-0000-0000-000053060000}"/>
    <cellStyle name="Comma 6 2 3" xfId="1272" xr:uid="{00000000-0005-0000-0000-000054060000}"/>
    <cellStyle name="Comma 6 2 3 2" xfId="1273" xr:uid="{00000000-0005-0000-0000-000055060000}"/>
    <cellStyle name="Comma 6 2 3 2 2" xfId="1274" xr:uid="{00000000-0005-0000-0000-000056060000}"/>
    <cellStyle name="Comma 6 2 3 2 2 2" xfId="1275" xr:uid="{00000000-0005-0000-0000-000057060000}"/>
    <cellStyle name="Comma 6 2 3 2 2 2 2" xfId="1276" xr:uid="{00000000-0005-0000-0000-000058060000}"/>
    <cellStyle name="Comma 6 2 3 2 2 3" xfId="1277" xr:uid="{00000000-0005-0000-0000-000059060000}"/>
    <cellStyle name="Comma 6 2 3 2 2 3 2" xfId="1278" xr:uid="{00000000-0005-0000-0000-00005A060000}"/>
    <cellStyle name="Comma 6 2 3 2 2 4" xfId="1279" xr:uid="{00000000-0005-0000-0000-00005B060000}"/>
    <cellStyle name="Comma 6 2 3 2 3" xfId="1280" xr:uid="{00000000-0005-0000-0000-00005C060000}"/>
    <cellStyle name="Comma 6 2 3 2 3 2" xfId="1281" xr:uid="{00000000-0005-0000-0000-00005D060000}"/>
    <cellStyle name="Comma 6 2 3 2 4" xfId="1282" xr:uid="{00000000-0005-0000-0000-00005E060000}"/>
    <cellStyle name="Comma 6 2 3 2 4 2" xfId="1283" xr:uid="{00000000-0005-0000-0000-00005F060000}"/>
    <cellStyle name="Comma 6 2 3 2 5" xfId="1284" xr:uid="{00000000-0005-0000-0000-000060060000}"/>
    <cellStyle name="Comma 6 2 3 3" xfId="1285" xr:uid="{00000000-0005-0000-0000-000061060000}"/>
    <cellStyle name="Comma 6 2 3 3 2" xfId="1286" xr:uid="{00000000-0005-0000-0000-000062060000}"/>
    <cellStyle name="Comma 6 2 3 3 2 2" xfId="1287" xr:uid="{00000000-0005-0000-0000-000063060000}"/>
    <cellStyle name="Comma 6 2 3 3 3" xfId="1288" xr:uid="{00000000-0005-0000-0000-000064060000}"/>
    <cellStyle name="Comma 6 2 3 3 3 2" xfId="1289" xr:uid="{00000000-0005-0000-0000-000065060000}"/>
    <cellStyle name="Comma 6 2 3 3 4" xfId="1290" xr:uid="{00000000-0005-0000-0000-000066060000}"/>
    <cellStyle name="Comma 6 2 3 4" xfId="1291" xr:uid="{00000000-0005-0000-0000-000067060000}"/>
    <cellStyle name="Comma 6 2 3 4 2" xfId="1292" xr:uid="{00000000-0005-0000-0000-000068060000}"/>
    <cellStyle name="Comma 6 2 3 5" xfId="1293" xr:uid="{00000000-0005-0000-0000-000069060000}"/>
    <cellStyle name="Comma 6 2 3 5 2" xfId="1294" xr:uid="{00000000-0005-0000-0000-00006A060000}"/>
    <cellStyle name="Comma 6 2 3 6" xfId="1295" xr:uid="{00000000-0005-0000-0000-00006B060000}"/>
    <cellStyle name="Comma 6 2 4" xfId="1296" xr:uid="{00000000-0005-0000-0000-00006C060000}"/>
    <cellStyle name="Comma 6 2 4 2" xfId="1297" xr:uid="{00000000-0005-0000-0000-00006D060000}"/>
    <cellStyle name="Comma 6 2 4 2 2" xfId="1298" xr:uid="{00000000-0005-0000-0000-00006E060000}"/>
    <cellStyle name="Comma 6 2 4 2 2 2" xfId="1299" xr:uid="{00000000-0005-0000-0000-00006F060000}"/>
    <cellStyle name="Comma 6 2 4 2 3" xfId="1300" xr:uid="{00000000-0005-0000-0000-000070060000}"/>
    <cellStyle name="Comma 6 2 4 2 3 2" xfId="1301" xr:uid="{00000000-0005-0000-0000-000071060000}"/>
    <cellStyle name="Comma 6 2 4 2 4" xfId="1302" xr:uid="{00000000-0005-0000-0000-000072060000}"/>
    <cellStyle name="Comma 6 2 4 3" xfId="1303" xr:uid="{00000000-0005-0000-0000-000073060000}"/>
    <cellStyle name="Comma 6 2 4 3 2" xfId="1304" xr:uid="{00000000-0005-0000-0000-000074060000}"/>
    <cellStyle name="Comma 6 2 4 4" xfId="1305" xr:uid="{00000000-0005-0000-0000-000075060000}"/>
    <cellStyle name="Comma 6 2 4 4 2" xfId="1306" xr:uid="{00000000-0005-0000-0000-000076060000}"/>
    <cellStyle name="Comma 6 2 4 5" xfId="1307" xr:uid="{00000000-0005-0000-0000-000077060000}"/>
    <cellStyle name="Comma 6 2 5" xfId="1308" xr:uid="{00000000-0005-0000-0000-000078060000}"/>
    <cellStyle name="Comma 6 2 5 2" xfId="1309" xr:uid="{00000000-0005-0000-0000-000079060000}"/>
    <cellStyle name="Comma 6 2 5 2 2" xfId="1310" xr:uid="{00000000-0005-0000-0000-00007A060000}"/>
    <cellStyle name="Comma 6 2 5 3" xfId="1311" xr:uid="{00000000-0005-0000-0000-00007B060000}"/>
    <cellStyle name="Comma 6 2 5 3 2" xfId="1312" xr:uid="{00000000-0005-0000-0000-00007C060000}"/>
    <cellStyle name="Comma 6 2 5 4" xfId="1313" xr:uid="{00000000-0005-0000-0000-00007D060000}"/>
    <cellStyle name="Comma 6 2 6" xfId="1314" xr:uid="{00000000-0005-0000-0000-00007E060000}"/>
    <cellStyle name="Comma 6 2 6 2" xfId="1315" xr:uid="{00000000-0005-0000-0000-00007F060000}"/>
    <cellStyle name="Comma 6 2 7" xfId="1316" xr:uid="{00000000-0005-0000-0000-000080060000}"/>
    <cellStyle name="Comma 6 2 7 2" xfId="1317" xr:uid="{00000000-0005-0000-0000-000081060000}"/>
    <cellStyle name="Comma 6 2 8" xfId="1318" xr:uid="{00000000-0005-0000-0000-000082060000}"/>
    <cellStyle name="Comma 6 3" xfId="1319" xr:uid="{00000000-0005-0000-0000-000083060000}"/>
    <cellStyle name="Comma 6 3 2" xfId="1320" xr:uid="{00000000-0005-0000-0000-000084060000}"/>
    <cellStyle name="Comma 6 3 2 2" xfId="1321" xr:uid="{00000000-0005-0000-0000-000085060000}"/>
    <cellStyle name="Comma 6 3 2 2 2" xfId="1322" xr:uid="{00000000-0005-0000-0000-000086060000}"/>
    <cellStyle name="Comma 6 3 2 2 2 2" xfId="1323" xr:uid="{00000000-0005-0000-0000-000087060000}"/>
    <cellStyle name="Comma 6 3 2 2 2 2 2" xfId="1324" xr:uid="{00000000-0005-0000-0000-000088060000}"/>
    <cellStyle name="Comma 6 3 2 2 2 3" xfId="1325" xr:uid="{00000000-0005-0000-0000-000089060000}"/>
    <cellStyle name="Comma 6 3 2 2 2 3 2" xfId="1326" xr:uid="{00000000-0005-0000-0000-00008A060000}"/>
    <cellStyle name="Comma 6 3 2 2 2 4" xfId="1327" xr:uid="{00000000-0005-0000-0000-00008B060000}"/>
    <cellStyle name="Comma 6 3 2 2 3" xfId="1328" xr:uid="{00000000-0005-0000-0000-00008C060000}"/>
    <cellStyle name="Comma 6 3 2 2 3 2" xfId="1329" xr:uid="{00000000-0005-0000-0000-00008D060000}"/>
    <cellStyle name="Comma 6 3 2 2 4" xfId="1330" xr:uid="{00000000-0005-0000-0000-00008E060000}"/>
    <cellStyle name="Comma 6 3 2 2 4 2" xfId="1331" xr:uid="{00000000-0005-0000-0000-00008F060000}"/>
    <cellStyle name="Comma 6 3 2 2 5" xfId="1332" xr:uid="{00000000-0005-0000-0000-000090060000}"/>
    <cellStyle name="Comma 6 3 2 3" xfId="1333" xr:uid="{00000000-0005-0000-0000-000091060000}"/>
    <cellStyle name="Comma 6 3 2 3 2" xfId="1334" xr:uid="{00000000-0005-0000-0000-000092060000}"/>
    <cellStyle name="Comma 6 3 2 3 2 2" xfId="1335" xr:uid="{00000000-0005-0000-0000-000093060000}"/>
    <cellStyle name="Comma 6 3 2 3 3" xfId="1336" xr:uid="{00000000-0005-0000-0000-000094060000}"/>
    <cellStyle name="Comma 6 3 2 3 3 2" xfId="1337" xr:uid="{00000000-0005-0000-0000-000095060000}"/>
    <cellStyle name="Comma 6 3 2 3 4" xfId="1338" xr:uid="{00000000-0005-0000-0000-000096060000}"/>
    <cellStyle name="Comma 6 3 2 4" xfId="1339" xr:uid="{00000000-0005-0000-0000-000097060000}"/>
    <cellStyle name="Comma 6 3 2 4 2" xfId="1340" xr:uid="{00000000-0005-0000-0000-000098060000}"/>
    <cellStyle name="Comma 6 3 2 5" xfId="1341" xr:uid="{00000000-0005-0000-0000-000099060000}"/>
    <cellStyle name="Comma 6 3 2 5 2" xfId="1342" xr:uid="{00000000-0005-0000-0000-00009A060000}"/>
    <cellStyle name="Comma 6 3 2 6" xfId="1343" xr:uid="{00000000-0005-0000-0000-00009B060000}"/>
    <cellStyle name="Comma 6 3 3" xfId="1344" xr:uid="{00000000-0005-0000-0000-00009C060000}"/>
    <cellStyle name="Comma 6 3 3 2" xfId="1345" xr:uid="{00000000-0005-0000-0000-00009D060000}"/>
    <cellStyle name="Comma 6 3 3 2 2" xfId="1346" xr:uid="{00000000-0005-0000-0000-00009E060000}"/>
    <cellStyle name="Comma 6 3 3 2 2 2" xfId="1347" xr:uid="{00000000-0005-0000-0000-00009F060000}"/>
    <cellStyle name="Comma 6 3 3 2 3" xfId="1348" xr:uid="{00000000-0005-0000-0000-0000A0060000}"/>
    <cellStyle name="Comma 6 3 3 2 3 2" xfId="1349" xr:uid="{00000000-0005-0000-0000-0000A1060000}"/>
    <cellStyle name="Comma 6 3 3 2 4" xfId="1350" xr:uid="{00000000-0005-0000-0000-0000A2060000}"/>
    <cellStyle name="Comma 6 3 3 3" xfId="1351" xr:uid="{00000000-0005-0000-0000-0000A3060000}"/>
    <cellStyle name="Comma 6 3 3 3 2" xfId="1352" xr:uid="{00000000-0005-0000-0000-0000A4060000}"/>
    <cellStyle name="Comma 6 3 3 4" xfId="1353" xr:uid="{00000000-0005-0000-0000-0000A5060000}"/>
    <cellStyle name="Comma 6 3 3 4 2" xfId="1354" xr:uid="{00000000-0005-0000-0000-0000A6060000}"/>
    <cellStyle name="Comma 6 3 3 5" xfId="1355" xr:uid="{00000000-0005-0000-0000-0000A7060000}"/>
    <cellStyle name="Comma 6 3 4" xfId="1356" xr:uid="{00000000-0005-0000-0000-0000A8060000}"/>
    <cellStyle name="Comma 6 3 4 2" xfId="1357" xr:uid="{00000000-0005-0000-0000-0000A9060000}"/>
    <cellStyle name="Comma 6 3 4 2 2" xfId="1358" xr:uid="{00000000-0005-0000-0000-0000AA060000}"/>
    <cellStyle name="Comma 6 3 4 3" xfId="1359" xr:uid="{00000000-0005-0000-0000-0000AB060000}"/>
    <cellStyle name="Comma 6 3 4 3 2" xfId="1360" xr:uid="{00000000-0005-0000-0000-0000AC060000}"/>
    <cellStyle name="Comma 6 3 4 4" xfId="1361" xr:uid="{00000000-0005-0000-0000-0000AD060000}"/>
    <cellStyle name="Comma 6 3 5" xfId="1362" xr:uid="{00000000-0005-0000-0000-0000AE060000}"/>
    <cellStyle name="Comma 6 3 5 2" xfId="1363" xr:uid="{00000000-0005-0000-0000-0000AF060000}"/>
    <cellStyle name="Comma 6 3 6" xfId="1364" xr:uid="{00000000-0005-0000-0000-0000B0060000}"/>
    <cellStyle name="Comma 6 3 6 2" xfId="1365" xr:uid="{00000000-0005-0000-0000-0000B1060000}"/>
    <cellStyle name="Comma 6 3 7" xfId="1366" xr:uid="{00000000-0005-0000-0000-0000B2060000}"/>
    <cellStyle name="Comma 6 4" xfId="1367" xr:uid="{00000000-0005-0000-0000-0000B3060000}"/>
    <cellStyle name="Comma 6 4 2" xfId="1368" xr:uid="{00000000-0005-0000-0000-0000B4060000}"/>
    <cellStyle name="Comma 6 4 2 2" xfId="1369" xr:uid="{00000000-0005-0000-0000-0000B5060000}"/>
    <cellStyle name="Comma 6 4 2 2 2" xfId="1370" xr:uid="{00000000-0005-0000-0000-0000B6060000}"/>
    <cellStyle name="Comma 6 4 2 2 2 2" xfId="1371" xr:uid="{00000000-0005-0000-0000-0000B7060000}"/>
    <cellStyle name="Comma 6 4 2 2 2 2 2" xfId="1372" xr:uid="{00000000-0005-0000-0000-0000B8060000}"/>
    <cellStyle name="Comma 6 4 2 2 2 3" xfId="1373" xr:uid="{00000000-0005-0000-0000-0000B9060000}"/>
    <cellStyle name="Comma 6 4 2 2 2 3 2" xfId="1374" xr:uid="{00000000-0005-0000-0000-0000BA060000}"/>
    <cellStyle name="Comma 6 4 2 2 2 4" xfId="1375" xr:uid="{00000000-0005-0000-0000-0000BB060000}"/>
    <cellStyle name="Comma 6 4 2 2 3" xfId="1376" xr:uid="{00000000-0005-0000-0000-0000BC060000}"/>
    <cellStyle name="Comma 6 4 2 2 3 2" xfId="1377" xr:uid="{00000000-0005-0000-0000-0000BD060000}"/>
    <cellStyle name="Comma 6 4 2 2 4" xfId="1378" xr:uid="{00000000-0005-0000-0000-0000BE060000}"/>
    <cellStyle name="Comma 6 4 2 2 4 2" xfId="1379" xr:uid="{00000000-0005-0000-0000-0000BF060000}"/>
    <cellStyle name="Comma 6 4 2 2 5" xfId="1380" xr:uid="{00000000-0005-0000-0000-0000C0060000}"/>
    <cellStyle name="Comma 6 4 2 3" xfId="1381" xr:uid="{00000000-0005-0000-0000-0000C1060000}"/>
    <cellStyle name="Comma 6 4 2 3 2" xfId="1382" xr:uid="{00000000-0005-0000-0000-0000C2060000}"/>
    <cellStyle name="Comma 6 4 2 3 2 2" xfId="1383" xr:uid="{00000000-0005-0000-0000-0000C3060000}"/>
    <cellStyle name="Comma 6 4 2 3 3" xfId="1384" xr:uid="{00000000-0005-0000-0000-0000C4060000}"/>
    <cellStyle name="Comma 6 4 2 3 3 2" xfId="1385" xr:uid="{00000000-0005-0000-0000-0000C5060000}"/>
    <cellStyle name="Comma 6 4 2 3 4" xfId="1386" xr:uid="{00000000-0005-0000-0000-0000C6060000}"/>
    <cellStyle name="Comma 6 4 2 4" xfId="1387" xr:uid="{00000000-0005-0000-0000-0000C7060000}"/>
    <cellStyle name="Comma 6 4 2 4 2" xfId="1388" xr:uid="{00000000-0005-0000-0000-0000C8060000}"/>
    <cellStyle name="Comma 6 4 2 5" xfId="1389" xr:uid="{00000000-0005-0000-0000-0000C9060000}"/>
    <cellStyle name="Comma 6 4 2 5 2" xfId="1390" xr:uid="{00000000-0005-0000-0000-0000CA060000}"/>
    <cellStyle name="Comma 6 4 2 6" xfId="1391" xr:uid="{00000000-0005-0000-0000-0000CB060000}"/>
    <cellStyle name="Comma 6 4 3" xfId="1392" xr:uid="{00000000-0005-0000-0000-0000CC060000}"/>
    <cellStyle name="Comma 6 4 3 2" xfId="1393" xr:uid="{00000000-0005-0000-0000-0000CD060000}"/>
    <cellStyle name="Comma 6 4 3 2 2" xfId="1394" xr:uid="{00000000-0005-0000-0000-0000CE060000}"/>
    <cellStyle name="Comma 6 4 3 2 2 2" xfId="1395" xr:uid="{00000000-0005-0000-0000-0000CF060000}"/>
    <cellStyle name="Comma 6 4 3 2 3" xfId="1396" xr:uid="{00000000-0005-0000-0000-0000D0060000}"/>
    <cellStyle name="Comma 6 4 3 2 3 2" xfId="1397" xr:uid="{00000000-0005-0000-0000-0000D1060000}"/>
    <cellStyle name="Comma 6 4 3 2 4" xfId="1398" xr:uid="{00000000-0005-0000-0000-0000D2060000}"/>
    <cellStyle name="Comma 6 4 3 3" xfId="1399" xr:uid="{00000000-0005-0000-0000-0000D3060000}"/>
    <cellStyle name="Comma 6 4 3 3 2" xfId="1400" xr:uid="{00000000-0005-0000-0000-0000D4060000}"/>
    <cellStyle name="Comma 6 4 3 4" xfId="1401" xr:uid="{00000000-0005-0000-0000-0000D5060000}"/>
    <cellStyle name="Comma 6 4 3 4 2" xfId="1402" xr:uid="{00000000-0005-0000-0000-0000D6060000}"/>
    <cellStyle name="Comma 6 4 3 5" xfId="1403" xr:uid="{00000000-0005-0000-0000-0000D7060000}"/>
    <cellStyle name="Comma 6 4 4" xfId="1404" xr:uid="{00000000-0005-0000-0000-0000D8060000}"/>
    <cellStyle name="Comma 6 4 4 2" xfId="1405" xr:uid="{00000000-0005-0000-0000-0000D9060000}"/>
    <cellStyle name="Comma 6 4 4 2 2" xfId="1406" xr:uid="{00000000-0005-0000-0000-0000DA060000}"/>
    <cellStyle name="Comma 6 4 4 3" xfId="1407" xr:uid="{00000000-0005-0000-0000-0000DB060000}"/>
    <cellStyle name="Comma 6 4 4 3 2" xfId="1408" xr:uid="{00000000-0005-0000-0000-0000DC060000}"/>
    <cellStyle name="Comma 6 4 4 4" xfId="1409" xr:uid="{00000000-0005-0000-0000-0000DD060000}"/>
    <cellStyle name="Comma 6 4 5" xfId="1410" xr:uid="{00000000-0005-0000-0000-0000DE060000}"/>
    <cellStyle name="Comma 6 4 5 2" xfId="1411" xr:uid="{00000000-0005-0000-0000-0000DF060000}"/>
    <cellStyle name="Comma 6 4 6" xfId="1412" xr:uid="{00000000-0005-0000-0000-0000E0060000}"/>
    <cellStyle name="Comma 6 4 6 2" xfId="1413" xr:uid="{00000000-0005-0000-0000-0000E1060000}"/>
    <cellStyle name="Comma 6 4 7" xfId="1414" xr:uid="{00000000-0005-0000-0000-0000E2060000}"/>
    <cellStyle name="Comma 6 5" xfId="1415" xr:uid="{00000000-0005-0000-0000-0000E3060000}"/>
    <cellStyle name="Comma 6 5 2" xfId="1416" xr:uid="{00000000-0005-0000-0000-0000E4060000}"/>
    <cellStyle name="Comma 6 5 2 2" xfId="1417" xr:uid="{00000000-0005-0000-0000-0000E5060000}"/>
    <cellStyle name="Comma 6 5 2 2 2" xfId="1418" xr:uid="{00000000-0005-0000-0000-0000E6060000}"/>
    <cellStyle name="Comma 6 5 2 2 2 2" xfId="1419" xr:uid="{00000000-0005-0000-0000-0000E7060000}"/>
    <cellStyle name="Comma 6 5 2 2 3" xfId="1420" xr:uid="{00000000-0005-0000-0000-0000E8060000}"/>
    <cellStyle name="Comma 6 5 2 2 3 2" xfId="1421" xr:uid="{00000000-0005-0000-0000-0000E9060000}"/>
    <cellStyle name="Comma 6 5 2 2 4" xfId="1422" xr:uid="{00000000-0005-0000-0000-0000EA060000}"/>
    <cellStyle name="Comma 6 5 2 3" xfId="1423" xr:uid="{00000000-0005-0000-0000-0000EB060000}"/>
    <cellStyle name="Comma 6 5 2 3 2" xfId="1424" xr:uid="{00000000-0005-0000-0000-0000EC060000}"/>
    <cellStyle name="Comma 6 5 2 4" xfId="1425" xr:uid="{00000000-0005-0000-0000-0000ED060000}"/>
    <cellStyle name="Comma 6 5 2 4 2" xfId="1426" xr:uid="{00000000-0005-0000-0000-0000EE060000}"/>
    <cellStyle name="Comma 6 5 2 5" xfId="1427" xr:uid="{00000000-0005-0000-0000-0000EF060000}"/>
    <cellStyle name="Comma 6 5 3" xfId="1428" xr:uid="{00000000-0005-0000-0000-0000F0060000}"/>
    <cellStyle name="Comma 6 5 3 2" xfId="1429" xr:uid="{00000000-0005-0000-0000-0000F1060000}"/>
    <cellStyle name="Comma 6 5 3 2 2" xfId="1430" xr:uid="{00000000-0005-0000-0000-0000F2060000}"/>
    <cellStyle name="Comma 6 5 3 3" xfId="1431" xr:uid="{00000000-0005-0000-0000-0000F3060000}"/>
    <cellStyle name="Comma 6 5 3 3 2" xfId="1432" xr:uid="{00000000-0005-0000-0000-0000F4060000}"/>
    <cellStyle name="Comma 6 5 3 4" xfId="1433" xr:uid="{00000000-0005-0000-0000-0000F5060000}"/>
    <cellStyle name="Comma 6 5 4" xfId="1434" xr:uid="{00000000-0005-0000-0000-0000F6060000}"/>
    <cellStyle name="Comma 6 5 4 2" xfId="1435" xr:uid="{00000000-0005-0000-0000-0000F7060000}"/>
    <cellStyle name="Comma 6 5 5" xfId="1436" xr:uid="{00000000-0005-0000-0000-0000F8060000}"/>
    <cellStyle name="Comma 6 5 5 2" xfId="1437" xr:uid="{00000000-0005-0000-0000-0000F9060000}"/>
    <cellStyle name="Comma 6 5 6" xfId="1438" xr:uid="{00000000-0005-0000-0000-0000FA060000}"/>
    <cellStyle name="Comma 6 6" xfId="1439" xr:uid="{00000000-0005-0000-0000-0000FB060000}"/>
    <cellStyle name="Comma 6 6 2" xfId="1440" xr:uid="{00000000-0005-0000-0000-0000FC060000}"/>
    <cellStyle name="Comma 6 6 2 2" xfId="1441" xr:uid="{00000000-0005-0000-0000-0000FD060000}"/>
    <cellStyle name="Comma 6 6 2 2 2" xfId="1442" xr:uid="{00000000-0005-0000-0000-0000FE060000}"/>
    <cellStyle name="Comma 6 6 2 3" xfId="1443" xr:uid="{00000000-0005-0000-0000-0000FF060000}"/>
    <cellStyle name="Comma 6 6 2 3 2" xfId="1444" xr:uid="{00000000-0005-0000-0000-000000070000}"/>
    <cellStyle name="Comma 6 6 2 4" xfId="1445" xr:uid="{00000000-0005-0000-0000-000001070000}"/>
    <cellStyle name="Comma 6 6 3" xfId="1446" xr:uid="{00000000-0005-0000-0000-000002070000}"/>
    <cellStyle name="Comma 6 6 3 2" xfId="1447" xr:uid="{00000000-0005-0000-0000-000003070000}"/>
    <cellStyle name="Comma 6 6 4" xfId="1448" xr:uid="{00000000-0005-0000-0000-000004070000}"/>
    <cellStyle name="Comma 6 6 4 2" xfId="1449" xr:uid="{00000000-0005-0000-0000-000005070000}"/>
    <cellStyle name="Comma 6 6 5" xfId="1450" xr:uid="{00000000-0005-0000-0000-000006070000}"/>
    <cellStyle name="Comma 6 7" xfId="1451" xr:uid="{00000000-0005-0000-0000-000007070000}"/>
    <cellStyle name="Comma 6 7 2" xfId="1452" xr:uid="{00000000-0005-0000-0000-000008070000}"/>
    <cellStyle name="Comma 6 7 2 2" xfId="1453" xr:uid="{00000000-0005-0000-0000-000009070000}"/>
    <cellStyle name="Comma 6 7 3" xfId="1454" xr:uid="{00000000-0005-0000-0000-00000A070000}"/>
    <cellStyle name="Comma 6 7 3 2" xfId="1455" xr:uid="{00000000-0005-0000-0000-00000B070000}"/>
    <cellStyle name="Comma 6 7 4" xfId="1456" xr:uid="{00000000-0005-0000-0000-00000C070000}"/>
    <cellStyle name="Comma 6 8" xfId="1457" xr:uid="{00000000-0005-0000-0000-00000D070000}"/>
    <cellStyle name="Comma 6 8 2" xfId="1458" xr:uid="{00000000-0005-0000-0000-00000E070000}"/>
    <cellStyle name="Comma 6 9" xfId="1459" xr:uid="{00000000-0005-0000-0000-00000F070000}"/>
    <cellStyle name="Comma 6 9 2" xfId="1460" xr:uid="{00000000-0005-0000-0000-000010070000}"/>
    <cellStyle name="Comma 7" xfId="1461" xr:uid="{00000000-0005-0000-0000-000011070000}"/>
    <cellStyle name="Comma 7 10" xfId="1462" xr:uid="{00000000-0005-0000-0000-000012070000}"/>
    <cellStyle name="Comma 7 2" xfId="1463" xr:uid="{00000000-0005-0000-0000-000013070000}"/>
    <cellStyle name="Comma 7 2 2" xfId="1464" xr:uid="{00000000-0005-0000-0000-000014070000}"/>
    <cellStyle name="Comma 7 2 2 2" xfId="1465" xr:uid="{00000000-0005-0000-0000-000015070000}"/>
    <cellStyle name="Comma 7 2 2 2 2" xfId="1466" xr:uid="{00000000-0005-0000-0000-000016070000}"/>
    <cellStyle name="Comma 7 2 2 2 2 2" xfId="1467" xr:uid="{00000000-0005-0000-0000-000017070000}"/>
    <cellStyle name="Comma 7 2 2 2 2 2 2" xfId="1468" xr:uid="{00000000-0005-0000-0000-000018070000}"/>
    <cellStyle name="Comma 7 2 2 2 2 2 2 2" xfId="1469" xr:uid="{00000000-0005-0000-0000-000019070000}"/>
    <cellStyle name="Comma 7 2 2 2 2 2 3" xfId="1470" xr:uid="{00000000-0005-0000-0000-00001A070000}"/>
    <cellStyle name="Comma 7 2 2 2 2 2 3 2" xfId="1471" xr:uid="{00000000-0005-0000-0000-00001B070000}"/>
    <cellStyle name="Comma 7 2 2 2 2 2 4" xfId="1472" xr:uid="{00000000-0005-0000-0000-00001C070000}"/>
    <cellStyle name="Comma 7 2 2 2 2 3" xfId="1473" xr:uid="{00000000-0005-0000-0000-00001D070000}"/>
    <cellStyle name="Comma 7 2 2 2 2 3 2" xfId="1474" xr:uid="{00000000-0005-0000-0000-00001E070000}"/>
    <cellStyle name="Comma 7 2 2 2 2 4" xfId="1475" xr:uid="{00000000-0005-0000-0000-00001F070000}"/>
    <cellStyle name="Comma 7 2 2 2 2 4 2" xfId="1476" xr:uid="{00000000-0005-0000-0000-000020070000}"/>
    <cellStyle name="Comma 7 2 2 2 2 5" xfId="1477" xr:uid="{00000000-0005-0000-0000-000021070000}"/>
    <cellStyle name="Comma 7 2 2 2 3" xfId="1478" xr:uid="{00000000-0005-0000-0000-000022070000}"/>
    <cellStyle name="Comma 7 2 2 2 3 2" xfId="1479" xr:uid="{00000000-0005-0000-0000-000023070000}"/>
    <cellStyle name="Comma 7 2 2 2 3 2 2" xfId="1480" xr:uid="{00000000-0005-0000-0000-000024070000}"/>
    <cellStyle name="Comma 7 2 2 2 3 3" xfId="1481" xr:uid="{00000000-0005-0000-0000-000025070000}"/>
    <cellStyle name="Comma 7 2 2 2 3 3 2" xfId="1482" xr:uid="{00000000-0005-0000-0000-000026070000}"/>
    <cellStyle name="Comma 7 2 2 2 3 4" xfId="1483" xr:uid="{00000000-0005-0000-0000-000027070000}"/>
    <cellStyle name="Comma 7 2 2 2 4" xfId="1484" xr:uid="{00000000-0005-0000-0000-000028070000}"/>
    <cellStyle name="Comma 7 2 2 2 4 2" xfId="1485" xr:uid="{00000000-0005-0000-0000-000029070000}"/>
    <cellStyle name="Comma 7 2 2 2 5" xfId="1486" xr:uid="{00000000-0005-0000-0000-00002A070000}"/>
    <cellStyle name="Comma 7 2 2 2 5 2" xfId="1487" xr:uid="{00000000-0005-0000-0000-00002B070000}"/>
    <cellStyle name="Comma 7 2 2 2 6" xfId="1488" xr:uid="{00000000-0005-0000-0000-00002C070000}"/>
    <cellStyle name="Comma 7 2 2 3" xfId="1489" xr:uid="{00000000-0005-0000-0000-00002D070000}"/>
    <cellStyle name="Comma 7 2 2 3 2" xfId="1490" xr:uid="{00000000-0005-0000-0000-00002E070000}"/>
    <cellStyle name="Comma 7 2 2 3 2 2" xfId="1491" xr:uid="{00000000-0005-0000-0000-00002F070000}"/>
    <cellStyle name="Comma 7 2 2 3 2 2 2" xfId="1492" xr:uid="{00000000-0005-0000-0000-000030070000}"/>
    <cellStyle name="Comma 7 2 2 3 2 3" xfId="1493" xr:uid="{00000000-0005-0000-0000-000031070000}"/>
    <cellStyle name="Comma 7 2 2 3 2 3 2" xfId="1494" xr:uid="{00000000-0005-0000-0000-000032070000}"/>
    <cellStyle name="Comma 7 2 2 3 2 4" xfId="1495" xr:uid="{00000000-0005-0000-0000-000033070000}"/>
    <cellStyle name="Comma 7 2 2 3 3" xfId="1496" xr:uid="{00000000-0005-0000-0000-000034070000}"/>
    <cellStyle name="Comma 7 2 2 3 3 2" xfId="1497" xr:uid="{00000000-0005-0000-0000-000035070000}"/>
    <cellStyle name="Comma 7 2 2 3 4" xfId="1498" xr:uid="{00000000-0005-0000-0000-000036070000}"/>
    <cellStyle name="Comma 7 2 2 3 4 2" xfId="1499" xr:uid="{00000000-0005-0000-0000-000037070000}"/>
    <cellStyle name="Comma 7 2 2 3 5" xfId="1500" xr:uid="{00000000-0005-0000-0000-000038070000}"/>
    <cellStyle name="Comma 7 2 2 4" xfId="1501" xr:uid="{00000000-0005-0000-0000-000039070000}"/>
    <cellStyle name="Comma 7 2 2 4 2" xfId="1502" xr:uid="{00000000-0005-0000-0000-00003A070000}"/>
    <cellStyle name="Comma 7 2 2 4 2 2" xfId="1503" xr:uid="{00000000-0005-0000-0000-00003B070000}"/>
    <cellStyle name="Comma 7 2 2 4 3" xfId="1504" xr:uid="{00000000-0005-0000-0000-00003C070000}"/>
    <cellStyle name="Comma 7 2 2 4 3 2" xfId="1505" xr:uid="{00000000-0005-0000-0000-00003D070000}"/>
    <cellStyle name="Comma 7 2 2 4 4" xfId="1506" xr:uid="{00000000-0005-0000-0000-00003E070000}"/>
    <cellStyle name="Comma 7 2 2 5" xfId="1507" xr:uid="{00000000-0005-0000-0000-00003F070000}"/>
    <cellStyle name="Comma 7 2 2 5 2" xfId="1508" xr:uid="{00000000-0005-0000-0000-000040070000}"/>
    <cellStyle name="Comma 7 2 2 6" xfId="1509" xr:uid="{00000000-0005-0000-0000-000041070000}"/>
    <cellStyle name="Comma 7 2 2 6 2" xfId="1510" xr:uid="{00000000-0005-0000-0000-000042070000}"/>
    <cellStyle name="Comma 7 2 2 7" xfId="1511" xr:uid="{00000000-0005-0000-0000-000043070000}"/>
    <cellStyle name="Comma 7 2 3" xfId="1512" xr:uid="{00000000-0005-0000-0000-000044070000}"/>
    <cellStyle name="Comma 7 2 3 2" xfId="1513" xr:uid="{00000000-0005-0000-0000-000045070000}"/>
    <cellStyle name="Comma 7 2 3 2 2" xfId="1514" xr:uid="{00000000-0005-0000-0000-000046070000}"/>
    <cellStyle name="Comma 7 2 3 2 2 2" xfId="1515" xr:uid="{00000000-0005-0000-0000-000047070000}"/>
    <cellStyle name="Comma 7 2 3 2 2 2 2" xfId="1516" xr:uid="{00000000-0005-0000-0000-000048070000}"/>
    <cellStyle name="Comma 7 2 3 2 2 3" xfId="1517" xr:uid="{00000000-0005-0000-0000-000049070000}"/>
    <cellStyle name="Comma 7 2 3 2 2 3 2" xfId="1518" xr:uid="{00000000-0005-0000-0000-00004A070000}"/>
    <cellStyle name="Comma 7 2 3 2 2 4" xfId="1519" xr:uid="{00000000-0005-0000-0000-00004B070000}"/>
    <cellStyle name="Comma 7 2 3 2 3" xfId="1520" xr:uid="{00000000-0005-0000-0000-00004C070000}"/>
    <cellStyle name="Comma 7 2 3 2 3 2" xfId="1521" xr:uid="{00000000-0005-0000-0000-00004D070000}"/>
    <cellStyle name="Comma 7 2 3 2 4" xfId="1522" xr:uid="{00000000-0005-0000-0000-00004E070000}"/>
    <cellStyle name="Comma 7 2 3 2 4 2" xfId="1523" xr:uid="{00000000-0005-0000-0000-00004F070000}"/>
    <cellStyle name="Comma 7 2 3 2 5" xfId="1524" xr:uid="{00000000-0005-0000-0000-000050070000}"/>
    <cellStyle name="Comma 7 2 3 3" xfId="1525" xr:uid="{00000000-0005-0000-0000-000051070000}"/>
    <cellStyle name="Comma 7 2 3 3 2" xfId="1526" xr:uid="{00000000-0005-0000-0000-000052070000}"/>
    <cellStyle name="Comma 7 2 3 3 2 2" xfId="1527" xr:uid="{00000000-0005-0000-0000-000053070000}"/>
    <cellStyle name="Comma 7 2 3 3 3" xfId="1528" xr:uid="{00000000-0005-0000-0000-000054070000}"/>
    <cellStyle name="Comma 7 2 3 3 3 2" xfId="1529" xr:uid="{00000000-0005-0000-0000-000055070000}"/>
    <cellStyle name="Comma 7 2 3 3 4" xfId="1530" xr:uid="{00000000-0005-0000-0000-000056070000}"/>
    <cellStyle name="Comma 7 2 3 4" xfId="1531" xr:uid="{00000000-0005-0000-0000-000057070000}"/>
    <cellStyle name="Comma 7 2 3 4 2" xfId="1532" xr:uid="{00000000-0005-0000-0000-000058070000}"/>
    <cellStyle name="Comma 7 2 3 5" xfId="1533" xr:uid="{00000000-0005-0000-0000-000059070000}"/>
    <cellStyle name="Comma 7 2 3 5 2" xfId="1534" xr:uid="{00000000-0005-0000-0000-00005A070000}"/>
    <cellStyle name="Comma 7 2 3 6" xfId="1535" xr:uid="{00000000-0005-0000-0000-00005B070000}"/>
    <cellStyle name="Comma 7 2 4" xfId="1536" xr:uid="{00000000-0005-0000-0000-00005C070000}"/>
    <cellStyle name="Comma 7 2 4 2" xfId="1537" xr:uid="{00000000-0005-0000-0000-00005D070000}"/>
    <cellStyle name="Comma 7 2 4 2 2" xfId="1538" xr:uid="{00000000-0005-0000-0000-00005E070000}"/>
    <cellStyle name="Comma 7 2 4 2 2 2" xfId="1539" xr:uid="{00000000-0005-0000-0000-00005F070000}"/>
    <cellStyle name="Comma 7 2 4 2 3" xfId="1540" xr:uid="{00000000-0005-0000-0000-000060070000}"/>
    <cellStyle name="Comma 7 2 4 2 3 2" xfId="1541" xr:uid="{00000000-0005-0000-0000-000061070000}"/>
    <cellStyle name="Comma 7 2 4 2 4" xfId="1542" xr:uid="{00000000-0005-0000-0000-000062070000}"/>
    <cellStyle name="Comma 7 2 4 3" xfId="1543" xr:uid="{00000000-0005-0000-0000-000063070000}"/>
    <cellStyle name="Comma 7 2 4 3 2" xfId="1544" xr:uid="{00000000-0005-0000-0000-000064070000}"/>
    <cellStyle name="Comma 7 2 4 4" xfId="1545" xr:uid="{00000000-0005-0000-0000-000065070000}"/>
    <cellStyle name="Comma 7 2 4 4 2" xfId="1546" xr:uid="{00000000-0005-0000-0000-000066070000}"/>
    <cellStyle name="Comma 7 2 4 5" xfId="1547" xr:uid="{00000000-0005-0000-0000-000067070000}"/>
    <cellStyle name="Comma 7 2 5" xfId="1548" xr:uid="{00000000-0005-0000-0000-000068070000}"/>
    <cellStyle name="Comma 7 2 5 2" xfId="1549" xr:uid="{00000000-0005-0000-0000-000069070000}"/>
    <cellStyle name="Comma 7 2 5 2 2" xfId="1550" xr:uid="{00000000-0005-0000-0000-00006A070000}"/>
    <cellStyle name="Comma 7 2 5 3" xfId="1551" xr:uid="{00000000-0005-0000-0000-00006B070000}"/>
    <cellStyle name="Comma 7 2 5 3 2" xfId="1552" xr:uid="{00000000-0005-0000-0000-00006C070000}"/>
    <cellStyle name="Comma 7 2 5 4" xfId="1553" xr:uid="{00000000-0005-0000-0000-00006D070000}"/>
    <cellStyle name="Comma 7 2 6" xfId="1554" xr:uid="{00000000-0005-0000-0000-00006E070000}"/>
    <cellStyle name="Comma 7 2 6 2" xfId="1555" xr:uid="{00000000-0005-0000-0000-00006F070000}"/>
    <cellStyle name="Comma 7 2 7" xfId="1556" xr:uid="{00000000-0005-0000-0000-000070070000}"/>
    <cellStyle name="Comma 7 2 7 2" xfId="1557" xr:uid="{00000000-0005-0000-0000-000071070000}"/>
    <cellStyle name="Comma 7 2 8" xfId="1558" xr:uid="{00000000-0005-0000-0000-000072070000}"/>
    <cellStyle name="Comma 7 2 9" xfId="1559" xr:uid="{00000000-0005-0000-0000-000073070000}"/>
    <cellStyle name="Comma 7 3" xfId="1560" xr:uid="{00000000-0005-0000-0000-000074070000}"/>
    <cellStyle name="Comma 7 3 2" xfId="1561" xr:uid="{00000000-0005-0000-0000-000075070000}"/>
    <cellStyle name="Comma 7 3 2 2" xfId="1562" xr:uid="{00000000-0005-0000-0000-000076070000}"/>
    <cellStyle name="Comma 7 3 2 2 2" xfId="1563" xr:uid="{00000000-0005-0000-0000-000077070000}"/>
    <cellStyle name="Comma 7 3 2 2 2 2" xfId="1564" xr:uid="{00000000-0005-0000-0000-000078070000}"/>
    <cellStyle name="Comma 7 3 2 2 2 2 2" xfId="1565" xr:uid="{00000000-0005-0000-0000-000079070000}"/>
    <cellStyle name="Comma 7 3 2 2 2 3" xfId="1566" xr:uid="{00000000-0005-0000-0000-00007A070000}"/>
    <cellStyle name="Comma 7 3 2 2 2 3 2" xfId="1567" xr:uid="{00000000-0005-0000-0000-00007B070000}"/>
    <cellStyle name="Comma 7 3 2 2 2 4" xfId="1568" xr:uid="{00000000-0005-0000-0000-00007C070000}"/>
    <cellStyle name="Comma 7 3 2 2 3" xfId="1569" xr:uid="{00000000-0005-0000-0000-00007D070000}"/>
    <cellStyle name="Comma 7 3 2 2 3 2" xfId="1570" xr:uid="{00000000-0005-0000-0000-00007E070000}"/>
    <cellStyle name="Comma 7 3 2 2 4" xfId="1571" xr:uid="{00000000-0005-0000-0000-00007F070000}"/>
    <cellStyle name="Comma 7 3 2 2 4 2" xfId="1572" xr:uid="{00000000-0005-0000-0000-000080070000}"/>
    <cellStyle name="Comma 7 3 2 2 5" xfId="1573" xr:uid="{00000000-0005-0000-0000-000081070000}"/>
    <cellStyle name="Comma 7 3 2 3" xfId="1574" xr:uid="{00000000-0005-0000-0000-000082070000}"/>
    <cellStyle name="Comma 7 3 2 3 2" xfId="1575" xr:uid="{00000000-0005-0000-0000-000083070000}"/>
    <cellStyle name="Comma 7 3 2 3 2 2" xfId="1576" xr:uid="{00000000-0005-0000-0000-000084070000}"/>
    <cellStyle name="Comma 7 3 2 3 3" xfId="1577" xr:uid="{00000000-0005-0000-0000-000085070000}"/>
    <cellStyle name="Comma 7 3 2 3 3 2" xfId="1578" xr:uid="{00000000-0005-0000-0000-000086070000}"/>
    <cellStyle name="Comma 7 3 2 3 4" xfId="1579" xr:uid="{00000000-0005-0000-0000-000087070000}"/>
    <cellStyle name="Comma 7 3 2 4" xfId="1580" xr:uid="{00000000-0005-0000-0000-000088070000}"/>
    <cellStyle name="Comma 7 3 2 4 2" xfId="1581" xr:uid="{00000000-0005-0000-0000-000089070000}"/>
    <cellStyle name="Comma 7 3 2 5" xfId="1582" xr:uid="{00000000-0005-0000-0000-00008A070000}"/>
    <cellStyle name="Comma 7 3 2 5 2" xfId="1583" xr:uid="{00000000-0005-0000-0000-00008B070000}"/>
    <cellStyle name="Comma 7 3 2 6" xfId="1584" xr:uid="{00000000-0005-0000-0000-00008C070000}"/>
    <cellStyle name="Comma 7 3 3" xfId="1585" xr:uid="{00000000-0005-0000-0000-00008D070000}"/>
    <cellStyle name="Comma 7 3 3 2" xfId="1586" xr:uid="{00000000-0005-0000-0000-00008E070000}"/>
    <cellStyle name="Comma 7 3 3 2 2" xfId="1587" xr:uid="{00000000-0005-0000-0000-00008F070000}"/>
    <cellStyle name="Comma 7 3 3 2 2 2" xfId="1588" xr:uid="{00000000-0005-0000-0000-000090070000}"/>
    <cellStyle name="Comma 7 3 3 2 3" xfId="1589" xr:uid="{00000000-0005-0000-0000-000091070000}"/>
    <cellStyle name="Comma 7 3 3 2 3 2" xfId="1590" xr:uid="{00000000-0005-0000-0000-000092070000}"/>
    <cellStyle name="Comma 7 3 3 2 4" xfId="1591" xr:uid="{00000000-0005-0000-0000-000093070000}"/>
    <cellStyle name="Comma 7 3 3 3" xfId="1592" xr:uid="{00000000-0005-0000-0000-000094070000}"/>
    <cellStyle name="Comma 7 3 3 3 2" xfId="1593" xr:uid="{00000000-0005-0000-0000-000095070000}"/>
    <cellStyle name="Comma 7 3 3 4" xfId="1594" xr:uid="{00000000-0005-0000-0000-000096070000}"/>
    <cellStyle name="Comma 7 3 3 4 2" xfId="1595" xr:uid="{00000000-0005-0000-0000-000097070000}"/>
    <cellStyle name="Comma 7 3 3 5" xfId="1596" xr:uid="{00000000-0005-0000-0000-000098070000}"/>
    <cellStyle name="Comma 7 3 4" xfId="1597" xr:uid="{00000000-0005-0000-0000-000099070000}"/>
    <cellStyle name="Comma 7 3 4 2" xfId="1598" xr:uid="{00000000-0005-0000-0000-00009A070000}"/>
    <cellStyle name="Comma 7 3 4 2 2" xfId="1599" xr:uid="{00000000-0005-0000-0000-00009B070000}"/>
    <cellStyle name="Comma 7 3 4 3" xfId="1600" xr:uid="{00000000-0005-0000-0000-00009C070000}"/>
    <cellStyle name="Comma 7 3 4 3 2" xfId="1601" xr:uid="{00000000-0005-0000-0000-00009D070000}"/>
    <cellStyle name="Comma 7 3 4 4" xfId="1602" xr:uid="{00000000-0005-0000-0000-00009E070000}"/>
    <cellStyle name="Comma 7 3 5" xfId="1603" xr:uid="{00000000-0005-0000-0000-00009F070000}"/>
    <cellStyle name="Comma 7 3 5 2" xfId="1604" xr:uid="{00000000-0005-0000-0000-0000A0070000}"/>
    <cellStyle name="Comma 7 3 6" xfId="1605" xr:uid="{00000000-0005-0000-0000-0000A1070000}"/>
    <cellStyle name="Comma 7 3 6 2" xfId="1606" xr:uid="{00000000-0005-0000-0000-0000A2070000}"/>
    <cellStyle name="Comma 7 3 7" xfId="1607" xr:uid="{00000000-0005-0000-0000-0000A3070000}"/>
    <cellStyle name="Comma 7 4" xfId="1608" xr:uid="{00000000-0005-0000-0000-0000A4070000}"/>
    <cellStyle name="Comma 7 4 2" xfId="1609" xr:uid="{00000000-0005-0000-0000-0000A5070000}"/>
    <cellStyle name="Comma 7 4 2 2" xfId="1610" xr:uid="{00000000-0005-0000-0000-0000A6070000}"/>
    <cellStyle name="Comma 7 4 2 2 2" xfId="1611" xr:uid="{00000000-0005-0000-0000-0000A7070000}"/>
    <cellStyle name="Comma 7 4 2 2 2 2" xfId="1612" xr:uid="{00000000-0005-0000-0000-0000A8070000}"/>
    <cellStyle name="Comma 7 4 2 2 2 2 2" xfId="1613" xr:uid="{00000000-0005-0000-0000-0000A9070000}"/>
    <cellStyle name="Comma 7 4 2 2 2 3" xfId="1614" xr:uid="{00000000-0005-0000-0000-0000AA070000}"/>
    <cellStyle name="Comma 7 4 2 2 2 3 2" xfId="1615" xr:uid="{00000000-0005-0000-0000-0000AB070000}"/>
    <cellStyle name="Comma 7 4 2 2 2 4" xfId="1616" xr:uid="{00000000-0005-0000-0000-0000AC070000}"/>
    <cellStyle name="Comma 7 4 2 2 3" xfId="1617" xr:uid="{00000000-0005-0000-0000-0000AD070000}"/>
    <cellStyle name="Comma 7 4 2 2 3 2" xfId="1618" xr:uid="{00000000-0005-0000-0000-0000AE070000}"/>
    <cellStyle name="Comma 7 4 2 2 4" xfId="1619" xr:uid="{00000000-0005-0000-0000-0000AF070000}"/>
    <cellStyle name="Comma 7 4 2 2 4 2" xfId="1620" xr:uid="{00000000-0005-0000-0000-0000B0070000}"/>
    <cellStyle name="Comma 7 4 2 2 5" xfId="1621" xr:uid="{00000000-0005-0000-0000-0000B1070000}"/>
    <cellStyle name="Comma 7 4 2 3" xfId="1622" xr:uid="{00000000-0005-0000-0000-0000B2070000}"/>
    <cellStyle name="Comma 7 4 2 3 2" xfId="1623" xr:uid="{00000000-0005-0000-0000-0000B3070000}"/>
    <cellStyle name="Comma 7 4 2 3 2 2" xfId="1624" xr:uid="{00000000-0005-0000-0000-0000B4070000}"/>
    <cellStyle name="Comma 7 4 2 3 3" xfId="1625" xr:uid="{00000000-0005-0000-0000-0000B5070000}"/>
    <cellStyle name="Comma 7 4 2 3 3 2" xfId="1626" xr:uid="{00000000-0005-0000-0000-0000B6070000}"/>
    <cellStyle name="Comma 7 4 2 3 4" xfId="1627" xr:uid="{00000000-0005-0000-0000-0000B7070000}"/>
    <cellStyle name="Comma 7 4 2 4" xfId="1628" xr:uid="{00000000-0005-0000-0000-0000B8070000}"/>
    <cellStyle name="Comma 7 4 2 4 2" xfId="1629" xr:uid="{00000000-0005-0000-0000-0000B9070000}"/>
    <cellStyle name="Comma 7 4 2 5" xfId="1630" xr:uid="{00000000-0005-0000-0000-0000BA070000}"/>
    <cellStyle name="Comma 7 4 2 5 2" xfId="1631" xr:uid="{00000000-0005-0000-0000-0000BB070000}"/>
    <cellStyle name="Comma 7 4 2 6" xfId="1632" xr:uid="{00000000-0005-0000-0000-0000BC070000}"/>
    <cellStyle name="Comma 7 4 3" xfId="1633" xr:uid="{00000000-0005-0000-0000-0000BD070000}"/>
    <cellStyle name="Comma 7 4 3 2" xfId="1634" xr:uid="{00000000-0005-0000-0000-0000BE070000}"/>
    <cellStyle name="Comma 7 4 3 2 2" xfId="1635" xr:uid="{00000000-0005-0000-0000-0000BF070000}"/>
    <cellStyle name="Comma 7 4 3 2 2 2" xfId="1636" xr:uid="{00000000-0005-0000-0000-0000C0070000}"/>
    <cellStyle name="Comma 7 4 3 2 3" xfId="1637" xr:uid="{00000000-0005-0000-0000-0000C1070000}"/>
    <cellStyle name="Comma 7 4 3 2 3 2" xfId="1638" xr:uid="{00000000-0005-0000-0000-0000C2070000}"/>
    <cellStyle name="Comma 7 4 3 2 4" xfId="1639" xr:uid="{00000000-0005-0000-0000-0000C3070000}"/>
    <cellStyle name="Comma 7 4 3 3" xfId="1640" xr:uid="{00000000-0005-0000-0000-0000C4070000}"/>
    <cellStyle name="Comma 7 4 3 3 2" xfId="1641" xr:uid="{00000000-0005-0000-0000-0000C5070000}"/>
    <cellStyle name="Comma 7 4 3 4" xfId="1642" xr:uid="{00000000-0005-0000-0000-0000C6070000}"/>
    <cellStyle name="Comma 7 4 3 4 2" xfId="1643" xr:uid="{00000000-0005-0000-0000-0000C7070000}"/>
    <cellStyle name="Comma 7 4 3 5" xfId="1644" xr:uid="{00000000-0005-0000-0000-0000C8070000}"/>
    <cellStyle name="Comma 7 4 4" xfId="1645" xr:uid="{00000000-0005-0000-0000-0000C9070000}"/>
    <cellStyle name="Comma 7 4 4 2" xfId="1646" xr:uid="{00000000-0005-0000-0000-0000CA070000}"/>
    <cellStyle name="Comma 7 4 4 2 2" xfId="1647" xr:uid="{00000000-0005-0000-0000-0000CB070000}"/>
    <cellStyle name="Comma 7 4 4 3" xfId="1648" xr:uid="{00000000-0005-0000-0000-0000CC070000}"/>
    <cellStyle name="Comma 7 4 4 3 2" xfId="1649" xr:uid="{00000000-0005-0000-0000-0000CD070000}"/>
    <cellStyle name="Comma 7 4 4 4" xfId="1650" xr:uid="{00000000-0005-0000-0000-0000CE070000}"/>
    <cellStyle name="Comma 7 4 5" xfId="1651" xr:uid="{00000000-0005-0000-0000-0000CF070000}"/>
    <cellStyle name="Comma 7 4 5 2" xfId="1652" xr:uid="{00000000-0005-0000-0000-0000D0070000}"/>
    <cellStyle name="Comma 7 4 6" xfId="1653" xr:uid="{00000000-0005-0000-0000-0000D1070000}"/>
    <cellStyle name="Comma 7 4 6 2" xfId="1654" xr:uid="{00000000-0005-0000-0000-0000D2070000}"/>
    <cellStyle name="Comma 7 4 7" xfId="1655" xr:uid="{00000000-0005-0000-0000-0000D3070000}"/>
    <cellStyle name="Comma 7 5" xfId="1656" xr:uid="{00000000-0005-0000-0000-0000D4070000}"/>
    <cellStyle name="Comma 7 5 2" xfId="1657" xr:uid="{00000000-0005-0000-0000-0000D5070000}"/>
    <cellStyle name="Comma 7 5 2 2" xfId="1658" xr:uid="{00000000-0005-0000-0000-0000D6070000}"/>
    <cellStyle name="Comma 7 5 2 2 2" xfId="1659" xr:uid="{00000000-0005-0000-0000-0000D7070000}"/>
    <cellStyle name="Comma 7 5 2 2 2 2" xfId="1660" xr:uid="{00000000-0005-0000-0000-0000D8070000}"/>
    <cellStyle name="Comma 7 5 2 2 3" xfId="1661" xr:uid="{00000000-0005-0000-0000-0000D9070000}"/>
    <cellStyle name="Comma 7 5 2 2 3 2" xfId="1662" xr:uid="{00000000-0005-0000-0000-0000DA070000}"/>
    <cellStyle name="Comma 7 5 2 2 4" xfId="1663" xr:uid="{00000000-0005-0000-0000-0000DB070000}"/>
    <cellStyle name="Comma 7 5 2 3" xfId="1664" xr:uid="{00000000-0005-0000-0000-0000DC070000}"/>
    <cellStyle name="Comma 7 5 2 3 2" xfId="1665" xr:uid="{00000000-0005-0000-0000-0000DD070000}"/>
    <cellStyle name="Comma 7 5 2 4" xfId="1666" xr:uid="{00000000-0005-0000-0000-0000DE070000}"/>
    <cellStyle name="Comma 7 5 2 4 2" xfId="1667" xr:uid="{00000000-0005-0000-0000-0000DF070000}"/>
    <cellStyle name="Comma 7 5 2 5" xfId="1668" xr:uid="{00000000-0005-0000-0000-0000E0070000}"/>
    <cellStyle name="Comma 7 5 3" xfId="1669" xr:uid="{00000000-0005-0000-0000-0000E1070000}"/>
    <cellStyle name="Comma 7 5 3 2" xfId="1670" xr:uid="{00000000-0005-0000-0000-0000E2070000}"/>
    <cellStyle name="Comma 7 5 3 2 2" xfId="1671" xr:uid="{00000000-0005-0000-0000-0000E3070000}"/>
    <cellStyle name="Comma 7 5 3 3" xfId="1672" xr:uid="{00000000-0005-0000-0000-0000E4070000}"/>
    <cellStyle name="Comma 7 5 3 3 2" xfId="1673" xr:uid="{00000000-0005-0000-0000-0000E5070000}"/>
    <cellStyle name="Comma 7 5 3 4" xfId="1674" xr:uid="{00000000-0005-0000-0000-0000E6070000}"/>
    <cellStyle name="Comma 7 5 4" xfId="1675" xr:uid="{00000000-0005-0000-0000-0000E7070000}"/>
    <cellStyle name="Comma 7 5 4 2" xfId="1676" xr:uid="{00000000-0005-0000-0000-0000E8070000}"/>
    <cellStyle name="Comma 7 5 5" xfId="1677" xr:uid="{00000000-0005-0000-0000-0000E9070000}"/>
    <cellStyle name="Comma 7 5 5 2" xfId="1678" xr:uid="{00000000-0005-0000-0000-0000EA070000}"/>
    <cellStyle name="Comma 7 5 6" xfId="1679" xr:uid="{00000000-0005-0000-0000-0000EB070000}"/>
    <cellStyle name="Comma 7 6" xfId="1680" xr:uid="{00000000-0005-0000-0000-0000EC070000}"/>
    <cellStyle name="Comma 7 6 2" xfId="1681" xr:uid="{00000000-0005-0000-0000-0000ED070000}"/>
    <cellStyle name="Comma 7 6 2 2" xfId="1682" xr:uid="{00000000-0005-0000-0000-0000EE070000}"/>
    <cellStyle name="Comma 7 6 2 2 2" xfId="1683" xr:uid="{00000000-0005-0000-0000-0000EF070000}"/>
    <cellStyle name="Comma 7 6 2 3" xfId="1684" xr:uid="{00000000-0005-0000-0000-0000F0070000}"/>
    <cellStyle name="Comma 7 6 2 3 2" xfId="1685" xr:uid="{00000000-0005-0000-0000-0000F1070000}"/>
    <cellStyle name="Comma 7 6 2 4" xfId="1686" xr:uid="{00000000-0005-0000-0000-0000F2070000}"/>
    <cellStyle name="Comma 7 6 3" xfId="1687" xr:uid="{00000000-0005-0000-0000-0000F3070000}"/>
    <cellStyle name="Comma 7 6 3 2" xfId="1688" xr:uid="{00000000-0005-0000-0000-0000F4070000}"/>
    <cellStyle name="Comma 7 6 4" xfId="1689" xr:uid="{00000000-0005-0000-0000-0000F5070000}"/>
    <cellStyle name="Comma 7 6 4 2" xfId="1690" xr:uid="{00000000-0005-0000-0000-0000F6070000}"/>
    <cellStyle name="Comma 7 6 5" xfId="1691" xr:uid="{00000000-0005-0000-0000-0000F7070000}"/>
    <cellStyle name="Comma 7 7" xfId="1692" xr:uid="{00000000-0005-0000-0000-0000F8070000}"/>
    <cellStyle name="Comma 7 7 2" xfId="1693" xr:uid="{00000000-0005-0000-0000-0000F9070000}"/>
    <cellStyle name="Comma 7 7 2 2" xfId="1694" xr:uid="{00000000-0005-0000-0000-0000FA070000}"/>
    <cellStyle name="Comma 7 7 3" xfId="1695" xr:uid="{00000000-0005-0000-0000-0000FB070000}"/>
    <cellStyle name="Comma 7 7 3 2" xfId="1696" xr:uid="{00000000-0005-0000-0000-0000FC070000}"/>
    <cellStyle name="Comma 7 7 4" xfId="1697" xr:uid="{00000000-0005-0000-0000-0000FD070000}"/>
    <cellStyle name="Comma 7 8" xfId="1698" xr:uid="{00000000-0005-0000-0000-0000FE070000}"/>
    <cellStyle name="Comma 7 8 2" xfId="1699" xr:uid="{00000000-0005-0000-0000-0000FF070000}"/>
    <cellStyle name="Comma 7 9" xfId="1700" xr:uid="{00000000-0005-0000-0000-000000080000}"/>
    <cellStyle name="Comma 7 9 2" xfId="1701" xr:uid="{00000000-0005-0000-0000-000001080000}"/>
    <cellStyle name="Comma 8" xfId="1702" xr:uid="{00000000-0005-0000-0000-000002080000}"/>
    <cellStyle name="Comma 8 2" xfId="1703" xr:uid="{00000000-0005-0000-0000-000003080000}"/>
    <cellStyle name="Comma 8 2 2" xfId="1704" xr:uid="{00000000-0005-0000-0000-000004080000}"/>
    <cellStyle name="Comma 8 2 2 2" xfId="1705" xr:uid="{00000000-0005-0000-0000-000005080000}"/>
    <cellStyle name="Comma 8 2 2 2 2" xfId="1706" xr:uid="{00000000-0005-0000-0000-000006080000}"/>
    <cellStyle name="Comma 8 2 2 2 2 2" xfId="1707" xr:uid="{00000000-0005-0000-0000-000007080000}"/>
    <cellStyle name="Comma 8 2 2 2 2 2 2" xfId="1708" xr:uid="{00000000-0005-0000-0000-000008080000}"/>
    <cellStyle name="Comma 8 2 2 2 2 3" xfId="1709" xr:uid="{00000000-0005-0000-0000-000009080000}"/>
    <cellStyle name="Comma 8 2 2 2 2 3 2" xfId="1710" xr:uid="{00000000-0005-0000-0000-00000A080000}"/>
    <cellStyle name="Comma 8 2 2 2 2 4" xfId="1711" xr:uid="{00000000-0005-0000-0000-00000B080000}"/>
    <cellStyle name="Comma 8 2 2 2 3" xfId="1712" xr:uid="{00000000-0005-0000-0000-00000C080000}"/>
    <cellStyle name="Comma 8 2 2 2 3 2" xfId="1713" xr:uid="{00000000-0005-0000-0000-00000D080000}"/>
    <cellStyle name="Comma 8 2 2 2 4" xfId="1714" xr:uid="{00000000-0005-0000-0000-00000E080000}"/>
    <cellStyle name="Comma 8 2 2 2 4 2" xfId="1715" xr:uid="{00000000-0005-0000-0000-00000F080000}"/>
    <cellStyle name="Comma 8 2 2 2 5" xfId="1716" xr:uid="{00000000-0005-0000-0000-000010080000}"/>
    <cellStyle name="Comma 8 2 2 3" xfId="1717" xr:uid="{00000000-0005-0000-0000-000011080000}"/>
    <cellStyle name="Comma 8 2 2 3 2" xfId="1718" xr:uid="{00000000-0005-0000-0000-000012080000}"/>
    <cellStyle name="Comma 8 2 2 3 2 2" xfId="1719" xr:uid="{00000000-0005-0000-0000-000013080000}"/>
    <cellStyle name="Comma 8 2 2 3 3" xfId="1720" xr:uid="{00000000-0005-0000-0000-000014080000}"/>
    <cellStyle name="Comma 8 2 2 3 3 2" xfId="1721" xr:uid="{00000000-0005-0000-0000-000015080000}"/>
    <cellStyle name="Comma 8 2 2 3 4" xfId="1722" xr:uid="{00000000-0005-0000-0000-000016080000}"/>
    <cellStyle name="Comma 8 2 2 4" xfId="1723" xr:uid="{00000000-0005-0000-0000-000017080000}"/>
    <cellStyle name="Comma 8 2 2 4 2" xfId="1724" xr:uid="{00000000-0005-0000-0000-000018080000}"/>
    <cellStyle name="Comma 8 2 2 5" xfId="1725" xr:uid="{00000000-0005-0000-0000-000019080000}"/>
    <cellStyle name="Comma 8 2 2 5 2" xfId="1726" xr:uid="{00000000-0005-0000-0000-00001A080000}"/>
    <cellStyle name="Comma 8 2 2 6" xfId="1727" xr:uid="{00000000-0005-0000-0000-00001B080000}"/>
    <cellStyle name="Comma 8 2 3" xfId="1728" xr:uid="{00000000-0005-0000-0000-00001C080000}"/>
    <cellStyle name="Comma 8 2 3 2" xfId="1729" xr:uid="{00000000-0005-0000-0000-00001D080000}"/>
    <cellStyle name="Comma 8 2 3 2 2" xfId="1730" xr:uid="{00000000-0005-0000-0000-00001E080000}"/>
    <cellStyle name="Comma 8 2 3 2 2 2" xfId="1731" xr:uid="{00000000-0005-0000-0000-00001F080000}"/>
    <cellStyle name="Comma 8 2 3 2 3" xfId="1732" xr:uid="{00000000-0005-0000-0000-000020080000}"/>
    <cellStyle name="Comma 8 2 3 2 3 2" xfId="1733" xr:uid="{00000000-0005-0000-0000-000021080000}"/>
    <cellStyle name="Comma 8 2 3 2 4" xfId="1734" xr:uid="{00000000-0005-0000-0000-000022080000}"/>
    <cellStyle name="Comma 8 2 3 3" xfId="1735" xr:uid="{00000000-0005-0000-0000-000023080000}"/>
    <cellStyle name="Comma 8 2 3 3 2" xfId="1736" xr:uid="{00000000-0005-0000-0000-000024080000}"/>
    <cellStyle name="Comma 8 2 3 4" xfId="1737" xr:uid="{00000000-0005-0000-0000-000025080000}"/>
    <cellStyle name="Comma 8 2 3 4 2" xfId="1738" xr:uid="{00000000-0005-0000-0000-000026080000}"/>
    <cellStyle name="Comma 8 2 3 5" xfId="1739" xr:uid="{00000000-0005-0000-0000-000027080000}"/>
    <cellStyle name="Comma 8 2 4" xfId="1740" xr:uid="{00000000-0005-0000-0000-000028080000}"/>
    <cellStyle name="Comma 8 2 4 2" xfId="1741" xr:uid="{00000000-0005-0000-0000-000029080000}"/>
    <cellStyle name="Comma 8 2 4 2 2" xfId="1742" xr:uid="{00000000-0005-0000-0000-00002A080000}"/>
    <cellStyle name="Comma 8 2 4 3" xfId="1743" xr:uid="{00000000-0005-0000-0000-00002B080000}"/>
    <cellStyle name="Comma 8 2 4 3 2" xfId="1744" xr:uid="{00000000-0005-0000-0000-00002C080000}"/>
    <cellStyle name="Comma 8 2 4 4" xfId="1745" xr:uid="{00000000-0005-0000-0000-00002D080000}"/>
    <cellStyle name="Comma 8 2 5" xfId="1746" xr:uid="{00000000-0005-0000-0000-00002E080000}"/>
    <cellStyle name="Comma 8 2 5 2" xfId="1747" xr:uid="{00000000-0005-0000-0000-00002F080000}"/>
    <cellStyle name="Comma 8 2 6" xfId="1748" xr:uid="{00000000-0005-0000-0000-000030080000}"/>
    <cellStyle name="Comma 8 2 6 2" xfId="1749" xr:uid="{00000000-0005-0000-0000-000031080000}"/>
    <cellStyle name="Comma 8 2 7" xfId="1750" xr:uid="{00000000-0005-0000-0000-000032080000}"/>
    <cellStyle name="Comma 8 2 8" xfId="1751" xr:uid="{00000000-0005-0000-0000-000033080000}"/>
    <cellStyle name="Comma 8 3" xfId="1752" xr:uid="{00000000-0005-0000-0000-000034080000}"/>
    <cellStyle name="Comma 8 3 2" xfId="1753" xr:uid="{00000000-0005-0000-0000-000035080000}"/>
    <cellStyle name="Comma 8 3 2 2" xfId="1754" xr:uid="{00000000-0005-0000-0000-000036080000}"/>
    <cellStyle name="Comma 8 3 2 2 2" xfId="1755" xr:uid="{00000000-0005-0000-0000-000037080000}"/>
    <cellStyle name="Comma 8 3 2 2 2 2" xfId="1756" xr:uid="{00000000-0005-0000-0000-000038080000}"/>
    <cellStyle name="Comma 8 3 2 2 2 2 2" xfId="1757" xr:uid="{00000000-0005-0000-0000-000039080000}"/>
    <cellStyle name="Comma 8 3 2 2 2 3" xfId="1758" xr:uid="{00000000-0005-0000-0000-00003A080000}"/>
    <cellStyle name="Comma 8 3 2 2 2 3 2" xfId="1759" xr:uid="{00000000-0005-0000-0000-00003B080000}"/>
    <cellStyle name="Comma 8 3 2 2 2 4" xfId="1760" xr:uid="{00000000-0005-0000-0000-00003C080000}"/>
    <cellStyle name="Comma 8 3 2 2 3" xfId="1761" xr:uid="{00000000-0005-0000-0000-00003D080000}"/>
    <cellStyle name="Comma 8 3 2 2 3 2" xfId="1762" xr:uid="{00000000-0005-0000-0000-00003E080000}"/>
    <cellStyle name="Comma 8 3 2 2 4" xfId="1763" xr:uid="{00000000-0005-0000-0000-00003F080000}"/>
    <cellStyle name="Comma 8 3 2 2 4 2" xfId="1764" xr:uid="{00000000-0005-0000-0000-000040080000}"/>
    <cellStyle name="Comma 8 3 2 2 5" xfId="1765" xr:uid="{00000000-0005-0000-0000-000041080000}"/>
    <cellStyle name="Comma 8 3 2 3" xfId="1766" xr:uid="{00000000-0005-0000-0000-000042080000}"/>
    <cellStyle name="Comma 8 3 2 3 2" xfId="1767" xr:uid="{00000000-0005-0000-0000-000043080000}"/>
    <cellStyle name="Comma 8 3 2 3 2 2" xfId="1768" xr:uid="{00000000-0005-0000-0000-000044080000}"/>
    <cellStyle name="Comma 8 3 2 3 3" xfId="1769" xr:uid="{00000000-0005-0000-0000-000045080000}"/>
    <cellStyle name="Comma 8 3 2 3 3 2" xfId="1770" xr:uid="{00000000-0005-0000-0000-000046080000}"/>
    <cellStyle name="Comma 8 3 2 3 4" xfId="1771" xr:uid="{00000000-0005-0000-0000-000047080000}"/>
    <cellStyle name="Comma 8 3 2 4" xfId="1772" xr:uid="{00000000-0005-0000-0000-000048080000}"/>
    <cellStyle name="Comma 8 3 2 4 2" xfId="1773" xr:uid="{00000000-0005-0000-0000-000049080000}"/>
    <cellStyle name="Comma 8 3 2 5" xfId="1774" xr:uid="{00000000-0005-0000-0000-00004A080000}"/>
    <cellStyle name="Comma 8 3 2 5 2" xfId="1775" xr:uid="{00000000-0005-0000-0000-00004B080000}"/>
    <cellStyle name="Comma 8 3 2 6" xfId="1776" xr:uid="{00000000-0005-0000-0000-00004C080000}"/>
    <cellStyle name="Comma 8 3 3" xfId="1777" xr:uid="{00000000-0005-0000-0000-00004D080000}"/>
    <cellStyle name="Comma 8 3 3 2" xfId="1778" xr:uid="{00000000-0005-0000-0000-00004E080000}"/>
    <cellStyle name="Comma 8 3 3 2 2" xfId="1779" xr:uid="{00000000-0005-0000-0000-00004F080000}"/>
    <cellStyle name="Comma 8 3 3 2 2 2" xfId="1780" xr:uid="{00000000-0005-0000-0000-000050080000}"/>
    <cellStyle name="Comma 8 3 3 2 3" xfId="1781" xr:uid="{00000000-0005-0000-0000-000051080000}"/>
    <cellStyle name="Comma 8 3 3 2 3 2" xfId="1782" xr:uid="{00000000-0005-0000-0000-000052080000}"/>
    <cellStyle name="Comma 8 3 3 2 4" xfId="1783" xr:uid="{00000000-0005-0000-0000-000053080000}"/>
    <cellStyle name="Comma 8 3 3 3" xfId="1784" xr:uid="{00000000-0005-0000-0000-000054080000}"/>
    <cellStyle name="Comma 8 3 3 3 2" xfId="1785" xr:uid="{00000000-0005-0000-0000-000055080000}"/>
    <cellStyle name="Comma 8 3 3 4" xfId="1786" xr:uid="{00000000-0005-0000-0000-000056080000}"/>
    <cellStyle name="Comma 8 3 3 4 2" xfId="1787" xr:uid="{00000000-0005-0000-0000-000057080000}"/>
    <cellStyle name="Comma 8 3 3 5" xfId="1788" xr:uid="{00000000-0005-0000-0000-000058080000}"/>
    <cellStyle name="Comma 8 3 4" xfId="1789" xr:uid="{00000000-0005-0000-0000-000059080000}"/>
    <cellStyle name="Comma 8 3 4 2" xfId="1790" xr:uid="{00000000-0005-0000-0000-00005A080000}"/>
    <cellStyle name="Comma 8 3 4 2 2" xfId="1791" xr:uid="{00000000-0005-0000-0000-00005B080000}"/>
    <cellStyle name="Comma 8 3 4 3" xfId="1792" xr:uid="{00000000-0005-0000-0000-00005C080000}"/>
    <cellStyle name="Comma 8 3 4 3 2" xfId="1793" xr:uid="{00000000-0005-0000-0000-00005D080000}"/>
    <cellStyle name="Comma 8 3 4 4" xfId="1794" xr:uid="{00000000-0005-0000-0000-00005E080000}"/>
    <cellStyle name="Comma 8 3 5" xfId="1795" xr:uid="{00000000-0005-0000-0000-00005F080000}"/>
    <cellStyle name="Comma 8 3 5 2" xfId="1796" xr:uid="{00000000-0005-0000-0000-000060080000}"/>
    <cellStyle name="Comma 8 3 6" xfId="1797" xr:uid="{00000000-0005-0000-0000-000061080000}"/>
    <cellStyle name="Comma 8 3 6 2" xfId="1798" xr:uid="{00000000-0005-0000-0000-000062080000}"/>
    <cellStyle name="Comma 8 3 7" xfId="1799" xr:uid="{00000000-0005-0000-0000-000063080000}"/>
    <cellStyle name="Comma 8 4" xfId="1800" xr:uid="{00000000-0005-0000-0000-000064080000}"/>
    <cellStyle name="Comma 8 4 2" xfId="1801" xr:uid="{00000000-0005-0000-0000-000065080000}"/>
    <cellStyle name="Comma 8 4 2 2" xfId="1802" xr:uid="{00000000-0005-0000-0000-000066080000}"/>
    <cellStyle name="Comma 8 4 2 2 2" xfId="1803" xr:uid="{00000000-0005-0000-0000-000067080000}"/>
    <cellStyle name="Comma 8 4 2 2 2 2" xfId="1804" xr:uid="{00000000-0005-0000-0000-000068080000}"/>
    <cellStyle name="Comma 8 4 2 2 3" xfId="1805" xr:uid="{00000000-0005-0000-0000-000069080000}"/>
    <cellStyle name="Comma 8 4 2 2 3 2" xfId="1806" xr:uid="{00000000-0005-0000-0000-00006A080000}"/>
    <cellStyle name="Comma 8 4 2 2 4" xfId="1807" xr:uid="{00000000-0005-0000-0000-00006B080000}"/>
    <cellStyle name="Comma 8 4 2 3" xfId="1808" xr:uid="{00000000-0005-0000-0000-00006C080000}"/>
    <cellStyle name="Comma 8 4 2 3 2" xfId="1809" xr:uid="{00000000-0005-0000-0000-00006D080000}"/>
    <cellStyle name="Comma 8 4 2 4" xfId="1810" xr:uid="{00000000-0005-0000-0000-00006E080000}"/>
    <cellStyle name="Comma 8 4 2 4 2" xfId="1811" xr:uid="{00000000-0005-0000-0000-00006F080000}"/>
    <cellStyle name="Comma 8 4 2 5" xfId="1812" xr:uid="{00000000-0005-0000-0000-000070080000}"/>
    <cellStyle name="Comma 8 4 3" xfId="1813" xr:uid="{00000000-0005-0000-0000-000071080000}"/>
    <cellStyle name="Comma 8 4 3 2" xfId="1814" xr:uid="{00000000-0005-0000-0000-000072080000}"/>
    <cellStyle name="Comma 8 4 3 2 2" xfId="1815" xr:uid="{00000000-0005-0000-0000-000073080000}"/>
    <cellStyle name="Comma 8 4 3 3" xfId="1816" xr:uid="{00000000-0005-0000-0000-000074080000}"/>
    <cellStyle name="Comma 8 4 3 3 2" xfId="1817" xr:uid="{00000000-0005-0000-0000-000075080000}"/>
    <cellStyle name="Comma 8 4 3 4" xfId="1818" xr:uid="{00000000-0005-0000-0000-000076080000}"/>
    <cellStyle name="Comma 8 4 4" xfId="1819" xr:uid="{00000000-0005-0000-0000-000077080000}"/>
    <cellStyle name="Comma 8 4 4 2" xfId="1820" xr:uid="{00000000-0005-0000-0000-000078080000}"/>
    <cellStyle name="Comma 8 4 5" xfId="1821" xr:uid="{00000000-0005-0000-0000-000079080000}"/>
    <cellStyle name="Comma 8 4 5 2" xfId="1822" xr:uid="{00000000-0005-0000-0000-00007A080000}"/>
    <cellStyle name="Comma 8 4 6" xfId="1823" xr:uid="{00000000-0005-0000-0000-00007B080000}"/>
    <cellStyle name="Comma 8 5" xfId="1824" xr:uid="{00000000-0005-0000-0000-00007C080000}"/>
    <cellStyle name="Comma 8 5 2" xfId="1825" xr:uid="{00000000-0005-0000-0000-00007D080000}"/>
    <cellStyle name="Comma 8 5 2 2" xfId="1826" xr:uid="{00000000-0005-0000-0000-00007E080000}"/>
    <cellStyle name="Comma 8 5 2 2 2" xfId="1827" xr:uid="{00000000-0005-0000-0000-00007F080000}"/>
    <cellStyle name="Comma 8 5 2 3" xfId="1828" xr:uid="{00000000-0005-0000-0000-000080080000}"/>
    <cellStyle name="Comma 8 5 2 3 2" xfId="1829" xr:uid="{00000000-0005-0000-0000-000081080000}"/>
    <cellStyle name="Comma 8 5 2 4" xfId="1830" xr:uid="{00000000-0005-0000-0000-000082080000}"/>
    <cellStyle name="Comma 8 5 3" xfId="1831" xr:uid="{00000000-0005-0000-0000-000083080000}"/>
    <cellStyle name="Comma 8 5 3 2" xfId="1832" xr:uid="{00000000-0005-0000-0000-000084080000}"/>
    <cellStyle name="Comma 8 5 4" xfId="1833" xr:uid="{00000000-0005-0000-0000-000085080000}"/>
    <cellStyle name="Comma 8 5 4 2" xfId="1834" xr:uid="{00000000-0005-0000-0000-000086080000}"/>
    <cellStyle name="Comma 8 5 5" xfId="1835" xr:uid="{00000000-0005-0000-0000-000087080000}"/>
    <cellStyle name="Comma 8 6" xfId="1836" xr:uid="{00000000-0005-0000-0000-000088080000}"/>
    <cellStyle name="Comma 8 6 2" xfId="1837" xr:uid="{00000000-0005-0000-0000-000089080000}"/>
    <cellStyle name="Comma 8 6 2 2" xfId="1838" xr:uid="{00000000-0005-0000-0000-00008A080000}"/>
    <cellStyle name="Comma 8 6 3" xfId="1839" xr:uid="{00000000-0005-0000-0000-00008B080000}"/>
    <cellStyle name="Comma 8 6 3 2" xfId="1840" xr:uid="{00000000-0005-0000-0000-00008C080000}"/>
    <cellStyle name="Comma 8 6 4" xfId="1841" xr:uid="{00000000-0005-0000-0000-00008D080000}"/>
    <cellStyle name="Comma 8 7" xfId="1842" xr:uid="{00000000-0005-0000-0000-00008E080000}"/>
    <cellStyle name="Comma 8 7 2" xfId="1843" xr:uid="{00000000-0005-0000-0000-00008F080000}"/>
    <cellStyle name="Comma 8 8" xfId="1844" xr:uid="{00000000-0005-0000-0000-000090080000}"/>
    <cellStyle name="Comma 8 8 2" xfId="1845" xr:uid="{00000000-0005-0000-0000-000091080000}"/>
    <cellStyle name="Comma 8 9" xfId="1846" xr:uid="{00000000-0005-0000-0000-000092080000}"/>
    <cellStyle name="Comma 9" xfId="1847" xr:uid="{00000000-0005-0000-0000-000093080000}"/>
    <cellStyle name="Comma 9 2" xfId="1848" xr:uid="{00000000-0005-0000-0000-000094080000}"/>
    <cellStyle name="Comma(2)" xfId="1849" xr:uid="{00000000-0005-0000-0000-000095080000}"/>
    <cellStyle name="Comma0" xfId="1850" xr:uid="{00000000-0005-0000-0000-000096080000}"/>
    <cellStyle name="Comma0 - Style2" xfId="1851" xr:uid="{00000000-0005-0000-0000-000097080000}"/>
    <cellStyle name="Comma1 - Style1" xfId="1852" xr:uid="{00000000-0005-0000-0000-000098080000}"/>
    <cellStyle name="Comments" xfId="1853" xr:uid="{00000000-0005-0000-0000-000099080000}"/>
    <cellStyle name="Currency 10" xfId="1854" xr:uid="{00000000-0005-0000-0000-00009A080000}"/>
    <cellStyle name="Currency 10 2" xfId="1855" xr:uid="{00000000-0005-0000-0000-00009B080000}"/>
    <cellStyle name="Currency 10 2 2" xfId="1856" xr:uid="{00000000-0005-0000-0000-00009C080000}"/>
    <cellStyle name="Currency 10 2 2 2" xfId="1857" xr:uid="{00000000-0005-0000-0000-00009D080000}"/>
    <cellStyle name="Currency 10 2 2 2 2" xfId="1858" xr:uid="{00000000-0005-0000-0000-00009E080000}"/>
    <cellStyle name="Currency 10 2 2 2 2 2" xfId="1859" xr:uid="{00000000-0005-0000-0000-00009F080000}"/>
    <cellStyle name="Currency 10 2 2 2 3" xfId="1860" xr:uid="{00000000-0005-0000-0000-0000A0080000}"/>
    <cellStyle name="Currency 10 2 2 2 3 2" xfId="1861" xr:uid="{00000000-0005-0000-0000-0000A1080000}"/>
    <cellStyle name="Currency 10 2 2 2 4" xfId="1862" xr:uid="{00000000-0005-0000-0000-0000A2080000}"/>
    <cellStyle name="Currency 10 2 2 3" xfId="1863" xr:uid="{00000000-0005-0000-0000-0000A3080000}"/>
    <cellStyle name="Currency 10 2 2 3 2" xfId="1864" xr:uid="{00000000-0005-0000-0000-0000A4080000}"/>
    <cellStyle name="Currency 10 2 2 4" xfId="1865" xr:uid="{00000000-0005-0000-0000-0000A5080000}"/>
    <cellStyle name="Currency 10 2 2 4 2" xfId="1866" xr:uid="{00000000-0005-0000-0000-0000A6080000}"/>
    <cellStyle name="Currency 10 2 2 5" xfId="1867" xr:uid="{00000000-0005-0000-0000-0000A7080000}"/>
    <cellStyle name="Currency 10 2 3" xfId="1868" xr:uid="{00000000-0005-0000-0000-0000A8080000}"/>
    <cellStyle name="Currency 10 2 3 2" xfId="1869" xr:uid="{00000000-0005-0000-0000-0000A9080000}"/>
    <cellStyle name="Currency 10 2 3 2 2" xfId="1870" xr:uid="{00000000-0005-0000-0000-0000AA080000}"/>
    <cellStyle name="Currency 10 2 3 3" xfId="1871" xr:uid="{00000000-0005-0000-0000-0000AB080000}"/>
    <cellStyle name="Currency 10 2 3 3 2" xfId="1872" xr:uid="{00000000-0005-0000-0000-0000AC080000}"/>
    <cellStyle name="Currency 10 2 3 4" xfId="1873" xr:uid="{00000000-0005-0000-0000-0000AD080000}"/>
    <cellStyle name="Currency 10 2 4" xfId="1874" xr:uid="{00000000-0005-0000-0000-0000AE080000}"/>
    <cellStyle name="Currency 10 2 4 2" xfId="1875" xr:uid="{00000000-0005-0000-0000-0000AF080000}"/>
    <cellStyle name="Currency 10 2 5" xfId="1876" xr:uid="{00000000-0005-0000-0000-0000B0080000}"/>
    <cellStyle name="Currency 10 2 5 2" xfId="1877" xr:uid="{00000000-0005-0000-0000-0000B1080000}"/>
    <cellStyle name="Currency 10 2 6" xfId="1878" xr:uid="{00000000-0005-0000-0000-0000B2080000}"/>
    <cellStyle name="Currency 10 3" xfId="1879" xr:uid="{00000000-0005-0000-0000-0000B3080000}"/>
    <cellStyle name="Currency 10 4" xfId="1880" xr:uid="{00000000-0005-0000-0000-0000B4080000}"/>
    <cellStyle name="Currency 10 5" xfId="1881" xr:uid="{00000000-0005-0000-0000-0000B5080000}"/>
    <cellStyle name="Currency 11" xfId="1882" xr:uid="{00000000-0005-0000-0000-0000B6080000}"/>
    <cellStyle name="Currency 11 2" xfId="1883" xr:uid="{00000000-0005-0000-0000-0000B7080000}"/>
    <cellStyle name="Currency 11 2 2" xfId="1884" xr:uid="{00000000-0005-0000-0000-0000B8080000}"/>
    <cellStyle name="Currency 11 3" xfId="1885" xr:uid="{00000000-0005-0000-0000-0000B9080000}"/>
    <cellStyle name="Currency 11 4" xfId="1886" xr:uid="{00000000-0005-0000-0000-0000BA080000}"/>
    <cellStyle name="Currency 11 5" xfId="1887" xr:uid="{00000000-0005-0000-0000-0000BB080000}"/>
    <cellStyle name="Currency 11 6" xfId="1888" xr:uid="{00000000-0005-0000-0000-0000BC080000}"/>
    <cellStyle name="Currency 12" xfId="1889" xr:uid="{00000000-0005-0000-0000-0000BD080000}"/>
    <cellStyle name="Currency 12 2" xfId="1890" xr:uid="{00000000-0005-0000-0000-0000BE080000}"/>
    <cellStyle name="Currency 12 2 2" xfId="1891" xr:uid="{00000000-0005-0000-0000-0000BF080000}"/>
    <cellStyle name="Currency 12 3" xfId="1892" xr:uid="{00000000-0005-0000-0000-0000C0080000}"/>
    <cellStyle name="Currency 12 4" xfId="1893" xr:uid="{00000000-0005-0000-0000-0000C1080000}"/>
    <cellStyle name="Currency 13" xfId="1894" xr:uid="{00000000-0005-0000-0000-0000C2080000}"/>
    <cellStyle name="Currency 14" xfId="1895" xr:uid="{00000000-0005-0000-0000-0000C3080000}"/>
    <cellStyle name="Currency 14 2" xfId="1896" xr:uid="{00000000-0005-0000-0000-0000C4080000}"/>
    <cellStyle name="Currency 15" xfId="1897" xr:uid="{00000000-0005-0000-0000-0000C5080000}"/>
    <cellStyle name="Currency 16" xfId="1898" xr:uid="{00000000-0005-0000-0000-0000C6080000}"/>
    <cellStyle name="Currency 17" xfId="1899" xr:uid="{00000000-0005-0000-0000-0000C7080000}"/>
    <cellStyle name="Currency 18" xfId="1900" xr:uid="{00000000-0005-0000-0000-0000C8080000}"/>
    <cellStyle name="Currency 19" xfId="1901" xr:uid="{00000000-0005-0000-0000-0000C9080000}"/>
    <cellStyle name="Currency 2" xfId="1902" xr:uid="{00000000-0005-0000-0000-0000CA080000}"/>
    <cellStyle name="Currency 2 2" xfId="1903" xr:uid="{00000000-0005-0000-0000-0000CB080000}"/>
    <cellStyle name="Currency 2 2 2" xfId="1904" xr:uid="{00000000-0005-0000-0000-0000CC080000}"/>
    <cellStyle name="Currency 2 2 2 2" xfId="1905" xr:uid="{00000000-0005-0000-0000-0000CD080000}"/>
    <cellStyle name="Currency 2 2 2 3" xfId="1906" xr:uid="{00000000-0005-0000-0000-0000CE080000}"/>
    <cellStyle name="Currency 2 2 2 4" xfId="1907" xr:uid="{00000000-0005-0000-0000-0000CF080000}"/>
    <cellStyle name="Currency 2 2 2 5" xfId="1908" xr:uid="{00000000-0005-0000-0000-0000D0080000}"/>
    <cellStyle name="Currency 2 2 2 6" xfId="1909" xr:uid="{00000000-0005-0000-0000-0000D1080000}"/>
    <cellStyle name="Currency 2 2 3" xfId="1910" xr:uid="{00000000-0005-0000-0000-0000D2080000}"/>
    <cellStyle name="Currency 2 2 3 2" xfId="1911" xr:uid="{00000000-0005-0000-0000-0000D3080000}"/>
    <cellStyle name="Currency 2 2 3 3" xfId="1912" xr:uid="{00000000-0005-0000-0000-0000D4080000}"/>
    <cellStyle name="Currency 2 2 3 4" xfId="1913" xr:uid="{00000000-0005-0000-0000-0000D5080000}"/>
    <cellStyle name="Currency 2 2 4" xfId="1914" xr:uid="{00000000-0005-0000-0000-0000D6080000}"/>
    <cellStyle name="Currency 2 2 4 2" xfId="1915" xr:uid="{00000000-0005-0000-0000-0000D7080000}"/>
    <cellStyle name="Currency 2 2 4 3" xfId="1916" xr:uid="{00000000-0005-0000-0000-0000D8080000}"/>
    <cellStyle name="Currency 2 2 5" xfId="1917" xr:uid="{00000000-0005-0000-0000-0000D9080000}"/>
    <cellStyle name="Currency 2 2 6" xfId="1918" xr:uid="{00000000-0005-0000-0000-0000DA080000}"/>
    <cellStyle name="Currency 2 2 7" xfId="1919" xr:uid="{00000000-0005-0000-0000-0000DB080000}"/>
    <cellStyle name="Currency 2 2 8" xfId="1920" xr:uid="{00000000-0005-0000-0000-0000DC080000}"/>
    <cellStyle name="Currency 2 3" xfId="1921" xr:uid="{00000000-0005-0000-0000-0000DD080000}"/>
    <cellStyle name="Currency 2 3 2" xfId="1922" xr:uid="{00000000-0005-0000-0000-0000DE080000}"/>
    <cellStyle name="Currency 2 3 2 2" xfId="1923" xr:uid="{00000000-0005-0000-0000-0000DF080000}"/>
    <cellStyle name="Currency 2 3 2 3" xfId="1924" xr:uid="{00000000-0005-0000-0000-0000E0080000}"/>
    <cellStyle name="Currency 2 3 2 4" xfId="1925" xr:uid="{00000000-0005-0000-0000-0000E1080000}"/>
    <cellStyle name="Currency 2 3 2 5" xfId="1926" xr:uid="{00000000-0005-0000-0000-0000E2080000}"/>
    <cellStyle name="Currency 2 3 2 6" xfId="1927" xr:uid="{00000000-0005-0000-0000-0000E3080000}"/>
    <cellStyle name="Currency 2 3 3" xfId="1928" xr:uid="{00000000-0005-0000-0000-0000E4080000}"/>
    <cellStyle name="Currency 2 3 3 2" xfId="1929" xr:uid="{00000000-0005-0000-0000-0000E5080000}"/>
    <cellStyle name="Currency 2 3 3 3" xfId="1930" xr:uid="{00000000-0005-0000-0000-0000E6080000}"/>
    <cellStyle name="Currency 2 3 3 4" xfId="1931" xr:uid="{00000000-0005-0000-0000-0000E7080000}"/>
    <cellStyle name="Currency 2 3 3 5" xfId="1932" xr:uid="{00000000-0005-0000-0000-0000E8080000}"/>
    <cellStyle name="Currency 2 3 4" xfId="1933" xr:uid="{00000000-0005-0000-0000-0000E9080000}"/>
    <cellStyle name="Currency 2 3 4 2" xfId="1934" xr:uid="{00000000-0005-0000-0000-0000EA080000}"/>
    <cellStyle name="Currency 2 3 4 3" xfId="1935" xr:uid="{00000000-0005-0000-0000-0000EB080000}"/>
    <cellStyle name="Currency 2 3 4 4" xfId="1936" xr:uid="{00000000-0005-0000-0000-0000EC080000}"/>
    <cellStyle name="Currency 2 3 5" xfId="1937" xr:uid="{00000000-0005-0000-0000-0000ED080000}"/>
    <cellStyle name="Currency 2 3 6" xfId="1938" xr:uid="{00000000-0005-0000-0000-0000EE080000}"/>
    <cellStyle name="Currency 2 3 7" xfId="1939" xr:uid="{00000000-0005-0000-0000-0000EF080000}"/>
    <cellStyle name="Currency 2 4" xfId="1940" xr:uid="{00000000-0005-0000-0000-0000F0080000}"/>
    <cellStyle name="Currency 2 4 2" xfId="1941" xr:uid="{00000000-0005-0000-0000-0000F1080000}"/>
    <cellStyle name="Currency 2 4 2 2" xfId="1942" xr:uid="{00000000-0005-0000-0000-0000F2080000}"/>
    <cellStyle name="Currency 2 4 2 3" xfId="1943" xr:uid="{00000000-0005-0000-0000-0000F3080000}"/>
    <cellStyle name="Currency 2 4 2 4" xfId="1944" xr:uid="{00000000-0005-0000-0000-0000F4080000}"/>
    <cellStyle name="Currency 2 4 2 5" xfId="1945" xr:uid="{00000000-0005-0000-0000-0000F5080000}"/>
    <cellStyle name="Currency 2 4 2 6" xfId="1946" xr:uid="{00000000-0005-0000-0000-0000F6080000}"/>
    <cellStyle name="Currency 2 4 3" xfId="1947" xr:uid="{00000000-0005-0000-0000-0000F7080000}"/>
    <cellStyle name="Currency 2 4 3 2" xfId="1948" xr:uid="{00000000-0005-0000-0000-0000F8080000}"/>
    <cellStyle name="Currency 2 4 3 3" xfId="1949" xr:uid="{00000000-0005-0000-0000-0000F9080000}"/>
    <cellStyle name="Currency 2 4 4" xfId="1950" xr:uid="{00000000-0005-0000-0000-0000FA080000}"/>
    <cellStyle name="Currency 2 4 4 2" xfId="1951" xr:uid="{00000000-0005-0000-0000-0000FB080000}"/>
    <cellStyle name="Currency 2 4 4 3" xfId="1952" xr:uid="{00000000-0005-0000-0000-0000FC080000}"/>
    <cellStyle name="Currency 2 4 5" xfId="1953" xr:uid="{00000000-0005-0000-0000-0000FD080000}"/>
    <cellStyle name="Currency 2 4 6" xfId="1954" xr:uid="{00000000-0005-0000-0000-0000FE080000}"/>
    <cellStyle name="Currency 2 4 7" xfId="1955" xr:uid="{00000000-0005-0000-0000-0000FF080000}"/>
    <cellStyle name="Currency 2 4 8" xfId="1956" xr:uid="{00000000-0005-0000-0000-000000090000}"/>
    <cellStyle name="Currency 2 4 9" xfId="1957" xr:uid="{00000000-0005-0000-0000-000001090000}"/>
    <cellStyle name="Currency 2 5" xfId="1958" xr:uid="{00000000-0005-0000-0000-000002090000}"/>
    <cellStyle name="Currency 2 5 2" xfId="1959" xr:uid="{00000000-0005-0000-0000-000003090000}"/>
    <cellStyle name="Currency 2 5 3" xfId="1960" xr:uid="{00000000-0005-0000-0000-000004090000}"/>
    <cellStyle name="Currency 2 6" xfId="1961" xr:uid="{00000000-0005-0000-0000-000005090000}"/>
    <cellStyle name="Currency 2 6 2" xfId="1962" xr:uid="{00000000-0005-0000-0000-000006090000}"/>
    <cellStyle name="Currency 2 6 3" xfId="1963" xr:uid="{00000000-0005-0000-0000-000007090000}"/>
    <cellStyle name="Currency 2 7" xfId="1964" xr:uid="{00000000-0005-0000-0000-000008090000}"/>
    <cellStyle name="Currency 20" xfId="23039" xr:uid="{3A6FE6CE-818A-4602-96C1-C6560037CC1B}"/>
    <cellStyle name="Currency 3" xfId="1965" xr:uid="{00000000-0005-0000-0000-000009090000}"/>
    <cellStyle name="Currency 3 10" xfId="1966" xr:uid="{00000000-0005-0000-0000-00000A090000}"/>
    <cellStyle name="Currency 3 2" xfId="1967" xr:uid="{00000000-0005-0000-0000-00000B090000}"/>
    <cellStyle name="Currency 3 2 2" xfId="1968" xr:uid="{00000000-0005-0000-0000-00000C090000}"/>
    <cellStyle name="Currency 3 2 2 2" xfId="1969" xr:uid="{00000000-0005-0000-0000-00000D090000}"/>
    <cellStyle name="Currency 3 2 2 2 2" xfId="1970" xr:uid="{00000000-0005-0000-0000-00000E090000}"/>
    <cellStyle name="Currency 3 2 2 2 2 2" xfId="1971" xr:uid="{00000000-0005-0000-0000-00000F090000}"/>
    <cellStyle name="Currency 3 2 2 2 2 2 2" xfId="1972" xr:uid="{00000000-0005-0000-0000-000010090000}"/>
    <cellStyle name="Currency 3 2 2 2 2 2 2 2" xfId="1973" xr:uid="{00000000-0005-0000-0000-000011090000}"/>
    <cellStyle name="Currency 3 2 2 2 2 2 3" xfId="1974" xr:uid="{00000000-0005-0000-0000-000012090000}"/>
    <cellStyle name="Currency 3 2 2 2 2 2 3 2" xfId="1975" xr:uid="{00000000-0005-0000-0000-000013090000}"/>
    <cellStyle name="Currency 3 2 2 2 2 2 4" xfId="1976" xr:uid="{00000000-0005-0000-0000-000014090000}"/>
    <cellStyle name="Currency 3 2 2 2 2 3" xfId="1977" xr:uid="{00000000-0005-0000-0000-000015090000}"/>
    <cellStyle name="Currency 3 2 2 2 2 3 2" xfId="1978" xr:uid="{00000000-0005-0000-0000-000016090000}"/>
    <cellStyle name="Currency 3 2 2 2 2 4" xfId="1979" xr:uid="{00000000-0005-0000-0000-000017090000}"/>
    <cellStyle name="Currency 3 2 2 2 2 4 2" xfId="1980" xr:uid="{00000000-0005-0000-0000-000018090000}"/>
    <cellStyle name="Currency 3 2 2 2 2 5" xfId="1981" xr:uid="{00000000-0005-0000-0000-000019090000}"/>
    <cellStyle name="Currency 3 2 2 2 3" xfId="1982" xr:uid="{00000000-0005-0000-0000-00001A090000}"/>
    <cellStyle name="Currency 3 2 2 2 3 2" xfId="1983" xr:uid="{00000000-0005-0000-0000-00001B090000}"/>
    <cellStyle name="Currency 3 2 2 2 3 2 2" xfId="1984" xr:uid="{00000000-0005-0000-0000-00001C090000}"/>
    <cellStyle name="Currency 3 2 2 2 3 3" xfId="1985" xr:uid="{00000000-0005-0000-0000-00001D090000}"/>
    <cellStyle name="Currency 3 2 2 2 3 3 2" xfId="1986" xr:uid="{00000000-0005-0000-0000-00001E090000}"/>
    <cellStyle name="Currency 3 2 2 2 3 4" xfId="1987" xr:uid="{00000000-0005-0000-0000-00001F090000}"/>
    <cellStyle name="Currency 3 2 2 2 4" xfId="1988" xr:uid="{00000000-0005-0000-0000-000020090000}"/>
    <cellStyle name="Currency 3 2 2 2 4 2" xfId="1989" xr:uid="{00000000-0005-0000-0000-000021090000}"/>
    <cellStyle name="Currency 3 2 2 2 5" xfId="1990" xr:uid="{00000000-0005-0000-0000-000022090000}"/>
    <cellStyle name="Currency 3 2 2 2 5 2" xfId="1991" xr:uid="{00000000-0005-0000-0000-000023090000}"/>
    <cellStyle name="Currency 3 2 2 2 6" xfId="1992" xr:uid="{00000000-0005-0000-0000-000024090000}"/>
    <cellStyle name="Currency 3 2 2 3" xfId="1993" xr:uid="{00000000-0005-0000-0000-000025090000}"/>
    <cellStyle name="Currency 3 2 2 3 2" xfId="1994" xr:uid="{00000000-0005-0000-0000-000026090000}"/>
    <cellStyle name="Currency 3 2 2 3 2 2" xfId="1995" xr:uid="{00000000-0005-0000-0000-000027090000}"/>
    <cellStyle name="Currency 3 2 2 3 2 2 2" xfId="1996" xr:uid="{00000000-0005-0000-0000-000028090000}"/>
    <cellStyle name="Currency 3 2 2 3 2 3" xfId="1997" xr:uid="{00000000-0005-0000-0000-000029090000}"/>
    <cellStyle name="Currency 3 2 2 3 2 3 2" xfId="1998" xr:uid="{00000000-0005-0000-0000-00002A090000}"/>
    <cellStyle name="Currency 3 2 2 3 2 4" xfId="1999" xr:uid="{00000000-0005-0000-0000-00002B090000}"/>
    <cellStyle name="Currency 3 2 2 3 3" xfId="2000" xr:uid="{00000000-0005-0000-0000-00002C090000}"/>
    <cellStyle name="Currency 3 2 2 3 3 2" xfId="2001" xr:uid="{00000000-0005-0000-0000-00002D090000}"/>
    <cellStyle name="Currency 3 2 2 3 4" xfId="2002" xr:uid="{00000000-0005-0000-0000-00002E090000}"/>
    <cellStyle name="Currency 3 2 2 3 4 2" xfId="2003" xr:uid="{00000000-0005-0000-0000-00002F090000}"/>
    <cellStyle name="Currency 3 2 2 3 5" xfId="2004" xr:uid="{00000000-0005-0000-0000-000030090000}"/>
    <cellStyle name="Currency 3 2 2 4" xfId="2005" xr:uid="{00000000-0005-0000-0000-000031090000}"/>
    <cellStyle name="Currency 3 2 2 4 2" xfId="2006" xr:uid="{00000000-0005-0000-0000-000032090000}"/>
    <cellStyle name="Currency 3 2 2 4 2 2" xfId="2007" xr:uid="{00000000-0005-0000-0000-000033090000}"/>
    <cellStyle name="Currency 3 2 2 4 3" xfId="2008" xr:uid="{00000000-0005-0000-0000-000034090000}"/>
    <cellStyle name="Currency 3 2 2 4 3 2" xfId="2009" xr:uid="{00000000-0005-0000-0000-000035090000}"/>
    <cellStyle name="Currency 3 2 2 4 4" xfId="2010" xr:uid="{00000000-0005-0000-0000-000036090000}"/>
    <cellStyle name="Currency 3 2 2 5" xfId="2011" xr:uid="{00000000-0005-0000-0000-000037090000}"/>
    <cellStyle name="Currency 3 2 2 5 2" xfId="2012" xr:uid="{00000000-0005-0000-0000-000038090000}"/>
    <cellStyle name="Currency 3 2 2 6" xfId="2013" xr:uid="{00000000-0005-0000-0000-000039090000}"/>
    <cellStyle name="Currency 3 2 2 6 2" xfId="2014" xr:uid="{00000000-0005-0000-0000-00003A090000}"/>
    <cellStyle name="Currency 3 2 2 7" xfId="2015" xr:uid="{00000000-0005-0000-0000-00003B090000}"/>
    <cellStyle name="Currency 3 2 3" xfId="2016" xr:uid="{00000000-0005-0000-0000-00003C090000}"/>
    <cellStyle name="Currency 3 2 3 2" xfId="2017" xr:uid="{00000000-0005-0000-0000-00003D090000}"/>
    <cellStyle name="Currency 3 2 3 2 2" xfId="2018" xr:uid="{00000000-0005-0000-0000-00003E090000}"/>
    <cellStyle name="Currency 3 2 3 2 2 2" xfId="2019" xr:uid="{00000000-0005-0000-0000-00003F090000}"/>
    <cellStyle name="Currency 3 2 3 2 2 2 2" xfId="2020" xr:uid="{00000000-0005-0000-0000-000040090000}"/>
    <cellStyle name="Currency 3 2 3 2 2 3" xfId="2021" xr:uid="{00000000-0005-0000-0000-000041090000}"/>
    <cellStyle name="Currency 3 2 3 2 2 3 2" xfId="2022" xr:uid="{00000000-0005-0000-0000-000042090000}"/>
    <cellStyle name="Currency 3 2 3 2 2 4" xfId="2023" xr:uid="{00000000-0005-0000-0000-000043090000}"/>
    <cellStyle name="Currency 3 2 3 2 3" xfId="2024" xr:uid="{00000000-0005-0000-0000-000044090000}"/>
    <cellStyle name="Currency 3 2 3 2 3 2" xfId="2025" xr:uid="{00000000-0005-0000-0000-000045090000}"/>
    <cellStyle name="Currency 3 2 3 2 4" xfId="2026" xr:uid="{00000000-0005-0000-0000-000046090000}"/>
    <cellStyle name="Currency 3 2 3 2 4 2" xfId="2027" xr:uid="{00000000-0005-0000-0000-000047090000}"/>
    <cellStyle name="Currency 3 2 3 2 5" xfId="2028" xr:uid="{00000000-0005-0000-0000-000048090000}"/>
    <cellStyle name="Currency 3 2 3 3" xfId="2029" xr:uid="{00000000-0005-0000-0000-000049090000}"/>
    <cellStyle name="Currency 3 2 3 3 2" xfId="2030" xr:uid="{00000000-0005-0000-0000-00004A090000}"/>
    <cellStyle name="Currency 3 2 3 3 2 2" xfId="2031" xr:uid="{00000000-0005-0000-0000-00004B090000}"/>
    <cellStyle name="Currency 3 2 3 3 3" xfId="2032" xr:uid="{00000000-0005-0000-0000-00004C090000}"/>
    <cellStyle name="Currency 3 2 3 3 3 2" xfId="2033" xr:uid="{00000000-0005-0000-0000-00004D090000}"/>
    <cellStyle name="Currency 3 2 3 3 4" xfId="2034" xr:uid="{00000000-0005-0000-0000-00004E090000}"/>
    <cellStyle name="Currency 3 2 3 4" xfId="2035" xr:uid="{00000000-0005-0000-0000-00004F090000}"/>
    <cellStyle name="Currency 3 2 3 4 2" xfId="2036" xr:uid="{00000000-0005-0000-0000-000050090000}"/>
    <cellStyle name="Currency 3 2 3 5" xfId="2037" xr:uid="{00000000-0005-0000-0000-000051090000}"/>
    <cellStyle name="Currency 3 2 3 5 2" xfId="2038" xr:uid="{00000000-0005-0000-0000-000052090000}"/>
    <cellStyle name="Currency 3 2 3 6" xfId="2039" xr:uid="{00000000-0005-0000-0000-000053090000}"/>
    <cellStyle name="Currency 3 2 4" xfId="2040" xr:uid="{00000000-0005-0000-0000-000054090000}"/>
    <cellStyle name="Currency 3 2 4 2" xfId="2041" xr:uid="{00000000-0005-0000-0000-000055090000}"/>
    <cellStyle name="Currency 3 2 4 2 2" xfId="2042" xr:uid="{00000000-0005-0000-0000-000056090000}"/>
    <cellStyle name="Currency 3 2 4 2 2 2" xfId="2043" xr:uid="{00000000-0005-0000-0000-000057090000}"/>
    <cellStyle name="Currency 3 2 4 2 3" xfId="2044" xr:uid="{00000000-0005-0000-0000-000058090000}"/>
    <cellStyle name="Currency 3 2 4 2 3 2" xfId="2045" xr:uid="{00000000-0005-0000-0000-000059090000}"/>
    <cellStyle name="Currency 3 2 4 2 4" xfId="2046" xr:uid="{00000000-0005-0000-0000-00005A090000}"/>
    <cellStyle name="Currency 3 2 4 3" xfId="2047" xr:uid="{00000000-0005-0000-0000-00005B090000}"/>
    <cellStyle name="Currency 3 2 4 3 2" xfId="2048" xr:uid="{00000000-0005-0000-0000-00005C090000}"/>
    <cellStyle name="Currency 3 2 4 4" xfId="2049" xr:uid="{00000000-0005-0000-0000-00005D090000}"/>
    <cellStyle name="Currency 3 2 4 4 2" xfId="2050" xr:uid="{00000000-0005-0000-0000-00005E090000}"/>
    <cellStyle name="Currency 3 2 4 5" xfId="2051" xr:uid="{00000000-0005-0000-0000-00005F090000}"/>
    <cellStyle name="Currency 3 2 5" xfId="2052" xr:uid="{00000000-0005-0000-0000-000060090000}"/>
    <cellStyle name="Currency 3 2 5 2" xfId="2053" xr:uid="{00000000-0005-0000-0000-000061090000}"/>
    <cellStyle name="Currency 3 2 5 2 2" xfId="2054" xr:uid="{00000000-0005-0000-0000-000062090000}"/>
    <cellStyle name="Currency 3 2 5 3" xfId="2055" xr:uid="{00000000-0005-0000-0000-000063090000}"/>
    <cellStyle name="Currency 3 2 5 3 2" xfId="2056" xr:uid="{00000000-0005-0000-0000-000064090000}"/>
    <cellStyle name="Currency 3 2 5 4" xfId="2057" xr:uid="{00000000-0005-0000-0000-000065090000}"/>
    <cellStyle name="Currency 3 2 6" xfId="2058" xr:uid="{00000000-0005-0000-0000-000066090000}"/>
    <cellStyle name="Currency 3 2 6 2" xfId="2059" xr:uid="{00000000-0005-0000-0000-000067090000}"/>
    <cellStyle name="Currency 3 2 7" xfId="2060" xr:uid="{00000000-0005-0000-0000-000068090000}"/>
    <cellStyle name="Currency 3 2 7 2" xfId="2061" xr:uid="{00000000-0005-0000-0000-000069090000}"/>
    <cellStyle name="Currency 3 2 8" xfId="2062" xr:uid="{00000000-0005-0000-0000-00006A090000}"/>
    <cellStyle name="Currency 3 3" xfId="2063" xr:uid="{00000000-0005-0000-0000-00006B090000}"/>
    <cellStyle name="Currency 3 3 2" xfId="2064" xr:uid="{00000000-0005-0000-0000-00006C090000}"/>
    <cellStyle name="Currency 3 3 2 2" xfId="2065" xr:uid="{00000000-0005-0000-0000-00006D090000}"/>
    <cellStyle name="Currency 3 3 2 2 2" xfId="2066" xr:uid="{00000000-0005-0000-0000-00006E090000}"/>
    <cellStyle name="Currency 3 3 2 2 2 2" xfId="2067" xr:uid="{00000000-0005-0000-0000-00006F090000}"/>
    <cellStyle name="Currency 3 3 2 2 2 2 2" xfId="2068" xr:uid="{00000000-0005-0000-0000-000070090000}"/>
    <cellStyle name="Currency 3 3 2 2 2 3" xfId="2069" xr:uid="{00000000-0005-0000-0000-000071090000}"/>
    <cellStyle name="Currency 3 3 2 2 2 3 2" xfId="2070" xr:uid="{00000000-0005-0000-0000-000072090000}"/>
    <cellStyle name="Currency 3 3 2 2 2 4" xfId="2071" xr:uid="{00000000-0005-0000-0000-000073090000}"/>
    <cellStyle name="Currency 3 3 2 2 3" xfId="2072" xr:uid="{00000000-0005-0000-0000-000074090000}"/>
    <cellStyle name="Currency 3 3 2 2 3 2" xfId="2073" xr:uid="{00000000-0005-0000-0000-000075090000}"/>
    <cellStyle name="Currency 3 3 2 2 4" xfId="2074" xr:uid="{00000000-0005-0000-0000-000076090000}"/>
    <cellStyle name="Currency 3 3 2 2 4 2" xfId="2075" xr:uid="{00000000-0005-0000-0000-000077090000}"/>
    <cellStyle name="Currency 3 3 2 2 5" xfId="2076" xr:uid="{00000000-0005-0000-0000-000078090000}"/>
    <cellStyle name="Currency 3 3 2 3" xfId="2077" xr:uid="{00000000-0005-0000-0000-000079090000}"/>
    <cellStyle name="Currency 3 3 2 3 2" xfId="2078" xr:uid="{00000000-0005-0000-0000-00007A090000}"/>
    <cellStyle name="Currency 3 3 2 3 2 2" xfId="2079" xr:uid="{00000000-0005-0000-0000-00007B090000}"/>
    <cellStyle name="Currency 3 3 2 3 3" xfId="2080" xr:uid="{00000000-0005-0000-0000-00007C090000}"/>
    <cellStyle name="Currency 3 3 2 3 3 2" xfId="2081" xr:uid="{00000000-0005-0000-0000-00007D090000}"/>
    <cellStyle name="Currency 3 3 2 3 4" xfId="2082" xr:uid="{00000000-0005-0000-0000-00007E090000}"/>
    <cellStyle name="Currency 3 3 2 4" xfId="2083" xr:uid="{00000000-0005-0000-0000-00007F090000}"/>
    <cellStyle name="Currency 3 3 2 4 2" xfId="2084" xr:uid="{00000000-0005-0000-0000-000080090000}"/>
    <cellStyle name="Currency 3 3 2 5" xfId="2085" xr:uid="{00000000-0005-0000-0000-000081090000}"/>
    <cellStyle name="Currency 3 3 2 5 2" xfId="2086" xr:uid="{00000000-0005-0000-0000-000082090000}"/>
    <cellStyle name="Currency 3 3 2 6" xfId="2087" xr:uid="{00000000-0005-0000-0000-000083090000}"/>
    <cellStyle name="Currency 3 3 3" xfId="2088" xr:uid="{00000000-0005-0000-0000-000084090000}"/>
    <cellStyle name="Currency 3 3 3 2" xfId="2089" xr:uid="{00000000-0005-0000-0000-000085090000}"/>
    <cellStyle name="Currency 3 3 3 2 2" xfId="2090" xr:uid="{00000000-0005-0000-0000-000086090000}"/>
    <cellStyle name="Currency 3 3 3 2 2 2" xfId="2091" xr:uid="{00000000-0005-0000-0000-000087090000}"/>
    <cellStyle name="Currency 3 3 3 2 3" xfId="2092" xr:uid="{00000000-0005-0000-0000-000088090000}"/>
    <cellStyle name="Currency 3 3 3 2 3 2" xfId="2093" xr:uid="{00000000-0005-0000-0000-000089090000}"/>
    <cellStyle name="Currency 3 3 3 2 4" xfId="2094" xr:uid="{00000000-0005-0000-0000-00008A090000}"/>
    <cellStyle name="Currency 3 3 3 3" xfId="2095" xr:uid="{00000000-0005-0000-0000-00008B090000}"/>
    <cellStyle name="Currency 3 3 3 3 2" xfId="2096" xr:uid="{00000000-0005-0000-0000-00008C090000}"/>
    <cellStyle name="Currency 3 3 3 4" xfId="2097" xr:uid="{00000000-0005-0000-0000-00008D090000}"/>
    <cellStyle name="Currency 3 3 3 4 2" xfId="2098" xr:uid="{00000000-0005-0000-0000-00008E090000}"/>
    <cellStyle name="Currency 3 3 3 5" xfId="2099" xr:uid="{00000000-0005-0000-0000-00008F090000}"/>
    <cellStyle name="Currency 3 3 4" xfId="2100" xr:uid="{00000000-0005-0000-0000-000090090000}"/>
    <cellStyle name="Currency 3 3 4 2" xfId="2101" xr:uid="{00000000-0005-0000-0000-000091090000}"/>
    <cellStyle name="Currency 3 3 4 2 2" xfId="2102" xr:uid="{00000000-0005-0000-0000-000092090000}"/>
    <cellStyle name="Currency 3 3 4 3" xfId="2103" xr:uid="{00000000-0005-0000-0000-000093090000}"/>
    <cellStyle name="Currency 3 3 4 3 2" xfId="2104" xr:uid="{00000000-0005-0000-0000-000094090000}"/>
    <cellStyle name="Currency 3 3 4 4" xfId="2105" xr:uid="{00000000-0005-0000-0000-000095090000}"/>
    <cellStyle name="Currency 3 3 5" xfId="2106" xr:uid="{00000000-0005-0000-0000-000096090000}"/>
    <cellStyle name="Currency 3 3 5 2" xfId="2107" xr:uid="{00000000-0005-0000-0000-000097090000}"/>
    <cellStyle name="Currency 3 3 6" xfId="2108" xr:uid="{00000000-0005-0000-0000-000098090000}"/>
    <cellStyle name="Currency 3 3 6 2" xfId="2109" xr:uid="{00000000-0005-0000-0000-000099090000}"/>
    <cellStyle name="Currency 3 3 7" xfId="2110" xr:uid="{00000000-0005-0000-0000-00009A090000}"/>
    <cellStyle name="Currency 3 4" xfId="2111" xr:uid="{00000000-0005-0000-0000-00009B090000}"/>
    <cellStyle name="Currency 3 4 2" xfId="2112" xr:uid="{00000000-0005-0000-0000-00009C090000}"/>
    <cellStyle name="Currency 3 4 2 2" xfId="2113" xr:uid="{00000000-0005-0000-0000-00009D090000}"/>
    <cellStyle name="Currency 3 4 2 2 2" xfId="2114" xr:uid="{00000000-0005-0000-0000-00009E090000}"/>
    <cellStyle name="Currency 3 4 2 2 2 2" xfId="2115" xr:uid="{00000000-0005-0000-0000-00009F090000}"/>
    <cellStyle name="Currency 3 4 2 2 2 2 2" xfId="2116" xr:uid="{00000000-0005-0000-0000-0000A0090000}"/>
    <cellStyle name="Currency 3 4 2 2 2 3" xfId="2117" xr:uid="{00000000-0005-0000-0000-0000A1090000}"/>
    <cellStyle name="Currency 3 4 2 2 2 3 2" xfId="2118" xr:uid="{00000000-0005-0000-0000-0000A2090000}"/>
    <cellStyle name="Currency 3 4 2 2 2 4" xfId="2119" xr:uid="{00000000-0005-0000-0000-0000A3090000}"/>
    <cellStyle name="Currency 3 4 2 2 3" xfId="2120" xr:uid="{00000000-0005-0000-0000-0000A4090000}"/>
    <cellStyle name="Currency 3 4 2 2 3 2" xfId="2121" xr:uid="{00000000-0005-0000-0000-0000A5090000}"/>
    <cellStyle name="Currency 3 4 2 2 4" xfId="2122" xr:uid="{00000000-0005-0000-0000-0000A6090000}"/>
    <cellStyle name="Currency 3 4 2 2 4 2" xfId="2123" xr:uid="{00000000-0005-0000-0000-0000A7090000}"/>
    <cellStyle name="Currency 3 4 2 2 5" xfId="2124" xr:uid="{00000000-0005-0000-0000-0000A8090000}"/>
    <cellStyle name="Currency 3 4 2 3" xfId="2125" xr:uid="{00000000-0005-0000-0000-0000A9090000}"/>
    <cellStyle name="Currency 3 4 2 3 2" xfId="2126" xr:uid="{00000000-0005-0000-0000-0000AA090000}"/>
    <cellStyle name="Currency 3 4 2 3 2 2" xfId="2127" xr:uid="{00000000-0005-0000-0000-0000AB090000}"/>
    <cellStyle name="Currency 3 4 2 3 3" xfId="2128" xr:uid="{00000000-0005-0000-0000-0000AC090000}"/>
    <cellStyle name="Currency 3 4 2 3 3 2" xfId="2129" xr:uid="{00000000-0005-0000-0000-0000AD090000}"/>
    <cellStyle name="Currency 3 4 2 3 4" xfId="2130" xr:uid="{00000000-0005-0000-0000-0000AE090000}"/>
    <cellStyle name="Currency 3 4 2 4" xfId="2131" xr:uid="{00000000-0005-0000-0000-0000AF090000}"/>
    <cellStyle name="Currency 3 4 2 4 2" xfId="2132" xr:uid="{00000000-0005-0000-0000-0000B0090000}"/>
    <cellStyle name="Currency 3 4 2 5" xfId="2133" xr:uid="{00000000-0005-0000-0000-0000B1090000}"/>
    <cellStyle name="Currency 3 4 2 5 2" xfId="2134" xr:uid="{00000000-0005-0000-0000-0000B2090000}"/>
    <cellStyle name="Currency 3 4 2 6" xfId="2135" xr:uid="{00000000-0005-0000-0000-0000B3090000}"/>
    <cellStyle name="Currency 3 4 3" xfId="2136" xr:uid="{00000000-0005-0000-0000-0000B4090000}"/>
    <cellStyle name="Currency 3 4 3 2" xfId="2137" xr:uid="{00000000-0005-0000-0000-0000B5090000}"/>
    <cellStyle name="Currency 3 4 3 2 2" xfId="2138" xr:uid="{00000000-0005-0000-0000-0000B6090000}"/>
    <cellStyle name="Currency 3 4 3 2 2 2" xfId="2139" xr:uid="{00000000-0005-0000-0000-0000B7090000}"/>
    <cellStyle name="Currency 3 4 3 2 3" xfId="2140" xr:uid="{00000000-0005-0000-0000-0000B8090000}"/>
    <cellStyle name="Currency 3 4 3 2 3 2" xfId="2141" xr:uid="{00000000-0005-0000-0000-0000B9090000}"/>
    <cellStyle name="Currency 3 4 3 2 4" xfId="2142" xr:uid="{00000000-0005-0000-0000-0000BA090000}"/>
    <cellStyle name="Currency 3 4 3 3" xfId="2143" xr:uid="{00000000-0005-0000-0000-0000BB090000}"/>
    <cellStyle name="Currency 3 4 3 3 2" xfId="2144" xr:uid="{00000000-0005-0000-0000-0000BC090000}"/>
    <cellStyle name="Currency 3 4 3 4" xfId="2145" xr:uid="{00000000-0005-0000-0000-0000BD090000}"/>
    <cellStyle name="Currency 3 4 3 4 2" xfId="2146" xr:uid="{00000000-0005-0000-0000-0000BE090000}"/>
    <cellStyle name="Currency 3 4 3 5" xfId="2147" xr:uid="{00000000-0005-0000-0000-0000BF090000}"/>
    <cellStyle name="Currency 3 4 4" xfId="2148" xr:uid="{00000000-0005-0000-0000-0000C0090000}"/>
    <cellStyle name="Currency 3 4 4 2" xfId="2149" xr:uid="{00000000-0005-0000-0000-0000C1090000}"/>
    <cellStyle name="Currency 3 4 4 2 2" xfId="2150" xr:uid="{00000000-0005-0000-0000-0000C2090000}"/>
    <cellStyle name="Currency 3 4 4 3" xfId="2151" xr:uid="{00000000-0005-0000-0000-0000C3090000}"/>
    <cellStyle name="Currency 3 4 4 3 2" xfId="2152" xr:uid="{00000000-0005-0000-0000-0000C4090000}"/>
    <cellStyle name="Currency 3 4 4 4" xfId="2153" xr:uid="{00000000-0005-0000-0000-0000C5090000}"/>
    <cellStyle name="Currency 3 4 5" xfId="2154" xr:uid="{00000000-0005-0000-0000-0000C6090000}"/>
    <cellStyle name="Currency 3 4 5 2" xfId="2155" xr:uid="{00000000-0005-0000-0000-0000C7090000}"/>
    <cellStyle name="Currency 3 4 6" xfId="2156" xr:uid="{00000000-0005-0000-0000-0000C8090000}"/>
    <cellStyle name="Currency 3 4 6 2" xfId="2157" xr:uid="{00000000-0005-0000-0000-0000C9090000}"/>
    <cellStyle name="Currency 3 4 7" xfId="2158" xr:uid="{00000000-0005-0000-0000-0000CA090000}"/>
    <cellStyle name="Currency 3 5" xfId="2159" xr:uid="{00000000-0005-0000-0000-0000CB090000}"/>
    <cellStyle name="Currency 3 5 2" xfId="2160" xr:uid="{00000000-0005-0000-0000-0000CC090000}"/>
    <cellStyle name="Currency 3 5 2 2" xfId="2161" xr:uid="{00000000-0005-0000-0000-0000CD090000}"/>
    <cellStyle name="Currency 3 5 2 2 2" xfId="2162" xr:uid="{00000000-0005-0000-0000-0000CE090000}"/>
    <cellStyle name="Currency 3 5 2 2 2 2" xfId="2163" xr:uid="{00000000-0005-0000-0000-0000CF090000}"/>
    <cellStyle name="Currency 3 5 2 2 3" xfId="2164" xr:uid="{00000000-0005-0000-0000-0000D0090000}"/>
    <cellStyle name="Currency 3 5 2 2 3 2" xfId="2165" xr:uid="{00000000-0005-0000-0000-0000D1090000}"/>
    <cellStyle name="Currency 3 5 2 2 4" xfId="2166" xr:uid="{00000000-0005-0000-0000-0000D2090000}"/>
    <cellStyle name="Currency 3 5 2 3" xfId="2167" xr:uid="{00000000-0005-0000-0000-0000D3090000}"/>
    <cellStyle name="Currency 3 5 2 3 2" xfId="2168" xr:uid="{00000000-0005-0000-0000-0000D4090000}"/>
    <cellStyle name="Currency 3 5 2 4" xfId="2169" xr:uid="{00000000-0005-0000-0000-0000D5090000}"/>
    <cellStyle name="Currency 3 5 2 4 2" xfId="2170" xr:uid="{00000000-0005-0000-0000-0000D6090000}"/>
    <cellStyle name="Currency 3 5 2 5" xfId="2171" xr:uid="{00000000-0005-0000-0000-0000D7090000}"/>
    <cellStyle name="Currency 3 5 3" xfId="2172" xr:uid="{00000000-0005-0000-0000-0000D8090000}"/>
    <cellStyle name="Currency 3 5 3 2" xfId="2173" xr:uid="{00000000-0005-0000-0000-0000D9090000}"/>
    <cellStyle name="Currency 3 5 3 2 2" xfId="2174" xr:uid="{00000000-0005-0000-0000-0000DA090000}"/>
    <cellStyle name="Currency 3 5 3 3" xfId="2175" xr:uid="{00000000-0005-0000-0000-0000DB090000}"/>
    <cellStyle name="Currency 3 5 3 3 2" xfId="2176" xr:uid="{00000000-0005-0000-0000-0000DC090000}"/>
    <cellStyle name="Currency 3 5 3 4" xfId="2177" xr:uid="{00000000-0005-0000-0000-0000DD090000}"/>
    <cellStyle name="Currency 3 5 4" xfId="2178" xr:uid="{00000000-0005-0000-0000-0000DE090000}"/>
    <cellStyle name="Currency 3 5 4 2" xfId="2179" xr:uid="{00000000-0005-0000-0000-0000DF090000}"/>
    <cellStyle name="Currency 3 5 5" xfId="2180" xr:uid="{00000000-0005-0000-0000-0000E0090000}"/>
    <cellStyle name="Currency 3 5 5 2" xfId="2181" xr:uid="{00000000-0005-0000-0000-0000E1090000}"/>
    <cellStyle name="Currency 3 5 6" xfId="2182" xr:uid="{00000000-0005-0000-0000-0000E2090000}"/>
    <cellStyle name="Currency 3 5 7" xfId="2183" xr:uid="{00000000-0005-0000-0000-0000E3090000}"/>
    <cellStyle name="Currency 3 6" xfId="2184" xr:uid="{00000000-0005-0000-0000-0000E4090000}"/>
    <cellStyle name="Currency 3 6 2" xfId="2185" xr:uid="{00000000-0005-0000-0000-0000E5090000}"/>
    <cellStyle name="Currency 3 6 2 2" xfId="2186" xr:uid="{00000000-0005-0000-0000-0000E6090000}"/>
    <cellStyle name="Currency 3 6 2 2 2" xfId="2187" xr:uid="{00000000-0005-0000-0000-0000E7090000}"/>
    <cellStyle name="Currency 3 6 2 3" xfId="2188" xr:uid="{00000000-0005-0000-0000-0000E8090000}"/>
    <cellStyle name="Currency 3 6 2 3 2" xfId="2189" xr:uid="{00000000-0005-0000-0000-0000E9090000}"/>
    <cellStyle name="Currency 3 6 2 4" xfId="2190" xr:uid="{00000000-0005-0000-0000-0000EA090000}"/>
    <cellStyle name="Currency 3 6 3" xfId="2191" xr:uid="{00000000-0005-0000-0000-0000EB090000}"/>
    <cellStyle name="Currency 3 6 3 2" xfId="2192" xr:uid="{00000000-0005-0000-0000-0000EC090000}"/>
    <cellStyle name="Currency 3 6 4" xfId="2193" xr:uid="{00000000-0005-0000-0000-0000ED090000}"/>
    <cellStyle name="Currency 3 6 4 2" xfId="2194" xr:uid="{00000000-0005-0000-0000-0000EE090000}"/>
    <cellStyle name="Currency 3 6 5" xfId="2195" xr:uid="{00000000-0005-0000-0000-0000EF090000}"/>
    <cellStyle name="Currency 3 7" xfId="2196" xr:uid="{00000000-0005-0000-0000-0000F0090000}"/>
    <cellStyle name="Currency 3 7 2" xfId="2197" xr:uid="{00000000-0005-0000-0000-0000F1090000}"/>
    <cellStyle name="Currency 3 7 2 2" xfId="2198" xr:uid="{00000000-0005-0000-0000-0000F2090000}"/>
    <cellStyle name="Currency 3 7 3" xfId="2199" xr:uid="{00000000-0005-0000-0000-0000F3090000}"/>
    <cellStyle name="Currency 3 7 3 2" xfId="2200" xr:uid="{00000000-0005-0000-0000-0000F4090000}"/>
    <cellStyle name="Currency 3 7 4" xfId="2201" xr:uid="{00000000-0005-0000-0000-0000F5090000}"/>
    <cellStyle name="Currency 3 8" xfId="2202" xr:uid="{00000000-0005-0000-0000-0000F6090000}"/>
    <cellStyle name="Currency 3 8 2" xfId="2203" xr:uid="{00000000-0005-0000-0000-0000F7090000}"/>
    <cellStyle name="Currency 3 9" xfId="2204" xr:uid="{00000000-0005-0000-0000-0000F8090000}"/>
    <cellStyle name="Currency 3 9 2" xfId="2205" xr:uid="{00000000-0005-0000-0000-0000F9090000}"/>
    <cellStyle name="Currency 4" xfId="2206" xr:uid="{00000000-0005-0000-0000-0000FA090000}"/>
    <cellStyle name="Currency 4 10" xfId="2207" xr:uid="{00000000-0005-0000-0000-0000FB090000}"/>
    <cellStyle name="Currency 4 2" xfId="2208" xr:uid="{00000000-0005-0000-0000-0000FC090000}"/>
    <cellStyle name="Currency 4 2 2" xfId="2209" xr:uid="{00000000-0005-0000-0000-0000FD090000}"/>
    <cellStyle name="Currency 4 2 2 2" xfId="2210" xr:uid="{00000000-0005-0000-0000-0000FE090000}"/>
    <cellStyle name="Currency 4 2 2 2 2" xfId="2211" xr:uid="{00000000-0005-0000-0000-0000FF090000}"/>
    <cellStyle name="Currency 4 2 2 2 2 2" xfId="2212" xr:uid="{00000000-0005-0000-0000-0000000A0000}"/>
    <cellStyle name="Currency 4 2 2 2 2 2 2" xfId="2213" xr:uid="{00000000-0005-0000-0000-0000010A0000}"/>
    <cellStyle name="Currency 4 2 2 2 2 2 2 2" xfId="2214" xr:uid="{00000000-0005-0000-0000-0000020A0000}"/>
    <cellStyle name="Currency 4 2 2 2 2 2 3" xfId="2215" xr:uid="{00000000-0005-0000-0000-0000030A0000}"/>
    <cellStyle name="Currency 4 2 2 2 2 2 3 2" xfId="2216" xr:uid="{00000000-0005-0000-0000-0000040A0000}"/>
    <cellStyle name="Currency 4 2 2 2 2 2 4" xfId="2217" xr:uid="{00000000-0005-0000-0000-0000050A0000}"/>
    <cellStyle name="Currency 4 2 2 2 2 3" xfId="2218" xr:uid="{00000000-0005-0000-0000-0000060A0000}"/>
    <cellStyle name="Currency 4 2 2 2 2 3 2" xfId="2219" xr:uid="{00000000-0005-0000-0000-0000070A0000}"/>
    <cellStyle name="Currency 4 2 2 2 2 4" xfId="2220" xr:uid="{00000000-0005-0000-0000-0000080A0000}"/>
    <cellStyle name="Currency 4 2 2 2 2 4 2" xfId="2221" xr:uid="{00000000-0005-0000-0000-0000090A0000}"/>
    <cellStyle name="Currency 4 2 2 2 2 5" xfId="2222" xr:uid="{00000000-0005-0000-0000-00000A0A0000}"/>
    <cellStyle name="Currency 4 2 2 2 3" xfId="2223" xr:uid="{00000000-0005-0000-0000-00000B0A0000}"/>
    <cellStyle name="Currency 4 2 2 2 3 2" xfId="2224" xr:uid="{00000000-0005-0000-0000-00000C0A0000}"/>
    <cellStyle name="Currency 4 2 2 2 3 2 2" xfId="2225" xr:uid="{00000000-0005-0000-0000-00000D0A0000}"/>
    <cellStyle name="Currency 4 2 2 2 3 3" xfId="2226" xr:uid="{00000000-0005-0000-0000-00000E0A0000}"/>
    <cellStyle name="Currency 4 2 2 2 3 3 2" xfId="2227" xr:uid="{00000000-0005-0000-0000-00000F0A0000}"/>
    <cellStyle name="Currency 4 2 2 2 3 4" xfId="2228" xr:uid="{00000000-0005-0000-0000-0000100A0000}"/>
    <cellStyle name="Currency 4 2 2 2 4" xfId="2229" xr:uid="{00000000-0005-0000-0000-0000110A0000}"/>
    <cellStyle name="Currency 4 2 2 2 4 2" xfId="2230" xr:uid="{00000000-0005-0000-0000-0000120A0000}"/>
    <cellStyle name="Currency 4 2 2 2 5" xfId="2231" xr:uid="{00000000-0005-0000-0000-0000130A0000}"/>
    <cellStyle name="Currency 4 2 2 2 5 2" xfId="2232" xr:uid="{00000000-0005-0000-0000-0000140A0000}"/>
    <cellStyle name="Currency 4 2 2 2 6" xfId="2233" xr:uid="{00000000-0005-0000-0000-0000150A0000}"/>
    <cellStyle name="Currency 4 2 2 3" xfId="2234" xr:uid="{00000000-0005-0000-0000-0000160A0000}"/>
    <cellStyle name="Currency 4 2 2 3 2" xfId="2235" xr:uid="{00000000-0005-0000-0000-0000170A0000}"/>
    <cellStyle name="Currency 4 2 2 3 2 2" xfId="2236" xr:uid="{00000000-0005-0000-0000-0000180A0000}"/>
    <cellStyle name="Currency 4 2 2 3 2 2 2" xfId="2237" xr:uid="{00000000-0005-0000-0000-0000190A0000}"/>
    <cellStyle name="Currency 4 2 2 3 2 3" xfId="2238" xr:uid="{00000000-0005-0000-0000-00001A0A0000}"/>
    <cellStyle name="Currency 4 2 2 3 2 3 2" xfId="2239" xr:uid="{00000000-0005-0000-0000-00001B0A0000}"/>
    <cellStyle name="Currency 4 2 2 3 2 4" xfId="2240" xr:uid="{00000000-0005-0000-0000-00001C0A0000}"/>
    <cellStyle name="Currency 4 2 2 3 3" xfId="2241" xr:uid="{00000000-0005-0000-0000-00001D0A0000}"/>
    <cellStyle name="Currency 4 2 2 3 3 2" xfId="2242" xr:uid="{00000000-0005-0000-0000-00001E0A0000}"/>
    <cellStyle name="Currency 4 2 2 3 4" xfId="2243" xr:uid="{00000000-0005-0000-0000-00001F0A0000}"/>
    <cellStyle name="Currency 4 2 2 3 4 2" xfId="2244" xr:uid="{00000000-0005-0000-0000-0000200A0000}"/>
    <cellStyle name="Currency 4 2 2 3 5" xfId="2245" xr:uid="{00000000-0005-0000-0000-0000210A0000}"/>
    <cellStyle name="Currency 4 2 2 4" xfId="2246" xr:uid="{00000000-0005-0000-0000-0000220A0000}"/>
    <cellStyle name="Currency 4 2 2 4 2" xfId="2247" xr:uid="{00000000-0005-0000-0000-0000230A0000}"/>
    <cellStyle name="Currency 4 2 2 4 2 2" xfId="2248" xr:uid="{00000000-0005-0000-0000-0000240A0000}"/>
    <cellStyle name="Currency 4 2 2 4 3" xfId="2249" xr:uid="{00000000-0005-0000-0000-0000250A0000}"/>
    <cellStyle name="Currency 4 2 2 4 3 2" xfId="2250" xr:uid="{00000000-0005-0000-0000-0000260A0000}"/>
    <cellStyle name="Currency 4 2 2 4 4" xfId="2251" xr:uid="{00000000-0005-0000-0000-0000270A0000}"/>
    <cellStyle name="Currency 4 2 2 5" xfId="2252" xr:uid="{00000000-0005-0000-0000-0000280A0000}"/>
    <cellStyle name="Currency 4 2 2 5 2" xfId="2253" xr:uid="{00000000-0005-0000-0000-0000290A0000}"/>
    <cellStyle name="Currency 4 2 2 6" xfId="2254" xr:uid="{00000000-0005-0000-0000-00002A0A0000}"/>
    <cellStyle name="Currency 4 2 2 6 2" xfId="2255" xr:uid="{00000000-0005-0000-0000-00002B0A0000}"/>
    <cellStyle name="Currency 4 2 2 7" xfId="2256" xr:uid="{00000000-0005-0000-0000-00002C0A0000}"/>
    <cellStyle name="Currency 4 2 3" xfId="2257" xr:uid="{00000000-0005-0000-0000-00002D0A0000}"/>
    <cellStyle name="Currency 4 2 3 2" xfId="2258" xr:uid="{00000000-0005-0000-0000-00002E0A0000}"/>
    <cellStyle name="Currency 4 2 3 2 2" xfId="2259" xr:uid="{00000000-0005-0000-0000-00002F0A0000}"/>
    <cellStyle name="Currency 4 2 3 2 2 2" xfId="2260" xr:uid="{00000000-0005-0000-0000-0000300A0000}"/>
    <cellStyle name="Currency 4 2 3 2 2 2 2" xfId="2261" xr:uid="{00000000-0005-0000-0000-0000310A0000}"/>
    <cellStyle name="Currency 4 2 3 2 2 3" xfId="2262" xr:uid="{00000000-0005-0000-0000-0000320A0000}"/>
    <cellStyle name="Currency 4 2 3 2 2 3 2" xfId="2263" xr:uid="{00000000-0005-0000-0000-0000330A0000}"/>
    <cellStyle name="Currency 4 2 3 2 2 4" xfId="2264" xr:uid="{00000000-0005-0000-0000-0000340A0000}"/>
    <cellStyle name="Currency 4 2 3 2 3" xfId="2265" xr:uid="{00000000-0005-0000-0000-0000350A0000}"/>
    <cellStyle name="Currency 4 2 3 2 3 2" xfId="2266" xr:uid="{00000000-0005-0000-0000-0000360A0000}"/>
    <cellStyle name="Currency 4 2 3 2 4" xfId="2267" xr:uid="{00000000-0005-0000-0000-0000370A0000}"/>
    <cellStyle name="Currency 4 2 3 2 4 2" xfId="2268" xr:uid="{00000000-0005-0000-0000-0000380A0000}"/>
    <cellStyle name="Currency 4 2 3 2 5" xfId="2269" xr:uid="{00000000-0005-0000-0000-0000390A0000}"/>
    <cellStyle name="Currency 4 2 3 3" xfId="2270" xr:uid="{00000000-0005-0000-0000-00003A0A0000}"/>
    <cellStyle name="Currency 4 2 3 3 2" xfId="2271" xr:uid="{00000000-0005-0000-0000-00003B0A0000}"/>
    <cellStyle name="Currency 4 2 3 3 2 2" xfId="2272" xr:uid="{00000000-0005-0000-0000-00003C0A0000}"/>
    <cellStyle name="Currency 4 2 3 3 3" xfId="2273" xr:uid="{00000000-0005-0000-0000-00003D0A0000}"/>
    <cellStyle name="Currency 4 2 3 3 3 2" xfId="2274" xr:uid="{00000000-0005-0000-0000-00003E0A0000}"/>
    <cellStyle name="Currency 4 2 3 3 4" xfId="2275" xr:uid="{00000000-0005-0000-0000-00003F0A0000}"/>
    <cellStyle name="Currency 4 2 3 4" xfId="2276" xr:uid="{00000000-0005-0000-0000-0000400A0000}"/>
    <cellStyle name="Currency 4 2 3 4 2" xfId="2277" xr:uid="{00000000-0005-0000-0000-0000410A0000}"/>
    <cellStyle name="Currency 4 2 3 5" xfId="2278" xr:uid="{00000000-0005-0000-0000-0000420A0000}"/>
    <cellStyle name="Currency 4 2 3 5 2" xfId="2279" xr:uid="{00000000-0005-0000-0000-0000430A0000}"/>
    <cellStyle name="Currency 4 2 3 6" xfId="2280" xr:uid="{00000000-0005-0000-0000-0000440A0000}"/>
    <cellStyle name="Currency 4 2 4" xfId="2281" xr:uid="{00000000-0005-0000-0000-0000450A0000}"/>
    <cellStyle name="Currency 4 2 4 2" xfId="2282" xr:uid="{00000000-0005-0000-0000-0000460A0000}"/>
    <cellStyle name="Currency 4 2 4 2 2" xfId="2283" xr:uid="{00000000-0005-0000-0000-0000470A0000}"/>
    <cellStyle name="Currency 4 2 4 2 2 2" xfId="2284" xr:uid="{00000000-0005-0000-0000-0000480A0000}"/>
    <cellStyle name="Currency 4 2 4 2 3" xfId="2285" xr:uid="{00000000-0005-0000-0000-0000490A0000}"/>
    <cellStyle name="Currency 4 2 4 2 3 2" xfId="2286" xr:uid="{00000000-0005-0000-0000-00004A0A0000}"/>
    <cellStyle name="Currency 4 2 4 2 4" xfId="2287" xr:uid="{00000000-0005-0000-0000-00004B0A0000}"/>
    <cellStyle name="Currency 4 2 4 3" xfId="2288" xr:uid="{00000000-0005-0000-0000-00004C0A0000}"/>
    <cellStyle name="Currency 4 2 4 3 2" xfId="2289" xr:uid="{00000000-0005-0000-0000-00004D0A0000}"/>
    <cellStyle name="Currency 4 2 4 4" xfId="2290" xr:uid="{00000000-0005-0000-0000-00004E0A0000}"/>
    <cellStyle name="Currency 4 2 4 4 2" xfId="2291" xr:uid="{00000000-0005-0000-0000-00004F0A0000}"/>
    <cellStyle name="Currency 4 2 4 5" xfId="2292" xr:uid="{00000000-0005-0000-0000-0000500A0000}"/>
    <cellStyle name="Currency 4 2 5" xfId="2293" xr:uid="{00000000-0005-0000-0000-0000510A0000}"/>
    <cellStyle name="Currency 4 2 5 2" xfId="2294" xr:uid="{00000000-0005-0000-0000-0000520A0000}"/>
    <cellStyle name="Currency 4 2 5 2 2" xfId="2295" xr:uid="{00000000-0005-0000-0000-0000530A0000}"/>
    <cellStyle name="Currency 4 2 5 3" xfId="2296" xr:uid="{00000000-0005-0000-0000-0000540A0000}"/>
    <cellStyle name="Currency 4 2 5 3 2" xfId="2297" xr:uid="{00000000-0005-0000-0000-0000550A0000}"/>
    <cellStyle name="Currency 4 2 5 4" xfId="2298" xr:uid="{00000000-0005-0000-0000-0000560A0000}"/>
    <cellStyle name="Currency 4 2 6" xfId="2299" xr:uid="{00000000-0005-0000-0000-0000570A0000}"/>
    <cellStyle name="Currency 4 2 6 2" xfId="2300" xr:uid="{00000000-0005-0000-0000-0000580A0000}"/>
    <cellStyle name="Currency 4 2 7" xfId="2301" xr:uid="{00000000-0005-0000-0000-0000590A0000}"/>
    <cellStyle name="Currency 4 2 7 2" xfId="2302" xr:uid="{00000000-0005-0000-0000-00005A0A0000}"/>
    <cellStyle name="Currency 4 2 8" xfId="2303" xr:uid="{00000000-0005-0000-0000-00005B0A0000}"/>
    <cellStyle name="Currency 4 3" xfId="2304" xr:uid="{00000000-0005-0000-0000-00005C0A0000}"/>
    <cellStyle name="Currency 4 3 2" xfId="2305" xr:uid="{00000000-0005-0000-0000-00005D0A0000}"/>
    <cellStyle name="Currency 4 3 2 2" xfId="2306" xr:uid="{00000000-0005-0000-0000-00005E0A0000}"/>
    <cellStyle name="Currency 4 3 2 2 2" xfId="2307" xr:uid="{00000000-0005-0000-0000-00005F0A0000}"/>
    <cellStyle name="Currency 4 3 2 2 2 2" xfId="2308" xr:uid="{00000000-0005-0000-0000-0000600A0000}"/>
    <cellStyle name="Currency 4 3 2 2 2 2 2" xfId="2309" xr:uid="{00000000-0005-0000-0000-0000610A0000}"/>
    <cellStyle name="Currency 4 3 2 2 2 3" xfId="2310" xr:uid="{00000000-0005-0000-0000-0000620A0000}"/>
    <cellStyle name="Currency 4 3 2 2 2 3 2" xfId="2311" xr:uid="{00000000-0005-0000-0000-0000630A0000}"/>
    <cellStyle name="Currency 4 3 2 2 2 4" xfId="2312" xr:uid="{00000000-0005-0000-0000-0000640A0000}"/>
    <cellStyle name="Currency 4 3 2 2 3" xfId="2313" xr:uid="{00000000-0005-0000-0000-0000650A0000}"/>
    <cellStyle name="Currency 4 3 2 2 3 2" xfId="2314" xr:uid="{00000000-0005-0000-0000-0000660A0000}"/>
    <cellStyle name="Currency 4 3 2 2 4" xfId="2315" xr:uid="{00000000-0005-0000-0000-0000670A0000}"/>
    <cellStyle name="Currency 4 3 2 2 4 2" xfId="2316" xr:uid="{00000000-0005-0000-0000-0000680A0000}"/>
    <cellStyle name="Currency 4 3 2 2 5" xfId="2317" xr:uid="{00000000-0005-0000-0000-0000690A0000}"/>
    <cellStyle name="Currency 4 3 2 3" xfId="2318" xr:uid="{00000000-0005-0000-0000-00006A0A0000}"/>
    <cellStyle name="Currency 4 3 2 3 2" xfId="2319" xr:uid="{00000000-0005-0000-0000-00006B0A0000}"/>
    <cellStyle name="Currency 4 3 2 3 2 2" xfId="2320" xr:uid="{00000000-0005-0000-0000-00006C0A0000}"/>
    <cellStyle name="Currency 4 3 2 3 3" xfId="2321" xr:uid="{00000000-0005-0000-0000-00006D0A0000}"/>
    <cellStyle name="Currency 4 3 2 3 3 2" xfId="2322" xr:uid="{00000000-0005-0000-0000-00006E0A0000}"/>
    <cellStyle name="Currency 4 3 2 3 4" xfId="2323" xr:uid="{00000000-0005-0000-0000-00006F0A0000}"/>
    <cellStyle name="Currency 4 3 2 4" xfId="2324" xr:uid="{00000000-0005-0000-0000-0000700A0000}"/>
    <cellStyle name="Currency 4 3 2 4 2" xfId="2325" xr:uid="{00000000-0005-0000-0000-0000710A0000}"/>
    <cellStyle name="Currency 4 3 2 5" xfId="2326" xr:uid="{00000000-0005-0000-0000-0000720A0000}"/>
    <cellStyle name="Currency 4 3 2 5 2" xfId="2327" xr:uid="{00000000-0005-0000-0000-0000730A0000}"/>
    <cellStyle name="Currency 4 3 2 6" xfId="2328" xr:uid="{00000000-0005-0000-0000-0000740A0000}"/>
    <cellStyle name="Currency 4 3 3" xfId="2329" xr:uid="{00000000-0005-0000-0000-0000750A0000}"/>
    <cellStyle name="Currency 4 3 3 2" xfId="2330" xr:uid="{00000000-0005-0000-0000-0000760A0000}"/>
    <cellStyle name="Currency 4 3 3 2 2" xfId="2331" xr:uid="{00000000-0005-0000-0000-0000770A0000}"/>
    <cellStyle name="Currency 4 3 3 2 2 2" xfId="2332" xr:uid="{00000000-0005-0000-0000-0000780A0000}"/>
    <cellStyle name="Currency 4 3 3 2 3" xfId="2333" xr:uid="{00000000-0005-0000-0000-0000790A0000}"/>
    <cellStyle name="Currency 4 3 3 2 3 2" xfId="2334" xr:uid="{00000000-0005-0000-0000-00007A0A0000}"/>
    <cellStyle name="Currency 4 3 3 2 4" xfId="2335" xr:uid="{00000000-0005-0000-0000-00007B0A0000}"/>
    <cellStyle name="Currency 4 3 3 3" xfId="2336" xr:uid="{00000000-0005-0000-0000-00007C0A0000}"/>
    <cellStyle name="Currency 4 3 3 3 2" xfId="2337" xr:uid="{00000000-0005-0000-0000-00007D0A0000}"/>
    <cellStyle name="Currency 4 3 3 4" xfId="2338" xr:uid="{00000000-0005-0000-0000-00007E0A0000}"/>
    <cellStyle name="Currency 4 3 3 4 2" xfId="2339" xr:uid="{00000000-0005-0000-0000-00007F0A0000}"/>
    <cellStyle name="Currency 4 3 3 5" xfId="2340" xr:uid="{00000000-0005-0000-0000-0000800A0000}"/>
    <cellStyle name="Currency 4 3 4" xfId="2341" xr:uid="{00000000-0005-0000-0000-0000810A0000}"/>
    <cellStyle name="Currency 4 3 4 2" xfId="2342" xr:uid="{00000000-0005-0000-0000-0000820A0000}"/>
    <cellStyle name="Currency 4 3 4 2 2" xfId="2343" xr:uid="{00000000-0005-0000-0000-0000830A0000}"/>
    <cellStyle name="Currency 4 3 4 3" xfId="2344" xr:uid="{00000000-0005-0000-0000-0000840A0000}"/>
    <cellStyle name="Currency 4 3 4 3 2" xfId="2345" xr:uid="{00000000-0005-0000-0000-0000850A0000}"/>
    <cellStyle name="Currency 4 3 4 4" xfId="2346" xr:uid="{00000000-0005-0000-0000-0000860A0000}"/>
    <cellStyle name="Currency 4 3 5" xfId="2347" xr:uid="{00000000-0005-0000-0000-0000870A0000}"/>
    <cellStyle name="Currency 4 3 5 2" xfId="2348" xr:uid="{00000000-0005-0000-0000-0000880A0000}"/>
    <cellStyle name="Currency 4 3 6" xfId="2349" xr:uid="{00000000-0005-0000-0000-0000890A0000}"/>
    <cellStyle name="Currency 4 3 6 2" xfId="2350" xr:uid="{00000000-0005-0000-0000-00008A0A0000}"/>
    <cellStyle name="Currency 4 3 7" xfId="2351" xr:uid="{00000000-0005-0000-0000-00008B0A0000}"/>
    <cellStyle name="Currency 4 4" xfId="2352" xr:uid="{00000000-0005-0000-0000-00008C0A0000}"/>
    <cellStyle name="Currency 4 4 2" xfId="2353" xr:uid="{00000000-0005-0000-0000-00008D0A0000}"/>
    <cellStyle name="Currency 4 4 2 2" xfId="2354" xr:uid="{00000000-0005-0000-0000-00008E0A0000}"/>
    <cellStyle name="Currency 4 4 2 2 2" xfId="2355" xr:uid="{00000000-0005-0000-0000-00008F0A0000}"/>
    <cellStyle name="Currency 4 4 2 2 2 2" xfId="2356" xr:uid="{00000000-0005-0000-0000-0000900A0000}"/>
    <cellStyle name="Currency 4 4 2 2 2 2 2" xfId="2357" xr:uid="{00000000-0005-0000-0000-0000910A0000}"/>
    <cellStyle name="Currency 4 4 2 2 2 3" xfId="2358" xr:uid="{00000000-0005-0000-0000-0000920A0000}"/>
    <cellStyle name="Currency 4 4 2 2 2 3 2" xfId="2359" xr:uid="{00000000-0005-0000-0000-0000930A0000}"/>
    <cellStyle name="Currency 4 4 2 2 2 4" xfId="2360" xr:uid="{00000000-0005-0000-0000-0000940A0000}"/>
    <cellStyle name="Currency 4 4 2 2 3" xfId="2361" xr:uid="{00000000-0005-0000-0000-0000950A0000}"/>
    <cellStyle name="Currency 4 4 2 2 3 2" xfId="2362" xr:uid="{00000000-0005-0000-0000-0000960A0000}"/>
    <cellStyle name="Currency 4 4 2 2 4" xfId="2363" xr:uid="{00000000-0005-0000-0000-0000970A0000}"/>
    <cellStyle name="Currency 4 4 2 2 4 2" xfId="2364" xr:uid="{00000000-0005-0000-0000-0000980A0000}"/>
    <cellStyle name="Currency 4 4 2 2 5" xfId="2365" xr:uid="{00000000-0005-0000-0000-0000990A0000}"/>
    <cellStyle name="Currency 4 4 2 3" xfId="2366" xr:uid="{00000000-0005-0000-0000-00009A0A0000}"/>
    <cellStyle name="Currency 4 4 2 3 2" xfId="2367" xr:uid="{00000000-0005-0000-0000-00009B0A0000}"/>
    <cellStyle name="Currency 4 4 2 3 2 2" xfId="2368" xr:uid="{00000000-0005-0000-0000-00009C0A0000}"/>
    <cellStyle name="Currency 4 4 2 3 3" xfId="2369" xr:uid="{00000000-0005-0000-0000-00009D0A0000}"/>
    <cellStyle name="Currency 4 4 2 3 3 2" xfId="2370" xr:uid="{00000000-0005-0000-0000-00009E0A0000}"/>
    <cellStyle name="Currency 4 4 2 3 4" xfId="2371" xr:uid="{00000000-0005-0000-0000-00009F0A0000}"/>
    <cellStyle name="Currency 4 4 2 4" xfId="2372" xr:uid="{00000000-0005-0000-0000-0000A00A0000}"/>
    <cellStyle name="Currency 4 4 2 4 2" xfId="2373" xr:uid="{00000000-0005-0000-0000-0000A10A0000}"/>
    <cellStyle name="Currency 4 4 2 5" xfId="2374" xr:uid="{00000000-0005-0000-0000-0000A20A0000}"/>
    <cellStyle name="Currency 4 4 2 5 2" xfId="2375" xr:uid="{00000000-0005-0000-0000-0000A30A0000}"/>
    <cellStyle name="Currency 4 4 2 6" xfId="2376" xr:uid="{00000000-0005-0000-0000-0000A40A0000}"/>
    <cellStyle name="Currency 4 4 3" xfId="2377" xr:uid="{00000000-0005-0000-0000-0000A50A0000}"/>
    <cellStyle name="Currency 4 4 3 2" xfId="2378" xr:uid="{00000000-0005-0000-0000-0000A60A0000}"/>
    <cellStyle name="Currency 4 4 3 2 2" xfId="2379" xr:uid="{00000000-0005-0000-0000-0000A70A0000}"/>
    <cellStyle name="Currency 4 4 3 2 2 2" xfId="2380" xr:uid="{00000000-0005-0000-0000-0000A80A0000}"/>
    <cellStyle name="Currency 4 4 3 2 3" xfId="2381" xr:uid="{00000000-0005-0000-0000-0000A90A0000}"/>
    <cellStyle name="Currency 4 4 3 2 3 2" xfId="2382" xr:uid="{00000000-0005-0000-0000-0000AA0A0000}"/>
    <cellStyle name="Currency 4 4 3 2 4" xfId="2383" xr:uid="{00000000-0005-0000-0000-0000AB0A0000}"/>
    <cellStyle name="Currency 4 4 3 3" xfId="2384" xr:uid="{00000000-0005-0000-0000-0000AC0A0000}"/>
    <cellStyle name="Currency 4 4 3 3 2" xfId="2385" xr:uid="{00000000-0005-0000-0000-0000AD0A0000}"/>
    <cellStyle name="Currency 4 4 3 4" xfId="2386" xr:uid="{00000000-0005-0000-0000-0000AE0A0000}"/>
    <cellStyle name="Currency 4 4 3 4 2" xfId="2387" xr:uid="{00000000-0005-0000-0000-0000AF0A0000}"/>
    <cellStyle name="Currency 4 4 3 5" xfId="2388" xr:uid="{00000000-0005-0000-0000-0000B00A0000}"/>
    <cellStyle name="Currency 4 4 4" xfId="2389" xr:uid="{00000000-0005-0000-0000-0000B10A0000}"/>
    <cellStyle name="Currency 4 4 4 2" xfId="2390" xr:uid="{00000000-0005-0000-0000-0000B20A0000}"/>
    <cellStyle name="Currency 4 4 4 2 2" xfId="2391" xr:uid="{00000000-0005-0000-0000-0000B30A0000}"/>
    <cellStyle name="Currency 4 4 4 3" xfId="2392" xr:uid="{00000000-0005-0000-0000-0000B40A0000}"/>
    <cellStyle name="Currency 4 4 4 3 2" xfId="2393" xr:uid="{00000000-0005-0000-0000-0000B50A0000}"/>
    <cellStyle name="Currency 4 4 4 4" xfId="2394" xr:uid="{00000000-0005-0000-0000-0000B60A0000}"/>
    <cellStyle name="Currency 4 4 5" xfId="2395" xr:uid="{00000000-0005-0000-0000-0000B70A0000}"/>
    <cellStyle name="Currency 4 4 5 2" xfId="2396" xr:uid="{00000000-0005-0000-0000-0000B80A0000}"/>
    <cellStyle name="Currency 4 4 6" xfId="2397" xr:uid="{00000000-0005-0000-0000-0000B90A0000}"/>
    <cellStyle name="Currency 4 4 6 2" xfId="2398" xr:uid="{00000000-0005-0000-0000-0000BA0A0000}"/>
    <cellStyle name="Currency 4 4 7" xfId="2399" xr:uid="{00000000-0005-0000-0000-0000BB0A0000}"/>
    <cellStyle name="Currency 4 5" xfId="2400" xr:uid="{00000000-0005-0000-0000-0000BC0A0000}"/>
    <cellStyle name="Currency 4 5 2" xfId="2401" xr:uid="{00000000-0005-0000-0000-0000BD0A0000}"/>
    <cellStyle name="Currency 4 5 2 2" xfId="2402" xr:uid="{00000000-0005-0000-0000-0000BE0A0000}"/>
    <cellStyle name="Currency 4 5 2 2 2" xfId="2403" xr:uid="{00000000-0005-0000-0000-0000BF0A0000}"/>
    <cellStyle name="Currency 4 5 2 2 2 2" xfId="2404" xr:uid="{00000000-0005-0000-0000-0000C00A0000}"/>
    <cellStyle name="Currency 4 5 2 2 3" xfId="2405" xr:uid="{00000000-0005-0000-0000-0000C10A0000}"/>
    <cellStyle name="Currency 4 5 2 2 3 2" xfId="2406" xr:uid="{00000000-0005-0000-0000-0000C20A0000}"/>
    <cellStyle name="Currency 4 5 2 2 4" xfId="2407" xr:uid="{00000000-0005-0000-0000-0000C30A0000}"/>
    <cellStyle name="Currency 4 5 2 3" xfId="2408" xr:uid="{00000000-0005-0000-0000-0000C40A0000}"/>
    <cellStyle name="Currency 4 5 2 3 2" xfId="2409" xr:uid="{00000000-0005-0000-0000-0000C50A0000}"/>
    <cellStyle name="Currency 4 5 2 4" xfId="2410" xr:uid="{00000000-0005-0000-0000-0000C60A0000}"/>
    <cellStyle name="Currency 4 5 2 4 2" xfId="2411" xr:uid="{00000000-0005-0000-0000-0000C70A0000}"/>
    <cellStyle name="Currency 4 5 2 5" xfId="2412" xr:uid="{00000000-0005-0000-0000-0000C80A0000}"/>
    <cellStyle name="Currency 4 5 3" xfId="2413" xr:uid="{00000000-0005-0000-0000-0000C90A0000}"/>
    <cellStyle name="Currency 4 5 3 2" xfId="2414" xr:uid="{00000000-0005-0000-0000-0000CA0A0000}"/>
    <cellStyle name="Currency 4 5 3 2 2" xfId="2415" xr:uid="{00000000-0005-0000-0000-0000CB0A0000}"/>
    <cellStyle name="Currency 4 5 3 3" xfId="2416" xr:uid="{00000000-0005-0000-0000-0000CC0A0000}"/>
    <cellStyle name="Currency 4 5 3 3 2" xfId="2417" xr:uid="{00000000-0005-0000-0000-0000CD0A0000}"/>
    <cellStyle name="Currency 4 5 3 4" xfId="2418" xr:uid="{00000000-0005-0000-0000-0000CE0A0000}"/>
    <cellStyle name="Currency 4 5 4" xfId="2419" xr:uid="{00000000-0005-0000-0000-0000CF0A0000}"/>
    <cellStyle name="Currency 4 5 4 2" xfId="2420" xr:uid="{00000000-0005-0000-0000-0000D00A0000}"/>
    <cellStyle name="Currency 4 5 5" xfId="2421" xr:uid="{00000000-0005-0000-0000-0000D10A0000}"/>
    <cellStyle name="Currency 4 5 5 2" xfId="2422" xr:uid="{00000000-0005-0000-0000-0000D20A0000}"/>
    <cellStyle name="Currency 4 5 6" xfId="2423" xr:uid="{00000000-0005-0000-0000-0000D30A0000}"/>
    <cellStyle name="Currency 4 6" xfId="2424" xr:uid="{00000000-0005-0000-0000-0000D40A0000}"/>
    <cellStyle name="Currency 4 6 2" xfId="2425" xr:uid="{00000000-0005-0000-0000-0000D50A0000}"/>
    <cellStyle name="Currency 4 6 2 2" xfId="2426" xr:uid="{00000000-0005-0000-0000-0000D60A0000}"/>
    <cellStyle name="Currency 4 6 2 2 2" xfId="2427" xr:uid="{00000000-0005-0000-0000-0000D70A0000}"/>
    <cellStyle name="Currency 4 6 2 3" xfId="2428" xr:uid="{00000000-0005-0000-0000-0000D80A0000}"/>
    <cellStyle name="Currency 4 6 2 3 2" xfId="2429" xr:uid="{00000000-0005-0000-0000-0000D90A0000}"/>
    <cellStyle name="Currency 4 6 2 4" xfId="2430" xr:uid="{00000000-0005-0000-0000-0000DA0A0000}"/>
    <cellStyle name="Currency 4 6 3" xfId="2431" xr:uid="{00000000-0005-0000-0000-0000DB0A0000}"/>
    <cellStyle name="Currency 4 6 3 2" xfId="2432" xr:uid="{00000000-0005-0000-0000-0000DC0A0000}"/>
    <cellStyle name="Currency 4 6 4" xfId="2433" xr:uid="{00000000-0005-0000-0000-0000DD0A0000}"/>
    <cellStyle name="Currency 4 6 4 2" xfId="2434" xr:uid="{00000000-0005-0000-0000-0000DE0A0000}"/>
    <cellStyle name="Currency 4 6 5" xfId="2435" xr:uid="{00000000-0005-0000-0000-0000DF0A0000}"/>
    <cellStyle name="Currency 4 7" xfId="2436" xr:uid="{00000000-0005-0000-0000-0000E00A0000}"/>
    <cellStyle name="Currency 4 7 2" xfId="2437" xr:uid="{00000000-0005-0000-0000-0000E10A0000}"/>
    <cellStyle name="Currency 4 7 2 2" xfId="2438" xr:uid="{00000000-0005-0000-0000-0000E20A0000}"/>
    <cellStyle name="Currency 4 7 3" xfId="2439" xr:uid="{00000000-0005-0000-0000-0000E30A0000}"/>
    <cellStyle name="Currency 4 7 3 2" xfId="2440" xr:uid="{00000000-0005-0000-0000-0000E40A0000}"/>
    <cellStyle name="Currency 4 7 4" xfId="2441" xr:uid="{00000000-0005-0000-0000-0000E50A0000}"/>
    <cellStyle name="Currency 4 8" xfId="2442" xr:uid="{00000000-0005-0000-0000-0000E60A0000}"/>
    <cellStyle name="Currency 4 8 2" xfId="2443" xr:uid="{00000000-0005-0000-0000-0000E70A0000}"/>
    <cellStyle name="Currency 4 9" xfId="2444" xr:uid="{00000000-0005-0000-0000-0000E80A0000}"/>
    <cellStyle name="Currency 4 9 2" xfId="2445" xr:uid="{00000000-0005-0000-0000-0000E90A0000}"/>
    <cellStyle name="Currency 5" xfId="2446" xr:uid="{00000000-0005-0000-0000-0000EA0A0000}"/>
    <cellStyle name="Currency 5 2" xfId="2447" xr:uid="{00000000-0005-0000-0000-0000EB0A0000}"/>
    <cellStyle name="Currency 5 2 2" xfId="2448" xr:uid="{00000000-0005-0000-0000-0000EC0A0000}"/>
    <cellStyle name="Currency 5 2 2 2" xfId="2449" xr:uid="{00000000-0005-0000-0000-0000ED0A0000}"/>
    <cellStyle name="Currency 5 2 2 2 2" xfId="2450" xr:uid="{00000000-0005-0000-0000-0000EE0A0000}"/>
    <cellStyle name="Currency 5 2 2 2 2 2" xfId="2451" xr:uid="{00000000-0005-0000-0000-0000EF0A0000}"/>
    <cellStyle name="Currency 5 2 2 2 2 2 2" xfId="2452" xr:uid="{00000000-0005-0000-0000-0000F00A0000}"/>
    <cellStyle name="Currency 5 2 2 2 2 3" xfId="2453" xr:uid="{00000000-0005-0000-0000-0000F10A0000}"/>
    <cellStyle name="Currency 5 2 2 2 2 3 2" xfId="2454" xr:uid="{00000000-0005-0000-0000-0000F20A0000}"/>
    <cellStyle name="Currency 5 2 2 2 2 4" xfId="2455" xr:uid="{00000000-0005-0000-0000-0000F30A0000}"/>
    <cellStyle name="Currency 5 2 2 2 3" xfId="2456" xr:uid="{00000000-0005-0000-0000-0000F40A0000}"/>
    <cellStyle name="Currency 5 2 2 2 3 2" xfId="2457" xr:uid="{00000000-0005-0000-0000-0000F50A0000}"/>
    <cellStyle name="Currency 5 2 2 2 4" xfId="2458" xr:uid="{00000000-0005-0000-0000-0000F60A0000}"/>
    <cellStyle name="Currency 5 2 2 2 4 2" xfId="2459" xr:uid="{00000000-0005-0000-0000-0000F70A0000}"/>
    <cellStyle name="Currency 5 2 2 2 5" xfId="2460" xr:uid="{00000000-0005-0000-0000-0000F80A0000}"/>
    <cellStyle name="Currency 5 2 2 3" xfId="2461" xr:uid="{00000000-0005-0000-0000-0000F90A0000}"/>
    <cellStyle name="Currency 5 2 2 3 2" xfId="2462" xr:uid="{00000000-0005-0000-0000-0000FA0A0000}"/>
    <cellStyle name="Currency 5 2 2 3 2 2" xfId="2463" xr:uid="{00000000-0005-0000-0000-0000FB0A0000}"/>
    <cellStyle name="Currency 5 2 2 3 3" xfId="2464" xr:uid="{00000000-0005-0000-0000-0000FC0A0000}"/>
    <cellStyle name="Currency 5 2 2 3 3 2" xfId="2465" xr:uid="{00000000-0005-0000-0000-0000FD0A0000}"/>
    <cellStyle name="Currency 5 2 2 3 4" xfId="2466" xr:uid="{00000000-0005-0000-0000-0000FE0A0000}"/>
    <cellStyle name="Currency 5 2 2 4" xfId="2467" xr:uid="{00000000-0005-0000-0000-0000FF0A0000}"/>
    <cellStyle name="Currency 5 2 2 4 2" xfId="2468" xr:uid="{00000000-0005-0000-0000-0000000B0000}"/>
    <cellStyle name="Currency 5 2 2 5" xfId="2469" xr:uid="{00000000-0005-0000-0000-0000010B0000}"/>
    <cellStyle name="Currency 5 2 2 5 2" xfId="2470" xr:uid="{00000000-0005-0000-0000-0000020B0000}"/>
    <cellStyle name="Currency 5 2 2 6" xfId="2471" xr:uid="{00000000-0005-0000-0000-0000030B0000}"/>
    <cellStyle name="Currency 5 2 3" xfId="2472" xr:uid="{00000000-0005-0000-0000-0000040B0000}"/>
    <cellStyle name="Currency 5 2 3 2" xfId="2473" xr:uid="{00000000-0005-0000-0000-0000050B0000}"/>
    <cellStyle name="Currency 5 2 3 2 2" xfId="2474" xr:uid="{00000000-0005-0000-0000-0000060B0000}"/>
    <cellStyle name="Currency 5 2 3 2 2 2" xfId="2475" xr:uid="{00000000-0005-0000-0000-0000070B0000}"/>
    <cellStyle name="Currency 5 2 3 2 3" xfId="2476" xr:uid="{00000000-0005-0000-0000-0000080B0000}"/>
    <cellStyle name="Currency 5 2 3 2 3 2" xfId="2477" xr:uid="{00000000-0005-0000-0000-0000090B0000}"/>
    <cellStyle name="Currency 5 2 3 2 4" xfId="2478" xr:uid="{00000000-0005-0000-0000-00000A0B0000}"/>
    <cellStyle name="Currency 5 2 3 3" xfId="2479" xr:uid="{00000000-0005-0000-0000-00000B0B0000}"/>
    <cellStyle name="Currency 5 2 3 3 2" xfId="2480" xr:uid="{00000000-0005-0000-0000-00000C0B0000}"/>
    <cellStyle name="Currency 5 2 3 4" xfId="2481" xr:uid="{00000000-0005-0000-0000-00000D0B0000}"/>
    <cellStyle name="Currency 5 2 3 4 2" xfId="2482" xr:uid="{00000000-0005-0000-0000-00000E0B0000}"/>
    <cellStyle name="Currency 5 2 3 5" xfId="2483" xr:uid="{00000000-0005-0000-0000-00000F0B0000}"/>
    <cellStyle name="Currency 5 2 4" xfId="2484" xr:uid="{00000000-0005-0000-0000-0000100B0000}"/>
    <cellStyle name="Currency 5 2 4 2" xfId="2485" xr:uid="{00000000-0005-0000-0000-0000110B0000}"/>
    <cellStyle name="Currency 5 2 4 2 2" xfId="2486" xr:uid="{00000000-0005-0000-0000-0000120B0000}"/>
    <cellStyle name="Currency 5 2 4 3" xfId="2487" xr:uid="{00000000-0005-0000-0000-0000130B0000}"/>
    <cellStyle name="Currency 5 2 4 3 2" xfId="2488" xr:uid="{00000000-0005-0000-0000-0000140B0000}"/>
    <cellStyle name="Currency 5 2 4 4" xfId="2489" xr:uid="{00000000-0005-0000-0000-0000150B0000}"/>
    <cellStyle name="Currency 5 2 5" xfId="2490" xr:uid="{00000000-0005-0000-0000-0000160B0000}"/>
    <cellStyle name="Currency 5 2 5 2" xfId="2491" xr:uid="{00000000-0005-0000-0000-0000170B0000}"/>
    <cellStyle name="Currency 5 2 6" xfId="2492" xr:uid="{00000000-0005-0000-0000-0000180B0000}"/>
    <cellStyle name="Currency 5 2 6 2" xfId="2493" xr:uid="{00000000-0005-0000-0000-0000190B0000}"/>
    <cellStyle name="Currency 5 2 7" xfId="2494" xr:uid="{00000000-0005-0000-0000-00001A0B0000}"/>
    <cellStyle name="Currency 5 3" xfId="2495" xr:uid="{00000000-0005-0000-0000-00001B0B0000}"/>
    <cellStyle name="Currency 5 3 2" xfId="2496" xr:uid="{00000000-0005-0000-0000-00001C0B0000}"/>
    <cellStyle name="Currency 5 3 2 2" xfId="2497" xr:uid="{00000000-0005-0000-0000-00001D0B0000}"/>
    <cellStyle name="Currency 5 3 2 2 2" xfId="2498" xr:uid="{00000000-0005-0000-0000-00001E0B0000}"/>
    <cellStyle name="Currency 5 3 2 2 2 2" xfId="2499" xr:uid="{00000000-0005-0000-0000-00001F0B0000}"/>
    <cellStyle name="Currency 5 3 2 2 2 2 2" xfId="2500" xr:uid="{00000000-0005-0000-0000-0000200B0000}"/>
    <cellStyle name="Currency 5 3 2 2 2 3" xfId="2501" xr:uid="{00000000-0005-0000-0000-0000210B0000}"/>
    <cellStyle name="Currency 5 3 2 2 2 3 2" xfId="2502" xr:uid="{00000000-0005-0000-0000-0000220B0000}"/>
    <cellStyle name="Currency 5 3 2 2 2 4" xfId="2503" xr:uid="{00000000-0005-0000-0000-0000230B0000}"/>
    <cellStyle name="Currency 5 3 2 2 3" xfId="2504" xr:uid="{00000000-0005-0000-0000-0000240B0000}"/>
    <cellStyle name="Currency 5 3 2 2 3 2" xfId="2505" xr:uid="{00000000-0005-0000-0000-0000250B0000}"/>
    <cellStyle name="Currency 5 3 2 2 4" xfId="2506" xr:uid="{00000000-0005-0000-0000-0000260B0000}"/>
    <cellStyle name="Currency 5 3 2 2 4 2" xfId="2507" xr:uid="{00000000-0005-0000-0000-0000270B0000}"/>
    <cellStyle name="Currency 5 3 2 2 5" xfId="2508" xr:uid="{00000000-0005-0000-0000-0000280B0000}"/>
    <cellStyle name="Currency 5 3 2 3" xfId="2509" xr:uid="{00000000-0005-0000-0000-0000290B0000}"/>
    <cellStyle name="Currency 5 3 2 3 2" xfId="2510" xr:uid="{00000000-0005-0000-0000-00002A0B0000}"/>
    <cellStyle name="Currency 5 3 2 3 2 2" xfId="2511" xr:uid="{00000000-0005-0000-0000-00002B0B0000}"/>
    <cellStyle name="Currency 5 3 2 3 3" xfId="2512" xr:uid="{00000000-0005-0000-0000-00002C0B0000}"/>
    <cellStyle name="Currency 5 3 2 3 3 2" xfId="2513" xr:uid="{00000000-0005-0000-0000-00002D0B0000}"/>
    <cellStyle name="Currency 5 3 2 3 4" xfId="2514" xr:uid="{00000000-0005-0000-0000-00002E0B0000}"/>
    <cellStyle name="Currency 5 3 2 4" xfId="2515" xr:uid="{00000000-0005-0000-0000-00002F0B0000}"/>
    <cellStyle name="Currency 5 3 2 4 2" xfId="2516" xr:uid="{00000000-0005-0000-0000-0000300B0000}"/>
    <cellStyle name="Currency 5 3 2 5" xfId="2517" xr:uid="{00000000-0005-0000-0000-0000310B0000}"/>
    <cellStyle name="Currency 5 3 2 5 2" xfId="2518" xr:uid="{00000000-0005-0000-0000-0000320B0000}"/>
    <cellStyle name="Currency 5 3 2 6" xfId="2519" xr:uid="{00000000-0005-0000-0000-0000330B0000}"/>
    <cellStyle name="Currency 5 3 3" xfId="2520" xr:uid="{00000000-0005-0000-0000-0000340B0000}"/>
    <cellStyle name="Currency 5 3 3 2" xfId="2521" xr:uid="{00000000-0005-0000-0000-0000350B0000}"/>
    <cellStyle name="Currency 5 3 3 2 2" xfId="2522" xr:uid="{00000000-0005-0000-0000-0000360B0000}"/>
    <cellStyle name="Currency 5 3 3 2 2 2" xfId="2523" xr:uid="{00000000-0005-0000-0000-0000370B0000}"/>
    <cellStyle name="Currency 5 3 3 2 3" xfId="2524" xr:uid="{00000000-0005-0000-0000-0000380B0000}"/>
    <cellStyle name="Currency 5 3 3 2 3 2" xfId="2525" xr:uid="{00000000-0005-0000-0000-0000390B0000}"/>
    <cellStyle name="Currency 5 3 3 2 4" xfId="2526" xr:uid="{00000000-0005-0000-0000-00003A0B0000}"/>
    <cellStyle name="Currency 5 3 3 3" xfId="2527" xr:uid="{00000000-0005-0000-0000-00003B0B0000}"/>
    <cellStyle name="Currency 5 3 3 3 2" xfId="2528" xr:uid="{00000000-0005-0000-0000-00003C0B0000}"/>
    <cellStyle name="Currency 5 3 3 4" xfId="2529" xr:uid="{00000000-0005-0000-0000-00003D0B0000}"/>
    <cellStyle name="Currency 5 3 3 4 2" xfId="2530" xr:uid="{00000000-0005-0000-0000-00003E0B0000}"/>
    <cellStyle name="Currency 5 3 3 5" xfId="2531" xr:uid="{00000000-0005-0000-0000-00003F0B0000}"/>
    <cellStyle name="Currency 5 3 4" xfId="2532" xr:uid="{00000000-0005-0000-0000-0000400B0000}"/>
    <cellStyle name="Currency 5 3 4 2" xfId="2533" xr:uid="{00000000-0005-0000-0000-0000410B0000}"/>
    <cellStyle name="Currency 5 3 4 2 2" xfId="2534" xr:uid="{00000000-0005-0000-0000-0000420B0000}"/>
    <cellStyle name="Currency 5 3 4 3" xfId="2535" xr:uid="{00000000-0005-0000-0000-0000430B0000}"/>
    <cellStyle name="Currency 5 3 4 3 2" xfId="2536" xr:uid="{00000000-0005-0000-0000-0000440B0000}"/>
    <cellStyle name="Currency 5 3 4 4" xfId="2537" xr:uid="{00000000-0005-0000-0000-0000450B0000}"/>
    <cellStyle name="Currency 5 3 5" xfId="2538" xr:uid="{00000000-0005-0000-0000-0000460B0000}"/>
    <cellStyle name="Currency 5 3 5 2" xfId="2539" xr:uid="{00000000-0005-0000-0000-0000470B0000}"/>
    <cellStyle name="Currency 5 3 6" xfId="2540" xr:uid="{00000000-0005-0000-0000-0000480B0000}"/>
    <cellStyle name="Currency 5 3 6 2" xfId="2541" xr:uid="{00000000-0005-0000-0000-0000490B0000}"/>
    <cellStyle name="Currency 5 3 7" xfId="2542" xr:uid="{00000000-0005-0000-0000-00004A0B0000}"/>
    <cellStyle name="Currency 5 4" xfId="2543" xr:uid="{00000000-0005-0000-0000-00004B0B0000}"/>
    <cellStyle name="Currency 5 4 2" xfId="2544" xr:uid="{00000000-0005-0000-0000-00004C0B0000}"/>
    <cellStyle name="Currency 5 4 2 2" xfId="2545" xr:uid="{00000000-0005-0000-0000-00004D0B0000}"/>
    <cellStyle name="Currency 5 4 2 2 2" xfId="2546" xr:uid="{00000000-0005-0000-0000-00004E0B0000}"/>
    <cellStyle name="Currency 5 4 2 2 2 2" xfId="2547" xr:uid="{00000000-0005-0000-0000-00004F0B0000}"/>
    <cellStyle name="Currency 5 4 2 2 3" xfId="2548" xr:uid="{00000000-0005-0000-0000-0000500B0000}"/>
    <cellStyle name="Currency 5 4 2 2 3 2" xfId="2549" xr:uid="{00000000-0005-0000-0000-0000510B0000}"/>
    <cellStyle name="Currency 5 4 2 2 4" xfId="2550" xr:uid="{00000000-0005-0000-0000-0000520B0000}"/>
    <cellStyle name="Currency 5 4 2 3" xfId="2551" xr:uid="{00000000-0005-0000-0000-0000530B0000}"/>
    <cellStyle name="Currency 5 4 2 3 2" xfId="2552" xr:uid="{00000000-0005-0000-0000-0000540B0000}"/>
    <cellStyle name="Currency 5 4 2 4" xfId="2553" xr:uid="{00000000-0005-0000-0000-0000550B0000}"/>
    <cellStyle name="Currency 5 4 2 4 2" xfId="2554" xr:uid="{00000000-0005-0000-0000-0000560B0000}"/>
    <cellStyle name="Currency 5 4 2 5" xfId="2555" xr:uid="{00000000-0005-0000-0000-0000570B0000}"/>
    <cellStyle name="Currency 5 4 3" xfId="2556" xr:uid="{00000000-0005-0000-0000-0000580B0000}"/>
    <cellStyle name="Currency 5 4 3 2" xfId="2557" xr:uid="{00000000-0005-0000-0000-0000590B0000}"/>
    <cellStyle name="Currency 5 4 3 2 2" xfId="2558" xr:uid="{00000000-0005-0000-0000-00005A0B0000}"/>
    <cellStyle name="Currency 5 4 3 3" xfId="2559" xr:uid="{00000000-0005-0000-0000-00005B0B0000}"/>
    <cellStyle name="Currency 5 4 3 3 2" xfId="2560" xr:uid="{00000000-0005-0000-0000-00005C0B0000}"/>
    <cellStyle name="Currency 5 4 3 4" xfId="2561" xr:uid="{00000000-0005-0000-0000-00005D0B0000}"/>
    <cellStyle name="Currency 5 4 4" xfId="2562" xr:uid="{00000000-0005-0000-0000-00005E0B0000}"/>
    <cellStyle name="Currency 5 4 4 2" xfId="2563" xr:uid="{00000000-0005-0000-0000-00005F0B0000}"/>
    <cellStyle name="Currency 5 4 5" xfId="2564" xr:uid="{00000000-0005-0000-0000-0000600B0000}"/>
    <cellStyle name="Currency 5 4 5 2" xfId="2565" xr:uid="{00000000-0005-0000-0000-0000610B0000}"/>
    <cellStyle name="Currency 5 4 6" xfId="2566" xr:uid="{00000000-0005-0000-0000-0000620B0000}"/>
    <cellStyle name="Currency 5 5" xfId="2567" xr:uid="{00000000-0005-0000-0000-0000630B0000}"/>
    <cellStyle name="Currency 5 5 2" xfId="2568" xr:uid="{00000000-0005-0000-0000-0000640B0000}"/>
    <cellStyle name="Currency 5 5 2 2" xfId="2569" xr:uid="{00000000-0005-0000-0000-0000650B0000}"/>
    <cellStyle name="Currency 5 5 2 2 2" xfId="2570" xr:uid="{00000000-0005-0000-0000-0000660B0000}"/>
    <cellStyle name="Currency 5 5 2 3" xfId="2571" xr:uid="{00000000-0005-0000-0000-0000670B0000}"/>
    <cellStyle name="Currency 5 5 2 3 2" xfId="2572" xr:uid="{00000000-0005-0000-0000-0000680B0000}"/>
    <cellStyle name="Currency 5 5 2 4" xfId="2573" xr:uid="{00000000-0005-0000-0000-0000690B0000}"/>
    <cellStyle name="Currency 5 5 3" xfId="2574" xr:uid="{00000000-0005-0000-0000-00006A0B0000}"/>
    <cellStyle name="Currency 5 5 3 2" xfId="2575" xr:uid="{00000000-0005-0000-0000-00006B0B0000}"/>
    <cellStyle name="Currency 5 5 4" xfId="2576" xr:uid="{00000000-0005-0000-0000-00006C0B0000}"/>
    <cellStyle name="Currency 5 5 4 2" xfId="2577" xr:uid="{00000000-0005-0000-0000-00006D0B0000}"/>
    <cellStyle name="Currency 5 5 5" xfId="2578" xr:uid="{00000000-0005-0000-0000-00006E0B0000}"/>
    <cellStyle name="Currency 5 6" xfId="2579" xr:uid="{00000000-0005-0000-0000-00006F0B0000}"/>
    <cellStyle name="Currency 5 6 2" xfId="2580" xr:uid="{00000000-0005-0000-0000-0000700B0000}"/>
    <cellStyle name="Currency 5 6 2 2" xfId="2581" xr:uid="{00000000-0005-0000-0000-0000710B0000}"/>
    <cellStyle name="Currency 5 6 3" xfId="2582" xr:uid="{00000000-0005-0000-0000-0000720B0000}"/>
    <cellStyle name="Currency 5 6 3 2" xfId="2583" xr:uid="{00000000-0005-0000-0000-0000730B0000}"/>
    <cellStyle name="Currency 5 6 4" xfId="2584" xr:uid="{00000000-0005-0000-0000-0000740B0000}"/>
    <cellStyle name="Currency 5 7" xfId="2585" xr:uid="{00000000-0005-0000-0000-0000750B0000}"/>
    <cellStyle name="Currency 5 7 2" xfId="2586" xr:uid="{00000000-0005-0000-0000-0000760B0000}"/>
    <cellStyle name="Currency 5 8" xfId="2587" xr:uid="{00000000-0005-0000-0000-0000770B0000}"/>
    <cellStyle name="Currency 5 8 2" xfId="2588" xr:uid="{00000000-0005-0000-0000-0000780B0000}"/>
    <cellStyle name="Currency 5 9" xfId="2589" xr:uid="{00000000-0005-0000-0000-0000790B0000}"/>
    <cellStyle name="Currency 6" xfId="2590" xr:uid="{00000000-0005-0000-0000-00007A0B0000}"/>
    <cellStyle name="Currency 6 2" xfId="2591" xr:uid="{00000000-0005-0000-0000-00007B0B0000}"/>
    <cellStyle name="Currency 6 3" xfId="2592" xr:uid="{00000000-0005-0000-0000-00007C0B0000}"/>
    <cellStyle name="Currency 6 4" xfId="2593" xr:uid="{00000000-0005-0000-0000-00007D0B0000}"/>
    <cellStyle name="Currency 7" xfId="2594" xr:uid="{00000000-0005-0000-0000-00007E0B0000}"/>
    <cellStyle name="Currency 7 2" xfId="2595" xr:uid="{00000000-0005-0000-0000-00007F0B0000}"/>
    <cellStyle name="Currency 8" xfId="2596" xr:uid="{00000000-0005-0000-0000-0000800B0000}"/>
    <cellStyle name="Currency 8 2" xfId="2597" xr:uid="{00000000-0005-0000-0000-0000810B0000}"/>
    <cellStyle name="Currency 8 2 2" xfId="2598" xr:uid="{00000000-0005-0000-0000-0000820B0000}"/>
    <cellStyle name="Currency 8 2 2 2" xfId="2599" xr:uid="{00000000-0005-0000-0000-0000830B0000}"/>
    <cellStyle name="Currency 8 2 2 2 2" xfId="2600" xr:uid="{00000000-0005-0000-0000-0000840B0000}"/>
    <cellStyle name="Currency 8 2 2 2 2 2" xfId="2601" xr:uid="{00000000-0005-0000-0000-0000850B0000}"/>
    <cellStyle name="Currency 8 2 2 2 2 2 2" xfId="2602" xr:uid="{00000000-0005-0000-0000-0000860B0000}"/>
    <cellStyle name="Currency 8 2 2 2 2 3" xfId="2603" xr:uid="{00000000-0005-0000-0000-0000870B0000}"/>
    <cellStyle name="Currency 8 2 2 2 2 3 2" xfId="2604" xr:uid="{00000000-0005-0000-0000-0000880B0000}"/>
    <cellStyle name="Currency 8 2 2 2 2 4" xfId="2605" xr:uid="{00000000-0005-0000-0000-0000890B0000}"/>
    <cellStyle name="Currency 8 2 2 2 3" xfId="2606" xr:uid="{00000000-0005-0000-0000-00008A0B0000}"/>
    <cellStyle name="Currency 8 2 2 2 3 2" xfId="2607" xr:uid="{00000000-0005-0000-0000-00008B0B0000}"/>
    <cellStyle name="Currency 8 2 2 2 4" xfId="2608" xr:uid="{00000000-0005-0000-0000-00008C0B0000}"/>
    <cellStyle name="Currency 8 2 2 2 4 2" xfId="2609" xr:uid="{00000000-0005-0000-0000-00008D0B0000}"/>
    <cellStyle name="Currency 8 2 2 2 5" xfId="2610" xr:uid="{00000000-0005-0000-0000-00008E0B0000}"/>
    <cellStyle name="Currency 8 2 2 3" xfId="2611" xr:uid="{00000000-0005-0000-0000-00008F0B0000}"/>
    <cellStyle name="Currency 8 2 2 3 2" xfId="2612" xr:uid="{00000000-0005-0000-0000-0000900B0000}"/>
    <cellStyle name="Currency 8 2 2 3 2 2" xfId="2613" xr:uid="{00000000-0005-0000-0000-0000910B0000}"/>
    <cellStyle name="Currency 8 2 2 3 3" xfId="2614" xr:uid="{00000000-0005-0000-0000-0000920B0000}"/>
    <cellStyle name="Currency 8 2 2 3 3 2" xfId="2615" xr:uid="{00000000-0005-0000-0000-0000930B0000}"/>
    <cellStyle name="Currency 8 2 2 3 4" xfId="2616" xr:uid="{00000000-0005-0000-0000-0000940B0000}"/>
    <cellStyle name="Currency 8 2 2 4" xfId="2617" xr:uid="{00000000-0005-0000-0000-0000950B0000}"/>
    <cellStyle name="Currency 8 2 2 4 2" xfId="2618" xr:uid="{00000000-0005-0000-0000-0000960B0000}"/>
    <cellStyle name="Currency 8 2 2 5" xfId="2619" xr:uid="{00000000-0005-0000-0000-0000970B0000}"/>
    <cellStyle name="Currency 8 2 2 5 2" xfId="2620" xr:uid="{00000000-0005-0000-0000-0000980B0000}"/>
    <cellStyle name="Currency 8 2 2 6" xfId="2621" xr:uid="{00000000-0005-0000-0000-0000990B0000}"/>
    <cellStyle name="Currency 8 2 3" xfId="2622" xr:uid="{00000000-0005-0000-0000-00009A0B0000}"/>
    <cellStyle name="Currency 8 2 3 2" xfId="2623" xr:uid="{00000000-0005-0000-0000-00009B0B0000}"/>
    <cellStyle name="Currency 8 2 3 2 2" xfId="2624" xr:uid="{00000000-0005-0000-0000-00009C0B0000}"/>
    <cellStyle name="Currency 8 2 3 2 2 2" xfId="2625" xr:uid="{00000000-0005-0000-0000-00009D0B0000}"/>
    <cellStyle name="Currency 8 2 3 2 3" xfId="2626" xr:uid="{00000000-0005-0000-0000-00009E0B0000}"/>
    <cellStyle name="Currency 8 2 3 2 3 2" xfId="2627" xr:uid="{00000000-0005-0000-0000-00009F0B0000}"/>
    <cellStyle name="Currency 8 2 3 2 4" xfId="2628" xr:uid="{00000000-0005-0000-0000-0000A00B0000}"/>
    <cellStyle name="Currency 8 2 3 3" xfId="2629" xr:uid="{00000000-0005-0000-0000-0000A10B0000}"/>
    <cellStyle name="Currency 8 2 3 3 2" xfId="2630" xr:uid="{00000000-0005-0000-0000-0000A20B0000}"/>
    <cellStyle name="Currency 8 2 3 4" xfId="2631" xr:uid="{00000000-0005-0000-0000-0000A30B0000}"/>
    <cellStyle name="Currency 8 2 3 4 2" xfId="2632" xr:uid="{00000000-0005-0000-0000-0000A40B0000}"/>
    <cellStyle name="Currency 8 2 3 5" xfId="2633" xr:uid="{00000000-0005-0000-0000-0000A50B0000}"/>
    <cellStyle name="Currency 8 2 4" xfId="2634" xr:uid="{00000000-0005-0000-0000-0000A60B0000}"/>
    <cellStyle name="Currency 8 2 4 2" xfId="2635" xr:uid="{00000000-0005-0000-0000-0000A70B0000}"/>
    <cellStyle name="Currency 8 2 4 2 2" xfId="2636" xr:uid="{00000000-0005-0000-0000-0000A80B0000}"/>
    <cellStyle name="Currency 8 2 4 3" xfId="2637" xr:uid="{00000000-0005-0000-0000-0000A90B0000}"/>
    <cellStyle name="Currency 8 2 4 3 2" xfId="2638" xr:uid="{00000000-0005-0000-0000-0000AA0B0000}"/>
    <cellStyle name="Currency 8 2 4 4" xfId="2639" xr:uid="{00000000-0005-0000-0000-0000AB0B0000}"/>
    <cellStyle name="Currency 8 2 5" xfId="2640" xr:uid="{00000000-0005-0000-0000-0000AC0B0000}"/>
    <cellStyle name="Currency 8 2 5 2" xfId="2641" xr:uid="{00000000-0005-0000-0000-0000AD0B0000}"/>
    <cellStyle name="Currency 8 2 6" xfId="2642" xr:uid="{00000000-0005-0000-0000-0000AE0B0000}"/>
    <cellStyle name="Currency 8 2 6 2" xfId="2643" xr:uid="{00000000-0005-0000-0000-0000AF0B0000}"/>
    <cellStyle name="Currency 8 2 7" xfId="2644" xr:uid="{00000000-0005-0000-0000-0000B00B0000}"/>
    <cellStyle name="Currency 8 3" xfId="2645" xr:uid="{00000000-0005-0000-0000-0000B10B0000}"/>
    <cellStyle name="Currency 8 3 2" xfId="2646" xr:uid="{00000000-0005-0000-0000-0000B20B0000}"/>
    <cellStyle name="Currency 8 3 2 2" xfId="2647" xr:uid="{00000000-0005-0000-0000-0000B30B0000}"/>
    <cellStyle name="Currency 8 3 2 2 2" xfId="2648" xr:uid="{00000000-0005-0000-0000-0000B40B0000}"/>
    <cellStyle name="Currency 8 3 2 2 2 2" xfId="2649" xr:uid="{00000000-0005-0000-0000-0000B50B0000}"/>
    <cellStyle name="Currency 8 3 2 2 3" xfId="2650" xr:uid="{00000000-0005-0000-0000-0000B60B0000}"/>
    <cellStyle name="Currency 8 3 2 2 3 2" xfId="2651" xr:uid="{00000000-0005-0000-0000-0000B70B0000}"/>
    <cellStyle name="Currency 8 3 2 2 4" xfId="2652" xr:uid="{00000000-0005-0000-0000-0000B80B0000}"/>
    <cellStyle name="Currency 8 3 2 3" xfId="2653" xr:uid="{00000000-0005-0000-0000-0000B90B0000}"/>
    <cellStyle name="Currency 8 3 2 3 2" xfId="2654" xr:uid="{00000000-0005-0000-0000-0000BA0B0000}"/>
    <cellStyle name="Currency 8 3 2 4" xfId="2655" xr:uid="{00000000-0005-0000-0000-0000BB0B0000}"/>
    <cellStyle name="Currency 8 3 2 4 2" xfId="2656" xr:uid="{00000000-0005-0000-0000-0000BC0B0000}"/>
    <cellStyle name="Currency 8 3 2 5" xfId="2657" xr:uid="{00000000-0005-0000-0000-0000BD0B0000}"/>
    <cellStyle name="Currency 8 3 3" xfId="2658" xr:uid="{00000000-0005-0000-0000-0000BE0B0000}"/>
    <cellStyle name="Currency 8 3 3 2" xfId="2659" xr:uid="{00000000-0005-0000-0000-0000BF0B0000}"/>
    <cellStyle name="Currency 8 3 3 2 2" xfId="2660" xr:uid="{00000000-0005-0000-0000-0000C00B0000}"/>
    <cellStyle name="Currency 8 3 3 3" xfId="2661" xr:uid="{00000000-0005-0000-0000-0000C10B0000}"/>
    <cellStyle name="Currency 8 3 3 3 2" xfId="2662" xr:uid="{00000000-0005-0000-0000-0000C20B0000}"/>
    <cellStyle name="Currency 8 3 3 4" xfId="2663" xr:uid="{00000000-0005-0000-0000-0000C30B0000}"/>
    <cellStyle name="Currency 8 3 4" xfId="2664" xr:uid="{00000000-0005-0000-0000-0000C40B0000}"/>
    <cellStyle name="Currency 8 3 4 2" xfId="2665" xr:uid="{00000000-0005-0000-0000-0000C50B0000}"/>
    <cellStyle name="Currency 8 3 5" xfId="2666" xr:uid="{00000000-0005-0000-0000-0000C60B0000}"/>
    <cellStyle name="Currency 8 3 5 2" xfId="2667" xr:uid="{00000000-0005-0000-0000-0000C70B0000}"/>
    <cellStyle name="Currency 8 3 6" xfId="2668" xr:uid="{00000000-0005-0000-0000-0000C80B0000}"/>
    <cellStyle name="Currency 8 3 7" xfId="2669" xr:uid="{00000000-0005-0000-0000-0000C90B0000}"/>
    <cellStyle name="Currency 8 4" xfId="2670" xr:uid="{00000000-0005-0000-0000-0000CA0B0000}"/>
    <cellStyle name="Currency 8 4 2" xfId="2671" xr:uid="{00000000-0005-0000-0000-0000CB0B0000}"/>
    <cellStyle name="Currency 8 4 2 2" xfId="2672" xr:uid="{00000000-0005-0000-0000-0000CC0B0000}"/>
    <cellStyle name="Currency 8 4 2 2 2" xfId="2673" xr:uid="{00000000-0005-0000-0000-0000CD0B0000}"/>
    <cellStyle name="Currency 8 4 2 3" xfId="2674" xr:uid="{00000000-0005-0000-0000-0000CE0B0000}"/>
    <cellStyle name="Currency 8 4 2 3 2" xfId="2675" xr:uid="{00000000-0005-0000-0000-0000CF0B0000}"/>
    <cellStyle name="Currency 8 4 2 4" xfId="2676" xr:uid="{00000000-0005-0000-0000-0000D00B0000}"/>
    <cellStyle name="Currency 8 4 3" xfId="2677" xr:uid="{00000000-0005-0000-0000-0000D10B0000}"/>
    <cellStyle name="Currency 8 4 3 2" xfId="2678" xr:uid="{00000000-0005-0000-0000-0000D20B0000}"/>
    <cellStyle name="Currency 8 4 4" xfId="2679" xr:uid="{00000000-0005-0000-0000-0000D30B0000}"/>
    <cellStyle name="Currency 8 4 4 2" xfId="2680" xr:uid="{00000000-0005-0000-0000-0000D40B0000}"/>
    <cellStyle name="Currency 8 4 5" xfId="2681" xr:uid="{00000000-0005-0000-0000-0000D50B0000}"/>
    <cellStyle name="Currency 8 5" xfId="2682" xr:uid="{00000000-0005-0000-0000-0000D60B0000}"/>
    <cellStyle name="Currency 8 5 2" xfId="2683" xr:uid="{00000000-0005-0000-0000-0000D70B0000}"/>
    <cellStyle name="Currency 8 5 2 2" xfId="2684" xr:uid="{00000000-0005-0000-0000-0000D80B0000}"/>
    <cellStyle name="Currency 8 5 3" xfId="2685" xr:uid="{00000000-0005-0000-0000-0000D90B0000}"/>
    <cellStyle name="Currency 8 5 3 2" xfId="2686" xr:uid="{00000000-0005-0000-0000-0000DA0B0000}"/>
    <cellStyle name="Currency 8 5 4" xfId="2687" xr:uid="{00000000-0005-0000-0000-0000DB0B0000}"/>
    <cellStyle name="Currency 8 6" xfId="2688" xr:uid="{00000000-0005-0000-0000-0000DC0B0000}"/>
    <cellStyle name="Currency 8 6 2" xfId="2689" xr:uid="{00000000-0005-0000-0000-0000DD0B0000}"/>
    <cellStyle name="Currency 8 7" xfId="2690" xr:uid="{00000000-0005-0000-0000-0000DE0B0000}"/>
    <cellStyle name="Currency 8 7 2" xfId="2691" xr:uid="{00000000-0005-0000-0000-0000DF0B0000}"/>
    <cellStyle name="Currency 8 8" xfId="2692" xr:uid="{00000000-0005-0000-0000-0000E00B0000}"/>
    <cellStyle name="Currency 9" xfId="2693" xr:uid="{00000000-0005-0000-0000-0000E10B0000}"/>
    <cellStyle name="Currency 9 2" xfId="2694" xr:uid="{00000000-0005-0000-0000-0000E20B0000}"/>
    <cellStyle name="Currency 9 2 2" xfId="2695" xr:uid="{00000000-0005-0000-0000-0000E30B0000}"/>
    <cellStyle name="Currency 9 2 2 2" xfId="2696" xr:uid="{00000000-0005-0000-0000-0000E40B0000}"/>
    <cellStyle name="Currency 9 2 2 2 2" xfId="2697" xr:uid="{00000000-0005-0000-0000-0000E50B0000}"/>
    <cellStyle name="Currency 9 2 2 2 2 2" xfId="2698" xr:uid="{00000000-0005-0000-0000-0000E60B0000}"/>
    <cellStyle name="Currency 9 2 2 2 3" xfId="2699" xr:uid="{00000000-0005-0000-0000-0000E70B0000}"/>
    <cellStyle name="Currency 9 2 2 2 3 2" xfId="2700" xr:uid="{00000000-0005-0000-0000-0000E80B0000}"/>
    <cellStyle name="Currency 9 2 2 2 4" xfId="2701" xr:uid="{00000000-0005-0000-0000-0000E90B0000}"/>
    <cellStyle name="Currency 9 2 2 3" xfId="2702" xr:uid="{00000000-0005-0000-0000-0000EA0B0000}"/>
    <cellStyle name="Currency 9 2 2 3 2" xfId="2703" xr:uid="{00000000-0005-0000-0000-0000EB0B0000}"/>
    <cellStyle name="Currency 9 2 2 4" xfId="2704" xr:uid="{00000000-0005-0000-0000-0000EC0B0000}"/>
    <cellStyle name="Currency 9 2 2 4 2" xfId="2705" xr:uid="{00000000-0005-0000-0000-0000ED0B0000}"/>
    <cellStyle name="Currency 9 2 2 5" xfId="2706" xr:uid="{00000000-0005-0000-0000-0000EE0B0000}"/>
    <cellStyle name="Currency 9 2 3" xfId="2707" xr:uid="{00000000-0005-0000-0000-0000EF0B0000}"/>
    <cellStyle name="Currency 9 2 3 2" xfId="2708" xr:uid="{00000000-0005-0000-0000-0000F00B0000}"/>
    <cellStyle name="Currency 9 2 3 2 2" xfId="2709" xr:uid="{00000000-0005-0000-0000-0000F10B0000}"/>
    <cellStyle name="Currency 9 2 3 3" xfId="2710" xr:uid="{00000000-0005-0000-0000-0000F20B0000}"/>
    <cellStyle name="Currency 9 2 3 3 2" xfId="2711" xr:uid="{00000000-0005-0000-0000-0000F30B0000}"/>
    <cellStyle name="Currency 9 2 3 4" xfId="2712" xr:uid="{00000000-0005-0000-0000-0000F40B0000}"/>
    <cellStyle name="Currency 9 2 4" xfId="2713" xr:uid="{00000000-0005-0000-0000-0000F50B0000}"/>
    <cellStyle name="Currency 9 2 4 2" xfId="2714" xr:uid="{00000000-0005-0000-0000-0000F60B0000}"/>
    <cellStyle name="Currency 9 2 5" xfId="2715" xr:uid="{00000000-0005-0000-0000-0000F70B0000}"/>
    <cellStyle name="Currency 9 2 5 2" xfId="2716" xr:uid="{00000000-0005-0000-0000-0000F80B0000}"/>
    <cellStyle name="Currency 9 2 6" xfId="2717" xr:uid="{00000000-0005-0000-0000-0000F90B0000}"/>
    <cellStyle name="Currency 9 3" xfId="2718" xr:uid="{00000000-0005-0000-0000-0000FA0B0000}"/>
    <cellStyle name="Currency 9 3 2" xfId="2719" xr:uid="{00000000-0005-0000-0000-0000FB0B0000}"/>
    <cellStyle name="Currency 9 3 2 2" xfId="2720" xr:uid="{00000000-0005-0000-0000-0000FC0B0000}"/>
    <cellStyle name="Currency 9 3 2 2 2" xfId="2721" xr:uid="{00000000-0005-0000-0000-0000FD0B0000}"/>
    <cellStyle name="Currency 9 3 2 3" xfId="2722" xr:uid="{00000000-0005-0000-0000-0000FE0B0000}"/>
    <cellStyle name="Currency 9 3 2 3 2" xfId="2723" xr:uid="{00000000-0005-0000-0000-0000FF0B0000}"/>
    <cellStyle name="Currency 9 3 2 4" xfId="2724" xr:uid="{00000000-0005-0000-0000-0000000C0000}"/>
    <cellStyle name="Currency 9 3 3" xfId="2725" xr:uid="{00000000-0005-0000-0000-0000010C0000}"/>
    <cellStyle name="Currency 9 3 3 2" xfId="2726" xr:uid="{00000000-0005-0000-0000-0000020C0000}"/>
    <cellStyle name="Currency 9 3 4" xfId="2727" xr:uid="{00000000-0005-0000-0000-0000030C0000}"/>
    <cellStyle name="Currency 9 3 4 2" xfId="2728" xr:uid="{00000000-0005-0000-0000-0000040C0000}"/>
    <cellStyle name="Currency 9 3 5" xfId="2729" xr:uid="{00000000-0005-0000-0000-0000050C0000}"/>
    <cellStyle name="Currency 9 4" xfId="2730" xr:uid="{00000000-0005-0000-0000-0000060C0000}"/>
    <cellStyle name="Currency 9 4 2" xfId="2731" xr:uid="{00000000-0005-0000-0000-0000070C0000}"/>
    <cellStyle name="Currency 9 4 2 2" xfId="2732" xr:uid="{00000000-0005-0000-0000-0000080C0000}"/>
    <cellStyle name="Currency 9 4 3" xfId="2733" xr:uid="{00000000-0005-0000-0000-0000090C0000}"/>
    <cellStyle name="Currency 9 4 3 2" xfId="2734" xr:uid="{00000000-0005-0000-0000-00000A0C0000}"/>
    <cellStyle name="Currency 9 4 4" xfId="2735" xr:uid="{00000000-0005-0000-0000-00000B0C0000}"/>
    <cellStyle name="Currency 9 5" xfId="2736" xr:uid="{00000000-0005-0000-0000-00000C0C0000}"/>
    <cellStyle name="Currency 9 5 2" xfId="2737" xr:uid="{00000000-0005-0000-0000-00000D0C0000}"/>
    <cellStyle name="Currency 9 6" xfId="2738" xr:uid="{00000000-0005-0000-0000-00000E0C0000}"/>
    <cellStyle name="Currency 9 6 2" xfId="2739" xr:uid="{00000000-0005-0000-0000-00000F0C0000}"/>
    <cellStyle name="Currency 9 7" xfId="2740" xr:uid="{00000000-0005-0000-0000-0000100C0000}"/>
    <cellStyle name="Currency0" xfId="2741" xr:uid="{00000000-0005-0000-0000-0000110C0000}"/>
    <cellStyle name="Custom - Style1" xfId="2742" xr:uid="{00000000-0005-0000-0000-0000120C0000}"/>
    <cellStyle name="Custom - Style8" xfId="2743" xr:uid="{00000000-0005-0000-0000-0000130C0000}"/>
    <cellStyle name="Data   - Style2" xfId="2744" xr:uid="{00000000-0005-0000-0000-0000140C0000}"/>
    <cellStyle name="Data   - Style2 2" xfId="2745" xr:uid="{00000000-0005-0000-0000-0000150C0000}"/>
    <cellStyle name="Data   - Style2 2 2" xfId="15328" xr:uid="{00000000-0005-0000-0000-0000160C0000}"/>
    <cellStyle name="Data   - Style2 2 3" xfId="22755" xr:uid="{00000000-0005-0000-0000-0000170C0000}"/>
    <cellStyle name="Data   - Style2 2 4" xfId="22865" xr:uid="{00000000-0005-0000-0000-0000180C0000}"/>
    <cellStyle name="Data   - Style2 3" xfId="2746" xr:uid="{00000000-0005-0000-0000-0000190C0000}"/>
    <cellStyle name="Data   - Style2 3 2" xfId="15329" xr:uid="{00000000-0005-0000-0000-00001A0C0000}"/>
    <cellStyle name="Data   - Style2 3 3" xfId="22758" xr:uid="{00000000-0005-0000-0000-00001B0C0000}"/>
    <cellStyle name="Data   - Style2 3 4" xfId="22940" xr:uid="{00000000-0005-0000-0000-00001C0C0000}"/>
    <cellStyle name="Data   - Style2 4" xfId="2747" xr:uid="{00000000-0005-0000-0000-00001D0C0000}"/>
    <cellStyle name="Data   - Style2 4 2" xfId="15330" xr:uid="{00000000-0005-0000-0000-00001E0C0000}"/>
    <cellStyle name="Data   - Style2 4 3" xfId="22756" xr:uid="{00000000-0005-0000-0000-00001F0C0000}"/>
    <cellStyle name="Data   - Style2 4 4" xfId="22941" xr:uid="{00000000-0005-0000-0000-0000200C0000}"/>
    <cellStyle name="Data   - Style2 5" xfId="2748" xr:uid="{00000000-0005-0000-0000-0000210C0000}"/>
    <cellStyle name="Data   - Style2 5 2" xfId="15331" xr:uid="{00000000-0005-0000-0000-0000220C0000}"/>
    <cellStyle name="Data   - Style2 5 3" xfId="22757" xr:uid="{00000000-0005-0000-0000-0000230C0000}"/>
    <cellStyle name="Data   - Style2 5 4" xfId="22864" xr:uid="{00000000-0005-0000-0000-0000240C0000}"/>
    <cellStyle name="Data   - Style2 6" xfId="15327" xr:uid="{00000000-0005-0000-0000-0000250C0000}"/>
    <cellStyle name="Data   - Style2 7" xfId="22759" xr:uid="{00000000-0005-0000-0000-0000260C0000}"/>
    <cellStyle name="Data   - Style2 8" xfId="22866" xr:uid="{00000000-0005-0000-0000-0000270C0000}"/>
    <cellStyle name="Data Enter" xfId="2749" xr:uid="{00000000-0005-0000-0000-0000280C0000}"/>
    <cellStyle name="date" xfId="2750" xr:uid="{00000000-0005-0000-0000-0000290C0000}"/>
    <cellStyle name="Euro" xfId="2751" xr:uid="{00000000-0005-0000-0000-00002A0C0000}"/>
    <cellStyle name="Euro 2" xfId="2752" xr:uid="{00000000-0005-0000-0000-00002B0C0000}"/>
    <cellStyle name="Explanatory Text" xfId="2753" builtinId="53" customBuiltin="1"/>
    <cellStyle name="Explanatory Text 2" xfId="2754" xr:uid="{00000000-0005-0000-0000-00002D0C0000}"/>
    <cellStyle name="Explanatory Text 3" xfId="2755" xr:uid="{00000000-0005-0000-0000-00002E0C0000}"/>
    <cellStyle name="Explanatory Text 4" xfId="2756" xr:uid="{00000000-0005-0000-0000-00002F0C0000}"/>
    <cellStyle name="F9ReportControlStyle_ctpInquire" xfId="2757" xr:uid="{00000000-0005-0000-0000-0000300C0000}"/>
    <cellStyle name="FactSheet" xfId="2758" xr:uid="{00000000-0005-0000-0000-0000310C0000}"/>
    <cellStyle name="fish" xfId="2759" xr:uid="{00000000-0005-0000-0000-0000320C0000}"/>
    <cellStyle name="Good" xfId="2760" builtinId="26" customBuiltin="1"/>
    <cellStyle name="Good 2" xfId="2761" xr:uid="{00000000-0005-0000-0000-0000340C0000}"/>
    <cellStyle name="Good 2 2" xfId="2762" xr:uid="{00000000-0005-0000-0000-0000350C0000}"/>
    <cellStyle name="Good 2 2 2" xfId="2763" xr:uid="{00000000-0005-0000-0000-0000360C0000}"/>
    <cellStyle name="Good 2 2 3" xfId="2764" xr:uid="{00000000-0005-0000-0000-0000370C0000}"/>
    <cellStyle name="Good 2 3" xfId="2765" xr:uid="{00000000-0005-0000-0000-0000380C0000}"/>
    <cellStyle name="Good 2 4" xfId="2766" xr:uid="{00000000-0005-0000-0000-0000390C0000}"/>
    <cellStyle name="Good 2 5" xfId="2767" xr:uid="{00000000-0005-0000-0000-00003A0C0000}"/>
    <cellStyle name="Good 3" xfId="2768" xr:uid="{00000000-0005-0000-0000-00003B0C0000}"/>
    <cellStyle name="Good 3 2" xfId="2769" xr:uid="{00000000-0005-0000-0000-00003C0C0000}"/>
    <cellStyle name="Good 3 3" xfId="2770" xr:uid="{00000000-0005-0000-0000-00003D0C0000}"/>
    <cellStyle name="Good 3 3 2" xfId="2771" xr:uid="{00000000-0005-0000-0000-00003E0C0000}"/>
    <cellStyle name="Good 4" xfId="2772" xr:uid="{00000000-0005-0000-0000-00003F0C0000}"/>
    <cellStyle name="Good 5" xfId="2773" xr:uid="{00000000-0005-0000-0000-0000400C0000}"/>
    <cellStyle name="Heading 1" xfId="2774" builtinId="16" customBuiltin="1"/>
    <cellStyle name="Heading 1 2" xfId="2775" xr:uid="{00000000-0005-0000-0000-0000420C0000}"/>
    <cellStyle name="Heading 1 2 2" xfId="2776" xr:uid="{00000000-0005-0000-0000-0000430C0000}"/>
    <cellStyle name="Heading 1 2 2 2" xfId="2777" xr:uid="{00000000-0005-0000-0000-0000440C0000}"/>
    <cellStyle name="Heading 1 2 3" xfId="2778" xr:uid="{00000000-0005-0000-0000-0000450C0000}"/>
    <cellStyle name="Heading 1 2 4" xfId="2779" xr:uid="{00000000-0005-0000-0000-0000460C0000}"/>
    <cellStyle name="Heading 1 2 4 2" xfId="2780" xr:uid="{00000000-0005-0000-0000-0000470C0000}"/>
    <cellStyle name="Heading 1 3" xfId="2781" xr:uid="{00000000-0005-0000-0000-0000480C0000}"/>
    <cellStyle name="Heading 1 3 2" xfId="2782" xr:uid="{00000000-0005-0000-0000-0000490C0000}"/>
    <cellStyle name="Heading 1 3 3" xfId="2783" xr:uid="{00000000-0005-0000-0000-00004A0C0000}"/>
    <cellStyle name="Heading 1 3 4" xfId="2784" xr:uid="{00000000-0005-0000-0000-00004B0C0000}"/>
    <cellStyle name="Heading 1 4" xfId="2785" xr:uid="{00000000-0005-0000-0000-00004C0C0000}"/>
    <cellStyle name="Heading 1 4 2" xfId="2786" xr:uid="{00000000-0005-0000-0000-00004D0C0000}"/>
    <cellStyle name="Heading 2" xfId="2787" builtinId="17" customBuiltin="1"/>
    <cellStyle name="Heading 2 2" xfId="2788" xr:uid="{00000000-0005-0000-0000-00004F0C0000}"/>
    <cellStyle name="Heading 2 2 2" xfId="2789" xr:uid="{00000000-0005-0000-0000-0000500C0000}"/>
    <cellStyle name="Heading 2 2 3" xfId="2790" xr:uid="{00000000-0005-0000-0000-0000510C0000}"/>
    <cellStyle name="Heading 2 2 4" xfId="2791" xr:uid="{00000000-0005-0000-0000-0000520C0000}"/>
    <cellStyle name="Heading 2 2 4 2" xfId="2792" xr:uid="{00000000-0005-0000-0000-0000530C0000}"/>
    <cellStyle name="Heading 2 3" xfId="2793" xr:uid="{00000000-0005-0000-0000-0000540C0000}"/>
    <cellStyle name="Heading 2 3 2" xfId="2794" xr:uid="{00000000-0005-0000-0000-0000550C0000}"/>
    <cellStyle name="Heading 2 3 3" xfId="2795" xr:uid="{00000000-0005-0000-0000-0000560C0000}"/>
    <cellStyle name="Heading 2 3 4" xfId="2796" xr:uid="{00000000-0005-0000-0000-0000570C0000}"/>
    <cellStyle name="Heading 2 4" xfId="2797" xr:uid="{00000000-0005-0000-0000-0000580C0000}"/>
    <cellStyle name="Heading 2 4 2" xfId="2798" xr:uid="{00000000-0005-0000-0000-0000590C0000}"/>
    <cellStyle name="Heading 3" xfId="2799" builtinId="18" customBuiltin="1"/>
    <cellStyle name="Heading 3 2" xfId="2800" xr:uid="{00000000-0005-0000-0000-00005B0C0000}"/>
    <cellStyle name="Heading 3 2 2" xfId="2801" xr:uid="{00000000-0005-0000-0000-00005C0C0000}"/>
    <cellStyle name="Heading 3 2 2 2" xfId="2802" xr:uid="{00000000-0005-0000-0000-00005D0C0000}"/>
    <cellStyle name="Heading 3 2 3" xfId="2803" xr:uid="{00000000-0005-0000-0000-00005E0C0000}"/>
    <cellStyle name="Heading 3 2 4" xfId="2804" xr:uid="{00000000-0005-0000-0000-00005F0C0000}"/>
    <cellStyle name="Heading 3 2 4 2" xfId="2805" xr:uid="{00000000-0005-0000-0000-0000600C0000}"/>
    <cellStyle name="Heading 3 3" xfId="2806" xr:uid="{00000000-0005-0000-0000-0000610C0000}"/>
    <cellStyle name="Heading 3 3 2" xfId="2807" xr:uid="{00000000-0005-0000-0000-0000620C0000}"/>
    <cellStyle name="Heading 3 3 3" xfId="2808" xr:uid="{00000000-0005-0000-0000-0000630C0000}"/>
    <cellStyle name="Heading 3 3 4" xfId="2809" xr:uid="{00000000-0005-0000-0000-0000640C0000}"/>
    <cellStyle name="Heading 3 4" xfId="2810" xr:uid="{00000000-0005-0000-0000-0000650C0000}"/>
    <cellStyle name="Heading 3 4 2" xfId="2811" xr:uid="{00000000-0005-0000-0000-0000660C0000}"/>
    <cellStyle name="Heading 4" xfId="2812" builtinId="19" customBuiltin="1"/>
    <cellStyle name="Heading 4 2" xfId="2813" xr:uid="{00000000-0005-0000-0000-0000680C0000}"/>
    <cellStyle name="Heading 4 2 2" xfId="2814" xr:uid="{00000000-0005-0000-0000-0000690C0000}"/>
    <cellStyle name="Heading 4 2 2 2" xfId="2815" xr:uid="{00000000-0005-0000-0000-00006A0C0000}"/>
    <cellStyle name="Heading 4 2 2 3" xfId="2816" xr:uid="{00000000-0005-0000-0000-00006B0C0000}"/>
    <cellStyle name="Heading 4 2 3" xfId="2817" xr:uid="{00000000-0005-0000-0000-00006C0C0000}"/>
    <cellStyle name="Heading 4 2 3 2" xfId="2818" xr:uid="{00000000-0005-0000-0000-00006D0C0000}"/>
    <cellStyle name="Heading 4 3" xfId="2819" xr:uid="{00000000-0005-0000-0000-00006E0C0000}"/>
    <cellStyle name="Heading 4 3 2" xfId="2820" xr:uid="{00000000-0005-0000-0000-00006F0C0000}"/>
    <cellStyle name="Heading 4 3 3" xfId="2821" xr:uid="{00000000-0005-0000-0000-0000700C0000}"/>
    <cellStyle name="Heading 4 4" xfId="2822" xr:uid="{00000000-0005-0000-0000-0000710C0000}"/>
    <cellStyle name="Hyperlink 2" xfId="2823" xr:uid="{00000000-0005-0000-0000-0000720C0000}"/>
    <cellStyle name="Hyperlink 2 2" xfId="2824" xr:uid="{00000000-0005-0000-0000-0000730C0000}"/>
    <cellStyle name="Hyperlink 2 2 2" xfId="2825" xr:uid="{00000000-0005-0000-0000-0000740C0000}"/>
    <cellStyle name="Hyperlink 2 2 3" xfId="2826" xr:uid="{00000000-0005-0000-0000-0000750C0000}"/>
    <cellStyle name="Hyperlink 2 2 4" xfId="2827" xr:uid="{00000000-0005-0000-0000-0000760C0000}"/>
    <cellStyle name="Hyperlink 2 2 5" xfId="2828" xr:uid="{00000000-0005-0000-0000-0000770C0000}"/>
    <cellStyle name="Hyperlink 2 2 6" xfId="2829" xr:uid="{00000000-0005-0000-0000-0000780C0000}"/>
    <cellStyle name="Hyperlink 2 3" xfId="2830" xr:uid="{00000000-0005-0000-0000-0000790C0000}"/>
    <cellStyle name="Hyperlink 2 3 2" xfId="2831" xr:uid="{00000000-0005-0000-0000-00007A0C0000}"/>
    <cellStyle name="Hyperlink 2 3 3" xfId="2832" xr:uid="{00000000-0005-0000-0000-00007B0C0000}"/>
    <cellStyle name="Hyperlink 2 4" xfId="2833" xr:uid="{00000000-0005-0000-0000-00007C0C0000}"/>
    <cellStyle name="Hyperlink 3" xfId="2834" xr:uid="{00000000-0005-0000-0000-00007D0C0000}"/>
    <cellStyle name="Hyperlink 3 2" xfId="2835" xr:uid="{00000000-0005-0000-0000-00007E0C0000}"/>
    <cellStyle name="Hyperlink 3 2 2" xfId="2836" xr:uid="{00000000-0005-0000-0000-00007F0C0000}"/>
    <cellStyle name="Hyperlink 3 3" xfId="2837" xr:uid="{00000000-0005-0000-0000-0000800C0000}"/>
    <cellStyle name="Hyperlink 3 4" xfId="2838" xr:uid="{00000000-0005-0000-0000-0000810C0000}"/>
    <cellStyle name="Hyperlink 4" xfId="2839" xr:uid="{00000000-0005-0000-0000-0000820C0000}"/>
    <cellStyle name="Hyperlink 4 2" xfId="2840" xr:uid="{00000000-0005-0000-0000-0000830C0000}"/>
    <cellStyle name="Hyperlink 5" xfId="2841" xr:uid="{00000000-0005-0000-0000-0000840C0000}"/>
    <cellStyle name="Input" xfId="2842" builtinId="20" customBuiltin="1"/>
    <cellStyle name="Input 2" xfId="2843" xr:uid="{00000000-0005-0000-0000-0000860C0000}"/>
    <cellStyle name="Input 2 2" xfId="2844" xr:uid="{00000000-0005-0000-0000-0000870C0000}"/>
    <cellStyle name="Input 2 2 2" xfId="2845" xr:uid="{00000000-0005-0000-0000-0000880C0000}"/>
    <cellStyle name="Input 2 2 2 2" xfId="2846" xr:uid="{00000000-0005-0000-0000-0000890C0000}"/>
    <cellStyle name="Input 2 2 2 2 2" xfId="2847" xr:uid="{00000000-0005-0000-0000-00008A0C0000}"/>
    <cellStyle name="Input 2 2 2 2 2 2" xfId="15336" xr:uid="{00000000-0005-0000-0000-00008B0C0000}"/>
    <cellStyle name="Input 2 2 2 2 2 3" xfId="22745" xr:uid="{00000000-0005-0000-0000-00008C0C0000}"/>
    <cellStyle name="Input 2 2 2 2 2 4" xfId="22938" xr:uid="{00000000-0005-0000-0000-00008D0C0000}"/>
    <cellStyle name="Input 2 2 2 2 3" xfId="2848" xr:uid="{00000000-0005-0000-0000-00008E0C0000}"/>
    <cellStyle name="Input 2 2 2 2 3 2" xfId="15337" xr:uid="{00000000-0005-0000-0000-00008F0C0000}"/>
    <cellStyle name="Input 2 2 2 2 3 3" xfId="22750" xr:uid="{00000000-0005-0000-0000-0000900C0000}"/>
    <cellStyle name="Input 2 2 2 2 3 4" xfId="22862" xr:uid="{00000000-0005-0000-0000-0000910C0000}"/>
    <cellStyle name="Input 2 2 2 2 4" xfId="2849" xr:uid="{00000000-0005-0000-0000-0000920C0000}"/>
    <cellStyle name="Input 2 2 2 2 4 2" xfId="15338" xr:uid="{00000000-0005-0000-0000-0000930C0000}"/>
    <cellStyle name="Input 2 2 2 2 4 3" xfId="22748" xr:uid="{00000000-0005-0000-0000-0000940C0000}"/>
    <cellStyle name="Input 2 2 2 2 4 4" xfId="22861" xr:uid="{00000000-0005-0000-0000-0000950C0000}"/>
    <cellStyle name="Input 2 2 2 2 5" xfId="2850" xr:uid="{00000000-0005-0000-0000-0000960C0000}"/>
    <cellStyle name="Input 2 2 2 2 5 2" xfId="15339" xr:uid="{00000000-0005-0000-0000-0000970C0000}"/>
    <cellStyle name="Input 2 2 2 2 5 3" xfId="22749" xr:uid="{00000000-0005-0000-0000-0000980C0000}"/>
    <cellStyle name="Input 2 2 2 2 5 4" xfId="22935" xr:uid="{00000000-0005-0000-0000-0000990C0000}"/>
    <cellStyle name="Input 2 2 2 2 6" xfId="15335" xr:uid="{00000000-0005-0000-0000-00009A0C0000}"/>
    <cellStyle name="Input 2 2 2 2 7" xfId="22752" xr:uid="{00000000-0005-0000-0000-00009B0C0000}"/>
    <cellStyle name="Input 2 2 2 2 8" xfId="22937" xr:uid="{00000000-0005-0000-0000-00009C0C0000}"/>
    <cellStyle name="Input 2 2 2 3" xfId="2851" xr:uid="{00000000-0005-0000-0000-00009D0C0000}"/>
    <cellStyle name="Input 2 2 2 3 2" xfId="15340" xr:uid="{00000000-0005-0000-0000-00009E0C0000}"/>
    <cellStyle name="Input 2 2 2 3 3" xfId="22746" xr:uid="{00000000-0005-0000-0000-00009F0C0000}"/>
    <cellStyle name="Input 2 2 2 3 4" xfId="22936" xr:uid="{00000000-0005-0000-0000-0000A00C0000}"/>
    <cellStyle name="Input 2 2 2 4" xfId="15334" xr:uid="{00000000-0005-0000-0000-0000A10C0000}"/>
    <cellStyle name="Input 2 2 2 5" xfId="22751" xr:uid="{00000000-0005-0000-0000-0000A20C0000}"/>
    <cellStyle name="Input 2 2 2 6" xfId="22863" xr:uid="{00000000-0005-0000-0000-0000A30C0000}"/>
    <cellStyle name="Input 2 2 3" xfId="2852" xr:uid="{00000000-0005-0000-0000-0000A40C0000}"/>
    <cellStyle name="Input 2 2 3 2" xfId="2853" xr:uid="{00000000-0005-0000-0000-0000A50C0000}"/>
    <cellStyle name="Input 2 2 3 2 2" xfId="15342" xr:uid="{00000000-0005-0000-0000-0000A60C0000}"/>
    <cellStyle name="Input 2 2 3 2 3" xfId="22733" xr:uid="{00000000-0005-0000-0000-0000A70C0000}"/>
    <cellStyle name="Input 2 2 3 2 4" xfId="22859" xr:uid="{00000000-0005-0000-0000-0000A80C0000}"/>
    <cellStyle name="Input 2 2 3 3" xfId="2854" xr:uid="{00000000-0005-0000-0000-0000A90C0000}"/>
    <cellStyle name="Input 2 2 3 3 2" xfId="15343" xr:uid="{00000000-0005-0000-0000-0000AA0C0000}"/>
    <cellStyle name="Input 2 2 3 3 3" xfId="22744" xr:uid="{00000000-0005-0000-0000-0000AB0C0000}"/>
    <cellStyle name="Input 2 2 3 3 4" xfId="22858" xr:uid="{00000000-0005-0000-0000-0000AC0C0000}"/>
    <cellStyle name="Input 2 2 3 4" xfId="2855" xr:uid="{00000000-0005-0000-0000-0000AD0C0000}"/>
    <cellStyle name="Input 2 2 3 4 2" xfId="15344" xr:uid="{00000000-0005-0000-0000-0000AE0C0000}"/>
    <cellStyle name="Input 2 2 3 4 3" xfId="22742" xr:uid="{00000000-0005-0000-0000-0000AF0C0000}"/>
    <cellStyle name="Input 2 2 3 4 4" xfId="22857" xr:uid="{00000000-0005-0000-0000-0000B00C0000}"/>
    <cellStyle name="Input 2 2 3 5" xfId="2856" xr:uid="{00000000-0005-0000-0000-0000B10C0000}"/>
    <cellStyle name="Input 2 2 3 5 2" xfId="15345" xr:uid="{00000000-0005-0000-0000-0000B20C0000}"/>
    <cellStyle name="Input 2 2 3 5 3" xfId="22743" xr:uid="{00000000-0005-0000-0000-0000B30C0000}"/>
    <cellStyle name="Input 2 2 3 5 4" xfId="22913" xr:uid="{00000000-0005-0000-0000-0000B40C0000}"/>
    <cellStyle name="Input 2 2 3 6" xfId="15341" xr:uid="{00000000-0005-0000-0000-0000B50C0000}"/>
    <cellStyle name="Input 2 2 3 7" xfId="22747" xr:uid="{00000000-0005-0000-0000-0000B60C0000}"/>
    <cellStyle name="Input 2 2 3 8" xfId="22860" xr:uid="{00000000-0005-0000-0000-0000B70C0000}"/>
    <cellStyle name="Input 2 2 4" xfId="2857" xr:uid="{00000000-0005-0000-0000-0000B80C0000}"/>
    <cellStyle name="Input 2 2 4 2" xfId="15346" xr:uid="{00000000-0005-0000-0000-0000B90C0000}"/>
    <cellStyle name="Input 2 2 4 3" xfId="22740" xr:uid="{00000000-0005-0000-0000-0000BA0C0000}"/>
    <cellStyle name="Input 2 2 4 4" xfId="22933" xr:uid="{00000000-0005-0000-0000-0000BB0C0000}"/>
    <cellStyle name="Input 2 2 5" xfId="2858" xr:uid="{00000000-0005-0000-0000-0000BC0C0000}"/>
    <cellStyle name="Input 2 2 5 2" xfId="15347" xr:uid="{00000000-0005-0000-0000-0000BD0C0000}"/>
    <cellStyle name="Input 2 2 5 3" xfId="22741" xr:uid="{00000000-0005-0000-0000-0000BE0C0000}"/>
    <cellStyle name="Input 2 2 5 4" xfId="22856" xr:uid="{00000000-0005-0000-0000-0000BF0C0000}"/>
    <cellStyle name="Input 2 2 6" xfId="15333" xr:uid="{00000000-0005-0000-0000-0000C00C0000}"/>
    <cellStyle name="Input 2 2 7" xfId="22754" xr:uid="{00000000-0005-0000-0000-0000C10C0000}"/>
    <cellStyle name="Input 2 2 8" xfId="22939" xr:uid="{00000000-0005-0000-0000-0000C20C0000}"/>
    <cellStyle name="Input 2 3" xfId="2859" xr:uid="{00000000-0005-0000-0000-0000C30C0000}"/>
    <cellStyle name="Input 2 3 2" xfId="2860" xr:uid="{00000000-0005-0000-0000-0000C40C0000}"/>
    <cellStyle name="Input 2 3 2 2" xfId="2861" xr:uid="{00000000-0005-0000-0000-0000C50C0000}"/>
    <cellStyle name="Input 2 3 2 2 2" xfId="15350" xr:uid="{00000000-0005-0000-0000-0000C60C0000}"/>
    <cellStyle name="Input 2 3 2 2 3" xfId="22737" xr:uid="{00000000-0005-0000-0000-0000C70C0000}"/>
    <cellStyle name="Input 2 3 2 2 4" xfId="22855" xr:uid="{00000000-0005-0000-0000-0000C80C0000}"/>
    <cellStyle name="Input 2 3 2 3" xfId="2862" xr:uid="{00000000-0005-0000-0000-0000C90C0000}"/>
    <cellStyle name="Input 2 3 2 3 2" xfId="15351" xr:uid="{00000000-0005-0000-0000-0000CA0C0000}"/>
    <cellStyle name="Input 2 3 2 3 3" xfId="22738" xr:uid="{00000000-0005-0000-0000-0000CB0C0000}"/>
    <cellStyle name="Input 2 3 2 3 4" xfId="22854" xr:uid="{00000000-0005-0000-0000-0000CC0C0000}"/>
    <cellStyle name="Input 2 3 2 4" xfId="2863" xr:uid="{00000000-0005-0000-0000-0000CD0C0000}"/>
    <cellStyle name="Input 2 3 2 4 2" xfId="15352" xr:uid="{00000000-0005-0000-0000-0000CE0C0000}"/>
    <cellStyle name="Input 2 3 2 4 3" xfId="22735" xr:uid="{00000000-0005-0000-0000-0000CF0C0000}"/>
    <cellStyle name="Input 2 3 2 4 4" xfId="22929" xr:uid="{00000000-0005-0000-0000-0000D00C0000}"/>
    <cellStyle name="Input 2 3 2 5" xfId="2864" xr:uid="{00000000-0005-0000-0000-0000D10C0000}"/>
    <cellStyle name="Input 2 3 2 5 2" xfId="15353" xr:uid="{00000000-0005-0000-0000-0000D20C0000}"/>
    <cellStyle name="Input 2 3 2 5 3" xfId="22736" xr:uid="{00000000-0005-0000-0000-0000D30C0000}"/>
    <cellStyle name="Input 2 3 2 5 4" xfId="22930" xr:uid="{00000000-0005-0000-0000-0000D40C0000}"/>
    <cellStyle name="Input 2 3 2 6" xfId="15349" xr:uid="{00000000-0005-0000-0000-0000D50C0000}"/>
    <cellStyle name="Input 2 3 2 7" xfId="22739" xr:uid="{00000000-0005-0000-0000-0000D60C0000}"/>
    <cellStyle name="Input 2 3 2 8" xfId="22932" xr:uid="{00000000-0005-0000-0000-0000D70C0000}"/>
    <cellStyle name="Input 2 3 3" xfId="2865" xr:uid="{00000000-0005-0000-0000-0000D80C0000}"/>
    <cellStyle name="Input 2 3 3 2" xfId="15354" xr:uid="{00000000-0005-0000-0000-0000D90C0000}"/>
    <cellStyle name="Input 2 3 3 3" xfId="22709" xr:uid="{00000000-0005-0000-0000-0000DA0C0000}"/>
    <cellStyle name="Input 2 3 3 4" xfId="22853" xr:uid="{00000000-0005-0000-0000-0000DB0C0000}"/>
    <cellStyle name="Input 2 3 4" xfId="2866" xr:uid="{00000000-0005-0000-0000-0000DC0C0000}"/>
    <cellStyle name="Input 2 3 4 2" xfId="15355" xr:uid="{00000000-0005-0000-0000-0000DD0C0000}"/>
    <cellStyle name="Input 2 3 4 3" xfId="22732" xr:uid="{00000000-0005-0000-0000-0000DE0C0000}"/>
    <cellStyle name="Input 2 3 4 4" xfId="22852" xr:uid="{00000000-0005-0000-0000-0000DF0C0000}"/>
    <cellStyle name="Input 2 3 5" xfId="15348" xr:uid="{00000000-0005-0000-0000-0000E00C0000}"/>
    <cellStyle name="Input 2 3 6" xfId="22734" xr:uid="{00000000-0005-0000-0000-0000E10C0000}"/>
    <cellStyle name="Input 2 3 7" xfId="22931" xr:uid="{00000000-0005-0000-0000-0000E20C0000}"/>
    <cellStyle name="Input 2 4" xfId="2867" xr:uid="{00000000-0005-0000-0000-0000E30C0000}"/>
    <cellStyle name="Input 2 4 2" xfId="2868" xr:uid="{00000000-0005-0000-0000-0000E40C0000}"/>
    <cellStyle name="Input 2 4 2 2" xfId="15357" xr:uid="{00000000-0005-0000-0000-0000E50C0000}"/>
    <cellStyle name="Input 2 4 2 3" xfId="22731" xr:uid="{00000000-0005-0000-0000-0000E60C0000}"/>
    <cellStyle name="Input 2 4 2 4" xfId="22928" xr:uid="{00000000-0005-0000-0000-0000E70C0000}"/>
    <cellStyle name="Input 2 4 3" xfId="2869" xr:uid="{00000000-0005-0000-0000-0000E80C0000}"/>
    <cellStyle name="Input 2 4 3 2" xfId="15358" xr:uid="{00000000-0005-0000-0000-0000E90C0000}"/>
    <cellStyle name="Input 2 4 3 3" xfId="22728" xr:uid="{00000000-0005-0000-0000-0000EA0C0000}"/>
    <cellStyle name="Input 2 4 3 4" xfId="22851" xr:uid="{00000000-0005-0000-0000-0000EB0C0000}"/>
    <cellStyle name="Input 2 4 4" xfId="2870" xr:uid="{00000000-0005-0000-0000-0000EC0C0000}"/>
    <cellStyle name="Input 2 4 4 2" xfId="15359" xr:uid="{00000000-0005-0000-0000-0000ED0C0000}"/>
    <cellStyle name="Input 2 4 4 3" xfId="22729" xr:uid="{00000000-0005-0000-0000-0000EE0C0000}"/>
    <cellStyle name="Input 2 4 4 4" xfId="22926" xr:uid="{00000000-0005-0000-0000-0000EF0C0000}"/>
    <cellStyle name="Input 2 4 5" xfId="2871" xr:uid="{00000000-0005-0000-0000-0000F00C0000}"/>
    <cellStyle name="Input 2 4 5 2" xfId="15360" xr:uid="{00000000-0005-0000-0000-0000F10C0000}"/>
    <cellStyle name="Input 2 4 5 3" xfId="22722" xr:uid="{00000000-0005-0000-0000-0000F20C0000}"/>
    <cellStyle name="Input 2 4 5 4" xfId="22927" xr:uid="{00000000-0005-0000-0000-0000F30C0000}"/>
    <cellStyle name="Input 2 4 6" xfId="15356" xr:uid="{00000000-0005-0000-0000-0000F40C0000}"/>
    <cellStyle name="Input 2 4 7" xfId="22730" xr:uid="{00000000-0005-0000-0000-0000F50C0000}"/>
    <cellStyle name="Input 2 4 8" xfId="22923" xr:uid="{00000000-0005-0000-0000-0000F60C0000}"/>
    <cellStyle name="Input 2 5" xfId="2872" xr:uid="{00000000-0005-0000-0000-0000F70C0000}"/>
    <cellStyle name="Input 2 5 2" xfId="15361" xr:uid="{00000000-0005-0000-0000-0000F80C0000}"/>
    <cellStyle name="Input 2 5 3" xfId="22727" xr:uid="{00000000-0005-0000-0000-0000F90C0000}"/>
    <cellStyle name="Input 2 5 4" xfId="22850" xr:uid="{00000000-0005-0000-0000-0000FA0C0000}"/>
    <cellStyle name="Input 2 6" xfId="15332" xr:uid="{00000000-0005-0000-0000-0000FB0C0000}"/>
    <cellStyle name="Input 2 7" xfId="22753" xr:uid="{00000000-0005-0000-0000-0000FC0C0000}"/>
    <cellStyle name="Input 2 8" xfId="22934" xr:uid="{00000000-0005-0000-0000-0000FD0C0000}"/>
    <cellStyle name="Input 3" xfId="2873" xr:uid="{00000000-0005-0000-0000-0000FE0C0000}"/>
    <cellStyle name="Input 3 2" xfId="2874" xr:uid="{00000000-0005-0000-0000-0000FF0C0000}"/>
    <cellStyle name="Input 3 2 2" xfId="2875" xr:uid="{00000000-0005-0000-0000-0000000D0000}"/>
    <cellStyle name="Input 3 2 2 2" xfId="2876" xr:uid="{00000000-0005-0000-0000-0000010D0000}"/>
    <cellStyle name="Input 3 2 2 2 2" xfId="15365" xr:uid="{00000000-0005-0000-0000-0000020D0000}"/>
    <cellStyle name="Input 3 2 2 2 3" xfId="22724" xr:uid="{00000000-0005-0000-0000-0000030D0000}"/>
    <cellStyle name="Input 3 2 2 2 4" xfId="22848" xr:uid="{00000000-0005-0000-0000-0000040D0000}"/>
    <cellStyle name="Input 3 2 2 3" xfId="2877" xr:uid="{00000000-0005-0000-0000-0000050D0000}"/>
    <cellStyle name="Input 3 2 2 3 2" xfId="15366" xr:uid="{00000000-0005-0000-0000-0000060D0000}"/>
    <cellStyle name="Input 3 2 2 3 3" xfId="22710" xr:uid="{00000000-0005-0000-0000-0000070D0000}"/>
    <cellStyle name="Input 3 2 2 3 4" xfId="22847" xr:uid="{00000000-0005-0000-0000-0000080D0000}"/>
    <cellStyle name="Input 3 2 2 4" xfId="2878" xr:uid="{00000000-0005-0000-0000-0000090D0000}"/>
    <cellStyle name="Input 3 2 2 4 2" xfId="15367" xr:uid="{00000000-0005-0000-0000-00000A0D0000}"/>
    <cellStyle name="Input 3 2 2 4 3" xfId="22721" xr:uid="{00000000-0005-0000-0000-00000B0D0000}"/>
    <cellStyle name="Input 3 2 2 4 4" xfId="22846" xr:uid="{00000000-0005-0000-0000-00000C0D0000}"/>
    <cellStyle name="Input 3 2 2 5" xfId="2879" xr:uid="{00000000-0005-0000-0000-00000D0D0000}"/>
    <cellStyle name="Input 3 2 2 5 2" xfId="15368" xr:uid="{00000000-0005-0000-0000-00000E0D0000}"/>
    <cellStyle name="Input 3 2 2 5 3" xfId="22719" xr:uid="{00000000-0005-0000-0000-00000F0D0000}"/>
    <cellStyle name="Input 3 2 2 5 4" xfId="22914" xr:uid="{00000000-0005-0000-0000-0000100D0000}"/>
    <cellStyle name="Input 3 2 2 6" xfId="15364" xr:uid="{00000000-0005-0000-0000-0000110D0000}"/>
    <cellStyle name="Input 3 2 2 7" xfId="22723" xr:uid="{00000000-0005-0000-0000-0000120D0000}"/>
    <cellStyle name="Input 3 2 2 8" xfId="22925" xr:uid="{00000000-0005-0000-0000-0000130D0000}"/>
    <cellStyle name="Input 3 2 3" xfId="2880" xr:uid="{00000000-0005-0000-0000-0000140D0000}"/>
    <cellStyle name="Input 3 2 3 2" xfId="15369" xr:uid="{00000000-0005-0000-0000-0000150D0000}"/>
    <cellStyle name="Input 3 2 3 3" xfId="22720" xr:uid="{00000000-0005-0000-0000-0000160D0000}"/>
    <cellStyle name="Input 3 2 3 4" xfId="22922" xr:uid="{00000000-0005-0000-0000-0000170D0000}"/>
    <cellStyle name="Input 3 2 4" xfId="15363" xr:uid="{00000000-0005-0000-0000-0000180D0000}"/>
    <cellStyle name="Input 3 2 5" xfId="22726" xr:uid="{00000000-0005-0000-0000-0000190D0000}"/>
    <cellStyle name="Input 3 2 6" xfId="22924" xr:uid="{00000000-0005-0000-0000-00001A0D0000}"/>
    <cellStyle name="Input 3 3" xfId="2881" xr:uid="{00000000-0005-0000-0000-00001B0D0000}"/>
    <cellStyle name="Input 3 3 2" xfId="2882" xr:uid="{00000000-0005-0000-0000-00001C0D0000}"/>
    <cellStyle name="Input 3 3 2 2" xfId="15371" xr:uid="{00000000-0005-0000-0000-00001D0D0000}"/>
    <cellStyle name="Input 3 3 2 3" xfId="22718" xr:uid="{00000000-0005-0000-0000-00001E0D0000}"/>
    <cellStyle name="Input 3 3 2 4" xfId="22920" xr:uid="{00000000-0005-0000-0000-00001F0D0000}"/>
    <cellStyle name="Input 3 3 3" xfId="2883" xr:uid="{00000000-0005-0000-0000-0000200D0000}"/>
    <cellStyle name="Input 3 3 3 2" xfId="15372" xr:uid="{00000000-0005-0000-0000-0000210D0000}"/>
    <cellStyle name="Input 3 3 3 3" xfId="22711" xr:uid="{00000000-0005-0000-0000-0000220D0000}"/>
    <cellStyle name="Input 3 3 3 4" xfId="22921" xr:uid="{00000000-0005-0000-0000-0000230D0000}"/>
    <cellStyle name="Input 3 3 4" xfId="2884" xr:uid="{00000000-0005-0000-0000-0000240D0000}"/>
    <cellStyle name="Input 3 3 4 2" xfId="15373" xr:uid="{00000000-0005-0000-0000-0000250D0000}"/>
    <cellStyle name="Input 3 3 4 3" xfId="22716" xr:uid="{00000000-0005-0000-0000-0000260D0000}"/>
    <cellStyle name="Input 3 3 4 4" xfId="22844" xr:uid="{00000000-0005-0000-0000-0000270D0000}"/>
    <cellStyle name="Input 3 3 5" xfId="2885" xr:uid="{00000000-0005-0000-0000-0000280D0000}"/>
    <cellStyle name="Input 3 3 5 2" xfId="15374" xr:uid="{00000000-0005-0000-0000-0000290D0000}"/>
    <cellStyle name="Input 3 3 5 3" xfId="22714" xr:uid="{00000000-0005-0000-0000-00002A0D0000}"/>
    <cellStyle name="Input 3 3 5 4" xfId="22843" xr:uid="{00000000-0005-0000-0000-00002B0D0000}"/>
    <cellStyle name="Input 3 3 6" xfId="15370" xr:uid="{00000000-0005-0000-0000-00002C0D0000}"/>
    <cellStyle name="Input 3 3 7" xfId="22717" xr:uid="{00000000-0005-0000-0000-00002D0D0000}"/>
    <cellStyle name="Input 3 3 8" xfId="22845" xr:uid="{00000000-0005-0000-0000-00002E0D0000}"/>
    <cellStyle name="Input 3 4" xfId="2886" xr:uid="{00000000-0005-0000-0000-00002F0D0000}"/>
    <cellStyle name="Input 3 4 2" xfId="2887" xr:uid="{00000000-0005-0000-0000-0000300D0000}"/>
    <cellStyle name="Input 3 4 2 2" xfId="15376" xr:uid="{00000000-0005-0000-0000-0000310D0000}"/>
    <cellStyle name="Input 3 4 2 3" xfId="22712" xr:uid="{00000000-0005-0000-0000-0000320D0000}"/>
    <cellStyle name="Input 3 4 2 4" xfId="22919" xr:uid="{00000000-0005-0000-0000-0000330D0000}"/>
    <cellStyle name="Input 3 4 3" xfId="2888" xr:uid="{00000000-0005-0000-0000-0000340D0000}"/>
    <cellStyle name="Input 3 4 3 2" xfId="15377" xr:uid="{00000000-0005-0000-0000-0000350D0000}"/>
    <cellStyle name="Input 3 4 3 3" xfId="22713" xr:uid="{00000000-0005-0000-0000-0000360D0000}"/>
    <cellStyle name="Input 3 4 3 4" xfId="22842" xr:uid="{00000000-0005-0000-0000-0000370D0000}"/>
    <cellStyle name="Input 3 4 4" xfId="2889" xr:uid="{00000000-0005-0000-0000-0000380D0000}"/>
    <cellStyle name="Input 3 4 4 2" xfId="15378" xr:uid="{00000000-0005-0000-0000-0000390D0000}"/>
    <cellStyle name="Input 3 4 4 3" xfId="22702" xr:uid="{00000000-0005-0000-0000-00003A0D0000}"/>
    <cellStyle name="Input 3 4 4 4" xfId="22841" xr:uid="{00000000-0005-0000-0000-00003B0D0000}"/>
    <cellStyle name="Input 3 4 5" xfId="2890" xr:uid="{00000000-0005-0000-0000-00003C0D0000}"/>
    <cellStyle name="Input 3 4 5 2" xfId="15379" xr:uid="{00000000-0005-0000-0000-00003D0D0000}"/>
    <cellStyle name="Input 3 4 5 3" xfId="22708" xr:uid="{00000000-0005-0000-0000-00003E0D0000}"/>
    <cellStyle name="Input 3 4 5 4" xfId="22915" xr:uid="{00000000-0005-0000-0000-00003F0D0000}"/>
    <cellStyle name="Input 3 4 6" xfId="15375" xr:uid="{00000000-0005-0000-0000-0000400D0000}"/>
    <cellStyle name="Input 3 4 7" xfId="22715" xr:uid="{00000000-0005-0000-0000-0000410D0000}"/>
    <cellStyle name="Input 3 4 8" xfId="22918" xr:uid="{00000000-0005-0000-0000-0000420D0000}"/>
    <cellStyle name="Input 3 5" xfId="15362" xr:uid="{00000000-0005-0000-0000-0000430D0000}"/>
    <cellStyle name="Input 3 6" xfId="22725" xr:uid="{00000000-0005-0000-0000-0000440D0000}"/>
    <cellStyle name="Input 3 7" xfId="22849" xr:uid="{00000000-0005-0000-0000-0000450D0000}"/>
    <cellStyle name="Input 4" xfId="2891" xr:uid="{00000000-0005-0000-0000-0000460D0000}"/>
    <cellStyle name="input(0)" xfId="2892" xr:uid="{00000000-0005-0000-0000-0000470D0000}"/>
    <cellStyle name="Input(2)" xfId="2893" xr:uid="{00000000-0005-0000-0000-0000480D0000}"/>
    <cellStyle name="Labels" xfId="2894" xr:uid="{00000000-0005-0000-0000-0000490D0000}"/>
    <cellStyle name="Labels - Style3" xfId="2895" xr:uid="{00000000-0005-0000-0000-00004A0D0000}"/>
    <cellStyle name="Labels - Style3 2" xfId="2896" xr:uid="{00000000-0005-0000-0000-00004B0D0000}"/>
    <cellStyle name="Labels - Style3 2 2" xfId="15381" xr:uid="{00000000-0005-0000-0000-00004C0D0000}"/>
    <cellStyle name="Labels - Style3 2 3" xfId="22707" xr:uid="{00000000-0005-0000-0000-00004D0D0000}"/>
    <cellStyle name="Labels - Style3 2 4" xfId="22839" xr:uid="{00000000-0005-0000-0000-00004E0D0000}"/>
    <cellStyle name="Labels - Style3 3" xfId="2897" xr:uid="{00000000-0005-0000-0000-00004F0D0000}"/>
    <cellStyle name="Labels - Style3 3 2" xfId="15382" xr:uid="{00000000-0005-0000-0000-0000500D0000}"/>
    <cellStyle name="Labels - Style3 3 3" xfId="22705" xr:uid="{00000000-0005-0000-0000-0000510D0000}"/>
    <cellStyle name="Labels - Style3 3 4" xfId="22916" xr:uid="{00000000-0005-0000-0000-0000520D0000}"/>
    <cellStyle name="Labels - Style3 4" xfId="2898" xr:uid="{00000000-0005-0000-0000-0000530D0000}"/>
    <cellStyle name="Labels - Style3 4 2" xfId="15383" xr:uid="{00000000-0005-0000-0000-0000540D0000}"/>
    <cellStyle name="Labels - Style3 4 3" xfId="22706" xr:uid="{00000000-0005-0000-0000-0000550D0000}"/>
    <cellStyle name="Labels - Style3 4 4" xfId="22917" xr:uid="{00000000-0005-0000-0000-0000560D0000}"/>
    <cellStyle name="Labels - Style3 5" xfId="2899" xr:uid="{00000000-0005-0000-0000-0000570D0000}"/>
    <cellStyle name="Labels - Style3 5 2" xfId="15384" xr:uid="{00000000-0005-0000-0000-0000580D0000}"/>
    <cellStyle name="Labels - Style3 5 3" xfId="22704" xr:uid="{00000000-0005-0000-0000-0000590D0000}"/>
    <cellStyle name="Labels - Style3 5 4" xfId="22838" xr:uid="{00000000-0005-0000-0000-00005A0D0000}"/>
    <cellStyle name="Labels - Style3 6" xfId="15380" xr:uid="{00000000-0005-0000-0000-00005B0D0000}"/>
    <cellStyle name="Labels - Style3 7" xfId="22703" xr:uid="{00000000-0005-0000-0000-00005C0D0000}"/>
    <cellStyle name="Labels - Style3 8" xfId="22840" xr:uid="{00000000-0005-0000-0000-00005D0D0000}"/>
    <cellStyle name="Labels 2" xfId="2900" xr:uid="{00000000-0005-0000-0000-00005E0D0000}"/>
    <cellStyle name="Labels 2 2" xfId="2901" xr:uid="{00000000-0005-0000-0000-00005F0D0000}"/>
    <cellStyle name="Labels 3" xfId="2902" xr:uid="{00000000-0005-0000-0000-0000600D0000}"/>
    <cellStyle name="Labels 4" xfId="2903" xr:uid="{00000000-0005-0000-0000-0000610D0000}"/>
    <cellStyle name="Labels 5" xfId="2904" xr:uid="{00000000-0005-0000-0000-0000620D0000}"/>
    <cellStyle name="Labels 6" xfId="2905" xr:uid="{00000000-0005-0000-0000-0000630D0000}"/>
    <cellStyle name="Labels 7" xfId="2906" xr:uid="{00000000-0005-0000-0000-0000640D0000}"/>
    <cellStyle name="Linked Cell" xfId="2907" builtinId="24" customBuiltin="1"/>
    <cellStyle name="Linked Cell 2" xfId="2908" xr:uid="{00000000-0005-0000-0000-0000660D0000}"/>
    <cellStyle name="Linked Cell 2 2" xfId="2909" xr:uid="{00000000-0005-0000-0000-0000670D0000}"/>
    <cellStyle name="Linked Cell 2 3" xfId="2910" xr:uid="{00000000-0005-0000-0000-0000680D0000}"/>
    <cellStyle name="Linked Cell 2 4" xfId="2911" xr:uid="{00000000-0005-0000-0000-0000690D0000}"/>
    <cellStyle name="Linked Cell 2 4 2" xfId="2912" xr:uid="{00000000-0005-0000-0000-00006A0D0000}"/>
    <cellStyle name="Linked Cell 3" xfId="2913" xr:uid="{00000000-0005-0000-0000-00006B0D0000}"/>
    <cellStyle name="Linked Cell 3 2" xfId="2914" xr:uid="{00000000-0005-0000-0000-00006C0D0000}"/>
    <cellStyle name="Linked Cell 3 3" xfId="2915" xr:uid="{00000000-0005-0000-0000-00006D0D0000}"/>
    <cellStyle name="Linked Cell 4" xfId="2916" xr:uid="{00000000-0005-0000-0000-00006E0D0000}"/>
    <cellStyle name="Neutral" xfId="2917" builtinId="28" customBuiltin="1"/>
    <cellStyle name="Neutral 2" xfId="2918" xr:uid="{00000000-0005-0000-0000-0000700D0000}"/>
    <cellStyle name="Neutral 2 2" xfId="2919" xr:uid="{00000000-0005-0000-0000-0000710D0000}"/>
    <cellStyle name="Neutral 2 2 2" xfId="2920" xr:uid="{00000000-0005-0000-0000-0000720D0000}"/>
    <cellStyle name="Neutral 2 3" xfId="2921" xr:uid="{00000000-0005-0000-0000-0000730D0000}"/>
    <cellStyle name="Neutral 2 4" xfId="2922" xr:uid="{00000000-0005-0000-0000-0000740D0000}"/>
    <cellStyle name="Neutral 2 4 2" xfId="2923" xr:uid="{00000000-0005-0000-0000-0000750D0000}"/>
    <cellStyle name="Neutral 3" xfId="2924" xr:uid="{00000000-0005-0000-0000-0000760D0000}"/>
    <cellStyle name="Neutral 3 2" xfId="2925" xr:uid="{00000000-0005-0000-0000-0000770D0000}"/>
    <cellStyle name="Neutral 3 3" xfId="2926" xr:uid="{00000000-0005-0000-0000-0000780D0000}"/>
    <cellStyle name="Neutral 4" xfId="2927" xr:uid="{00000000-0005-0000-0000-0000790D0000}"/>
    <cellStyle name="New_normal" xfId="2928" xr:uid="{00000000-0005-0000-0000-00007A0D0000}"/>
    <cellStyle name="Normal" xfId="0" builtinId="0"/>
    <cellStyle name="Normal - Style1" xfId="2929" xr:uid="{00000000-0005-0000-0000-00007C0D0000}"/>
    <cellStyle name="Normal - Style2" xfId="2930" xr:uid="{00000000-0005-0000-0000-00007D0D0000}"/>
    <cellStyle name="Normal - Style3" xfId="2931" xr:uid="{00000000-0005-0000-0000-00007E0D0000}"/>
    <cellStyle name="Normal - Style4" xfId="2932" xr:uid="{00000000-0005-0000-0000-00007F0D0000}"/>
    <cellStyle name="Normal - Style5" xfId="2933" xr:uid="{00000000-0005-0000-0000-0000800D0000}"/>
    <cellStyle name="Normal - Style6" xfId="2934" xr:uid="{00000000-0005-0000-0000-0000810D0000}"/>
    <cellStyle name="Normal - Style7" xfId="2935" xr:uid="{00000000-0005-0000-0000-0000820D0000}"/>
    <cellStyle name="Normal - Style8" xfId="2936" xr:uid="{00000000-0005-0000-0000-0000830D0000}"/>
    <cellStyle name="Normal 10" xfId="9260" xr:uid="{00000000-0005-0000-0000-0000840D0000}"/>
    <cellStyle name="Normal 10 10" xfId="2937" xr:uid="{00000000-0005-0000-0000-0000850D0000}"/>
    <cellStyle name="Normal 10 10 2" xfId="9261" xr:uid="{00000000-0005-0000-0000-0000860D0000}"/>
    <cellStyle name="Normal 10 10 2 2" xfId="21611" xr:uid="{00000000-0005-0000-0000-0000870D0000}"/>
    <cellStyle name="Normal 10 10 3" xfId="15385" xr:uid="{00000000-0005-0000-0000-0000880D0000}"/>
    <cellStyle name="Normal 10 2" xfId="2938" xr:uid="{00000000-0005-0000-0000-0000890D0000}"/>
    <cellStyle name="Normal 10 2 2" xfId="2939" xr:uid="{00000000-0005-0000-0000-00008A0D0000}"/>
    <cellStyle name="Normal 10 2 2 2" xfId="2940" xr:uid="{00000000-0005-0000-0000-00008B0D0000}"/>
    <cellStyle name="Normal 10 2 2 2 2" xfId="2941" xr:uid="{00000000-0005-0000-0000-00008C0D0000}"/>
    <cellStyle name="Normal 10 2 2 2 2 2" xfId="2942" xr:uid="{00000000-0005-0000-0000-00008D0D0000}"/>
    <cellStyle name="Normal 10 2 2 2 2 2 2" xfId="2943" xr:uid="{00000000-0005-0000-0000-00008E0D0000}"/>
    <cellStyle name="Normal 10 2 2 2 2 2 2 2" xfId="2944" xr:uid="{00000000-0005-0000-0000-00008F0D0000}"/>
    <cellStyle name="Normal 10 2 2 2 2 2 2 2 2" xfId="9267" xr:uid="{00000000-0005-0000-0000-0000900D0000}"/>
    <cellStyle name="Normal 10 2 2 2 2 2 2 2 2 2" xfId="21617" xr:uid="{00000000-0005-0000-0000-0000910D0000}"/>
    <cellStyle name="Normal 10 2 2 2 2 2 2 2 3" xfId="15391" xr:uid="{00000000-0005-0000-0000-0000920D0000}"/>
    <cellStyle name="Normal 10 2 2 2 2 2 2 3" xfId="9266" xr:uid="{00000000-0005-0000-0000-0000930D0000}"/>
    <cellStyle name="Normal 10 2 2 2 2 2 2 3 2" xfId="21616" xr:uid="{00000000-0005-0000-0000-0000940D0000}"/>
    <cellStyle name="Normal 10 2 2 2 2 2 2 4" xfId="15390" xr:uid="{00000000-0005-0000-0000-0000950D0000}"/>
    <cellStyle name="Normal 10 2 2 2 2 2 3" xfId="2945" xr:uid="{00000000-0005-0000-0000-0000960D0000}"/>
    <cellStyle name="Normal 10 2 2 2 2 2 3 2" xfId="2946" xr:uid="{00000000-0005-0000-0000-0000970D0000}"/>
    <cellStyle name="Normal 10 2 2 2 2 2 3 2 2" xfId="9269" xr:uid="{00000000-0005-0000-0000-0000980D0000}"/>
    <cellStyle name="Normal 10 2 2 2 2 2 3 2 2 2" xfId="21619" xr:uid="{00000000-0005-0000-0000-0000990D0000}"/>
    <cellStyle name="Normal 10 2 2 2 2 2 3 2 3" xfId="15393" xr:uid="{00000000-0005-0000-0000-00009A0D0000}"/>
    <cellStyle name="Normal 10 2 2 2 2 2 3 3" xfId="9268" xr:uid="{00000000-0005-0000-0000-00009B0D0000}"/>
    <cellStyle name="Normal 10 2 2 2 2 2 3 3 2" xfId="21618" xr:uid="{00000000-0005-0000-0000-00009C0D0000}"/>
    <cellStyle name="Normal 10 2 2 2 2 2 3 4" xfId="15392" xr:uid="{00000000-0005-0000-0000-00009D0D0000}"/>
    <cellStyle name="Normal 10 2 2 2 2 2 4" xfId="2947" xr:uid="{00000000-0005-0000-0000-00009E0D0000}"/>
    <cellStyle name="Normal 10 2 2 2 2 2 4 2" xfId="9270" xr:uid="{00000000-0005-0000-0000-00009F0D0000}"/>
    <cellStyle name="Normal 10 2 2 2 2 2 4 2 2" xfId="21620" xr:uid="{00000000-0005-0000-0000-0000A00D0000}"/>
    <cellStyle name="Normal 10 2 2 2 2 2 4 3" xfId="15394" xr:uid="{00000000-0005-0000-0000-0000A10D0000}"/>
    <cellStyle name="Normal 10 2 2 2 2 2 5" xfId="9265" xr:uid="{00000000-0005-0000-0000-0000A20D0000}"/>
    <cellStyle name="Normal 10 2 2 2 2 2 5 2" xfId="21615" xr:uid="{00000000-0005-0000-0000-0000A30D0000}"/>
    <cellStyle name="Normal 10 2 2 2 2 2 6" xfId="15389" xr:uid="{00000000-0005-0000-0000-0000A40D0000}"/>
    <cellStyle name="Normal 10 2 2 2 2 3" xfId="2948" xr:uid="{00000000-0005-0000-0000-0000A50D0000}"/>
    <cellStyle name="Normal 10 2 2 2 2 3 2" xfId="2949" xr:uid="{00000000-0005-0000-0000-0000A60D0000}"/>
    <cellStyle name="Normal 10 2 2 2 2 3 2 2" xfId="9272" xr:uid="{00000000-0005-0000-0000-0000A70D0000}"/>
    <cellStyle name="Normal 10 2 2 2 2 3 2 2 2" xfId="21622" xr:uid="{00000000-0005-0000-0000-0000A80D0000}"/>
    <cellStyle name="Normal 10 2 2 2 2 3 2 3" xfId="15396" xr:uid="{00000000-0005-0000-0000-0000A90D0000}"/>
    <cellStyle name="Normal 10 2 2 2 2 3 3" xfId="9271" xr:uid="{00000000-0005-0000-0000-0000AA0D0000}"/>
    <cellStyle name="Normal 10 2 2 2 2 3 3 2" xfId="21621" xr:uid="{00000000-0005-0000-0000-0000AB0D0000}"/>
    <cellStyle name="Normal 10 2 2 2 2 3 4" xfId="15395" xr:uid="{00000000-0005-0000-0000-0000AC0D0000}"/>
    <cellStyle name="Normal 10 2 2 2 2 4" xfId="2950" xr:uid="{00000000-0005-0000-0000-0000AD0D0000}"/>
    <cellStyle name="Normal 10 2 2 2 2 4 2" xfId="2951" xr:uid="{00000000-0005-0000-0000-0000AE0D0000}"/>
    <cellStyle name="Normal 10 2 2 2 2 4 2 2" xfId="9274" xr:uid="{00000000-0005-0000-0000-0000AF0D0000}"/>
    <cellStyle name="Normal 10 2 2 2 2 4 2 2 2" xfId="21624" xr:uid="{00000000-0005-0000-0000-0000B00D0000}"/>
    <cellStyle name="Normal 10 2 2 2 2 4 2 3" xfId="15398" xr:uid="{00000000-0005-0000-0000-0000B10D0000}"/>
    <cellStyle name="Normal 10 2 2 2 2 4 3" xfId="9273" xr:uid="{00000000-0005-0000-0000-0000B20D0000}"/>
    <cellStyle name="Normal 10 2 2 2 2 4 3 2" xfId="21623" xr:uid="{00000000-0005-0000-0000-0000B30D0000}"/>
    <cellStyle name="Normal 10 2 2 2 2 4 4" xfId="15397" xr:uid="{00000000-0005-0000-0000-0000B40D0000}"/>
    <cellStyle name="Normal 10 2 2 2 2 5" xfId="2952" xr:uid="{00000000-0005-0000-0000-0000B50D0000}"/>
    <cellStyle name="Normal 10 2 2 2 2 5 2" xfId="9275" xr:uid="{00000000-0005-0000-0000-0000B60D0000}"/>
    <cellStyle name="Normal 10 2 2 2 2 5 2 2" xfId="21625" xr:uid="{00000000-0005-0000-0000-0000B70D0000}"/>
    <cellStyle name="Normal 10 2 2 2 2 5 3" xfId="15399" xr:uid="{00000000-0005-0000-0000-0000B80D0000}"/>
    <cellStyle name="Normal 10 2 2 2 2 6" xfId="9264" xr:uid="{00000000-0005-0000-0000-0000B90D0000}"/>
    <cellStyle name="Normal 10 2 2 2 2 6 2" xfId="21614" xr:uid="{00000000-0005-0000-0000-0000BA0D0000}"/>
    <cellStyle name="Normal 10 2 2 2 2 7" xfId="15388" xr:uid="{00000000-0005-0000-0000-0000BB0D0000}"/>
    <cellStyle name="Normal 10 2 2 2 3" xfId="2953" xr:uid="{00000000-0005-0000-0000-0000BC0D0000}"/>
    <cellStyle name="Normal 10 2 2 2 3 2" xfId="2954" xr:uid="{00000000-0005-0000-0000-0000BD0D0000}"/>
    <cellStyle name="Normal 10 2 2 2 3 2 2" xfId="2955" xr:uid="{00000000-0005-0000-0000-0000BE0D0000}"/>
    <cellStyle name="Normal 10 2 2 2 3 2 2 2" xfId="9278" xr:uid="{00000000-0005-0000-0000-0000BF0D0000}"/>
    <cellStyle name="Normal 10 2 2 2 3 2 2 2 2" xfId="21628" xr:uid="{00000000-0005-0000-0000-0000C00D0000}"/>
    <cellStyle name="Normal 10 2 2 2 3 2 2 3" xfId="15402" xr:uid="{00000000-0005-0000-0000-0000C10D0000}"/>
    <cellStyle name="Normal 10 2 2 2 3 2 3" xfId="9277" xr:uid="{00000000-0005-0000-0000-0000C20D0000}"/>
    <cellStyle name="Normal 10 2 2 2 3 2 3 2" xfId="21627" xr:uid="{00000000-0005-0000-0000-0000C30D0000}"/>
    <cellStyle name="Normal 10 2 2 2 3 2 4" xfId="15401" xr:uid="{00000000-0005-0000-0000-0000C40D0000}"/>
    <cellStyle name="Normal 10 2 2 2 3 3" xfId="2956" xr:uid="{00000000-0005-0000-0000-0000C50D0000}"/>
    <cellStyle name="Normal 10 2 2 2 3 3 2" xfId="2957" xr:uid="{00000000-0005-0000-0000-0000C60D0000}"/>
    <cellStyle name="Normal 10 2 2 2 3 3 2 2" xfId="9280" xr:uid="{00000000-0005-0000-0000-0000C70D0000}"/>
    <cellStyle name="Normal 10 2 2 2 3 3 2 2 2" xfId="21630" xr:uid="{00000000-0005-0000-0000-0000C80D0000}"/>
    <cellStyle name="Normal 10 2 2 2 3 3 2 3" xfId="15404" xr:uid="{00000000-0005-0000-0000-0000C90D0000}"/>
    <cellStyle name="Normal 10 2 2 2 3 3 3" xfId="9279" xr:uid="{00000000-0005-0000-0000-0000CA0D0000}"/>
    <cellStyle name="Normal 10 2 2 2 3 3 3 2" xfId="21629" xr:uid="{00000000-0005-0000-0000-0000CB0D0000}"/>
    <cellStyle name="Normal 10 2 2 2 3 3 4" xfId="15403" xr:uid="{00000000-0005-0000-0000-0000CC0D0000}"/>
    <cellStyle name="Normal 10 2 2 2 3 4" xfId="2958" xr:uid="{00000000-0005-0000-0000-0000CD0D0000}"/>
    <cellStyle name="Normal 10 2 2 2 3 4 2" xfId="9281" xr:uid="{00000000-0005-0000-0000-0000CE0D0000}"/>
    <cellStyle name="Normal 10 2 2 2 3 4 2 2" xfId="21631" xr:uid="{00000000-0005-0000-0000-0000CF0D0000}"/>
    <cellStyle name="Normal 10 2 2 2 3 4 3" xfId="15405" xr:uid="{00000000-0005-0000-0000-0000D00D0000}"/>
    <cellStyle name="Normal 10 2 2 2 3 5" xfId="9276" xr:uid="{00000000-0005-0000-0000-0000D10D0000}"/>
    <cellStyle name="Normal 10 2 2 2 3 5 2" xfId="21626" xr:uid="{00000000-0005-0000-0000-0000D20D0000}"/>
    <cellStyle name="Normal 10 2 2 2 3 6" xfId="15400" xr:uid="{00000000-0005-0000-0000-0000D30D0000}"/>
    <cellStyle name="Normal 10 2 2 2 4" xfId="2959" xr:uid="{00000000-0005-0000-0000-0000D40D0000}"/>
    <cellStyle name="Normal 10 2 2 2 4 2" xfId="2960" xr:uid="{00000000-0005-0000-0000-0000D50D0000}"/>
    <cellStyle name="Normal 10 2 2 2 4 2 2" xfId="9283" xr:uid="{00000000-0005-0000-0000-0000D60D0000}"/>
    <cellStyle name="Normal 10 2 2 2 4 2 2 2" xfId="21633" xr:uid="{00000000-0005-0000-0000-0000D70D0000}"/>
    <cellStyle name="Normal 10 2 2 2 4 2 3" xfId="15407" xr:uid="{00000000-0005-0000-0000-0000D80D0000}"/>
    <cellStyle name="Normal 10 2 2 2 4 3" xfId="9282" xr:uid="{00000000-0005-0000-0000-0000D90D0000}"/>
    <cellStyle name="Normal 10 2 2 2 4 3 2" xfId="21632" xr:uid="{00000000-0005-0000-0000-0000DA0D0000}"/>
    <cellStyle name="Normal 10 2 2 2 4 4" xfId="15406" xr:uid="{00000000-0005-0000-0000-0000DB0D0000}"/>
    <cellStyle name="Normal 10 2 2 2 5" xfId="2961" xr:uid="{00000000-0005-0000-0000-0000DC0D0000}"/>
    <cellStyle name="Normal 10 2 2 2 5 2" xfId="2962" xr:uid="{00000000-0005-0000-0000-0000DD0D0000}"/>
    <cellStyle name="Normal 10 2 2 2 5 2 2" xfId="9285" xr:uid="{00000000-0005-0000-0000-0000DE0D0000}"/>
    <cellStyle name="Normal 10 2 2 2 5 2 2 2" xfId="21635" xr:uid="{00000000-0005-0000-0000-0000DF0D0000}"/>
    <cellStyle name="Normal 10 2 2 2 5 2 3" xfId="15409" xr:uid="{00000000-0005-0000-0000-0000E00D0000}"/>
    <cellStyle name="Normal 10 2 2 2 5 3" xfId="9284" xr:uid="{00000000-0005-0000-0000-0000E10D0000}"/>
    <cellStyle name="Normal 10 2 2 2 5 3 2" xfId="21634" xr:uid="{00000000-0005-0000-0000-0000E20D0000}"/>
    <cellStyle name="Normal 10 2 2 2 5 4" xfId="15408" xr:uid="{00000000-0005-0000-0000-0000E30D0000}"/>
    <cellStyle name="Normal 10 2 2 2 6" xfId="2963" xr:uid="{00000000-0005-0000-0000-0000E40D0000}"/>
    <cellStyle name="Normal 10 2 2 2 6 2" xfId="9286" xr:uid="{00000000-0005-0000-0000-0000E50D0000}"/>
    <cellStyle name="Normal 10 2 2 2 6 2 2" xfId="21636" xr:uid="{00000000-0005-0000-0000-0000E60D0000}"/>
    <cellStyle name="Normal 10 2 2 2 6 3" xfId="15410" xr:uid="{00000000-0005-0000-0000-0000E70D0000}"/>
    <cellStyle name="Normal 10 2 2 2 7" xfId="9263" xr:uid="{00000000-0005-0000-0000-0000E80D0000}"/>
    <cellStyle name="Normal 10 2 2 2 7 2" xfId="21613" xr:uid="{00000000-0005-0000-0000-0000E90D0000}"/>
    <cellStyle name="Normal 10 2 2 2 8" xfId="15387" xr:uid="{00000000-0005-0000-0000-0000EA0D0000}"/>
    <cellStyle name="Normal 10 2 2 3" xfId="2964" xr:uid="{00000000-0005-0000-0000-0000EB0D0000}"/>
    <cellStyle name="Normal 10 2 2 3 2" xfId="2965" xr:uid="{00000000-0005-0000-0000-0000EC0D0000}"/>
    <cellStyle name="Normal 10 2 2 3 2 2" xfId="2966" xr:uid="{00000000-0005-0000-0000-0000ED0D0000}"/>
    <cellStyle name="Normal 10 2 2 3 2 2 2" xfId="2967" xr:uid="{00000000-0005-0000-0000-0000EE0D0000}"/>
    <cellStyle name="Normal 10 2 2 3 2 2 2 2" xfId="9290" xr:uid="{00000000-0005-0000-0000-0000EF0D0000}"/>
    <cellStyle name="Normal 10 2 2 3 2 2 2 2 2" xfId="21640" xr:uid="{00000000-0005-0000-0000-0000F00D0000}"/>
    <cellStyle name="Normal 10 2 2 3 2 2 2 3" xfId="15414" xr:uid="{00000000-0005-0000-0000-0000F10D0000}"/>
    <cellStyle name="Normal 10 2 2 3 2 2 3" xfId="9289" xr:uid="{00000000-0005-0000-0000-0000F20D0000}"/>
    <cellStyle name="Normal 10 2 2 3 2 2 3 2" xfId="21639" xr:uid="{00000000-0005-0000-0000-0000F30D0000}"/>
    <cellStyle name="Normal 10 2 2 3 2 2 4" xfId="15413" xr:uid="{00000000-0005-0000-0000-0000F40D0000}"/>
    <cellStyle name="Normal 10 2 2 3 2 3" xfId="2968" xr:uid="{00000000-0005-0000-0000-0000F50D0000}"/>
    <cellStyle name="Normal 10 2 2 3 2 3 2" xfId="2969" xr:uid="{00000000-0005-0000-0000-0000F60D0000}"/>
    <cellStyle name="Normal 10 2 2 3 2 3 2 2" xfId="9292" xr:uid="{00000000-0005-0000-0000-0000F70D0000}"/>
    <cellStyle name="Normal 10 2 2 3 2 3 2 2 2" xfId="21642" xr:uid="{00000000-0005-0000-0000-0000F80D0000}"/>
    <cellStyle name="Normal 10 2 2 3 2 3 2 3" xfId="15416" xr:uid="{00000000-0005-0000-0000-0000F90D0000}"/>
    <cellStyle name="Normal 10 2 2 3 2 3 3" xfId="9291" xr:uid="{00000000-0005-0000-0000-0000FA0D0000}"/>
    <cellStyle name="Normal 10 2 2 3 2 3 3 2" xfId="21641" xr:uid="{00000000-0005-0000-0000-0000FB0D0000}"/>
    <cellStyle name="Normal 10 2 2 3 2 3 4" xfId="15415" xr:uid="{00000000-0005-0000-0000-0000FC0D0000}"/>
    <cellStyle name="Normal 10 2 2 3 2 4" xfId="2970" xr:uid="{00000000-0005-0000-0000-0000FD0D0000}"/>
    <cellStyle name="Normal 10 2 2 3 2 4 2" xfId="9293" xr:uid="{00000000-0005-0000-0000-0000FE0D0000}"/>
    <cellStyle name="Normal 10 2 2 3 2 4 2 2" xfId="21643" xr:uid="{00000000-0005-0000-0000-0000FF0D0000}"/>
    <cellStyle name="Normal 10 2 2 3 2 4 3" xfId="15417" xr:uid="{00000000-0005-0000-0000-0000000E0000}"/>
    <cellStyle name="Normal 10 2 2 3 2 5" xfId="9288" xr:uid="{00000000-0005-0000-0000-0000010E0000}"/>
    <cellStyle name="Normal 10 2 2 3 2 5 2" xfId="21638" xr:uid="{00000000-0005-0000-0000-0000020E0000}"/>
    <cellStyle name="Normal 10 2 2 3 2 6" xfId="15412" xr:uid="{00000000-0005-0000-0000-0000030E0000}"/>
    <cellStyle name="Normal 10 2 2 3 3" xfId="2971" xr:uid="{00000000-0005-0000-0000-0000040E0000}"/>
    <cellStyle name="Normal 10 2 2 3 3 2" xfId="2972" xr:uid="{00000000-0005-0000-0000-0000050E0000}"/>
    <cellStyle name="Normal 10 2 2 3 3 2 2" xfId="9295" xr:uid="{00000000-0005-0000-0000-0000060E0000}"/>
    <cellStyle name="Normal 10 2 2 3 3 2 2 2" xfId="21645" xr:uid="{00000000-0005-0000-0000-0000070E0000}"/>
    <cellStyle name="Normal 10 2 2 3 3 2 3" xfId="15419" xr:uid="{00000000-0005-0000-0000-0000080E0000}"/>
    <cellStyle name="Normal 10 2 2 3 3 3" xfId="9294" xr:uid="{00000000-0005-0000-0000-0000090E0000}"/>
    <cellStyle name="Normal 10 2 2 3 3 3 2" xfId="21644" xr:uid="{00000000-0005-0000-0000-00000A0E0000}"/>
    <cellStyle name="Normal 10 2 2 3 3 4" xfId="15418" xr:uid="{00000000-0005-0000-0000-00000B0E0000}"/>
    <cellStyle name="Normal 10 2 2 3 4" xfId="2973" xr:uid="{00000000-0005-0000-0000-00000C0E0000}"/>
    <cellStyle name="Normal 10 2 2 3 4 2" xfId="2974" xr:uid="{00000000-0005-0000-0000-00000D0E0000}"/>
    <cellStyle name="Normal 10 2 2 3 4 2 2" xfId="9297" xr:uid="{00000000-0005-0000-0000-00000E0E0000}"/>
    <cellStyle name="Normal 10 2 2 3 4 2 2 2" xfId="21647" xr:uid="{00000000-0005-0000-0000-00000F0E0000}"/>
    <cellStyle name="Normal 10 2 2 3 4 2 3" xfId="15421" xr:uid="{00000000-0005-0000-0000-0000100E0000}"/>
    <cellStyle name="Normal 10 2 2 3 4 3" xfId="9296" xr:uid="{00000000-0005-0000-0000-0000110E0000}"/>
    <cellStyle name="Normal 10 2 2 3 4 3 2" xfId="21646" xr:uid="{00000000-0005-0000-0000-0000120E0000}"/>
    <cellStyle name="Normal 10 2 2 3 4 4" xfId="15420" xr:uid="{00000000-0005-0000-0000-0000130E0000}"/>
    <cellStyle name="Normal 10 2 2 3 5" xfId="2975" xr:uid="{00000000-0005-0000-0000-0000140E0000}"/>
    <cellStyle name="Normal 10 2 2 3 5 2" xfId="9298" xr:uid="{00000000-0005-0000-0000-0000150E0000}"/>
    <cellStyle name="Normal 10 2 2 3 5 2 2" xfId="21648" xr:uid="{00000000-0005-0000-0000-0000160E0000}"/>
    <cellStyle name="Normal 10 2 2 3 5 3" xfId="15422" xr:uid="{00000000-0005-0000-0000-0000170E0000}"/>
    <cellStyle name="Normal 10 2 2 3 6" xfId="9287" xr:uid="{00000000-0005-0000-0000-0000180E0000}"/>
    <cellStyle name="Normal 10 2 2 3 6 2" xfId="21637" xr:uid="{00000000-0005-0000-0000-0000190E0000}"/>
    <cellStyle name="Normal 10 2 2 3 7" xfId="15411" xr:uid="{00000000-0005-0000-0000-00001A0E0000}"/>
    <cellStyle name="Normal 10 2 2 4" xfId="2976" xr:uid="{00000000-0005-0000-0000-00001B0E0000}"/>
    <cellStyle name="Normal 10 2 2 4 2" xfId="2977" xr:uid="{00000000-0005-0000-0000-00001C0E0000}"/>
    <cellStyle name="Normal 10 2 2 4 2 2" xfId="2978" xr:uid="{00000000-0005-0000-0000-00001D0E0000}"/>
    <cellStyle name="Normal 10 2 2 4 2 2 2" xfId="9301" xr:uid="{00000000-0005-0000-0000-00001E0E0000}"/>
    <cellStyle name="Normal 10 2 2 4 2 2 2 2" xfId="21651" xr:uid="{00000000-0005-0000-0000-00001F0E0000}"/>
    <cellStyle name="Normal 10 2 2 4 2 2 3" xfId="15425" xr:uid="{00000000-0005-0000-0000-0000200E0000}"/>
    <cellStyle name="Normal 10 2 2 4 2 3" xfId="9300" xr:uid="{00000000-0005-0000-0000-0000210E0000}"/>
    <cellStyle name="Normal 10 2 2 4 2 3 2" xfId="21650" xr:uid="{00000000-0005-0000-0000-0000220E0000}"/>
    <cellStyle name="Normal 10 2 2 4 2 4" xfId="15424" xr:uid="{00000000-0005-0000-0000-0000230E0000}"/>
    <cellStyle name="Normal 10 2 2 4 3" xfId="2979" xr:uid="{00000000-0005-0000-0000-0000240E0000}"/>
    <cellStyle name="Normal 10 2 2 4 3 2" xfId="2980" xr:uid="{00000000-0005-0000-0000-0000250E0000}"/>
    <cellStyle name="Normal 10 2 2 4 3 2 2" xfId="9303" xr:uid="{00000000-0005-0000-0000-0000260E0000}"/>
    <cellStyle name="Normal 10 2 2 4 3 2 2 2" xfId="21653" xr:uid="{00000000-0005-0000-0000-0000270E0000}"/>
    <cellStyle name="Normal 10 2 2 4 3 2 3" xfId="15427" xr:uid="{00000000-0005-0000-0000-0000280E0000}"/>
    <cellStyle name="Normal 10 2 2 4 3 3" xfId="9302" xr:uid="{00000000-0005-0000-0000-0000290E0000}"/>
    <cellStyle name="Normal 10 2 2 4 3 3 2" xfId="21652" xr:uid="{00000000-0005-0000-0000-00002A0E0000}"/>
    <cellStyle name="Normal 10 2 2 4 3 4" xfId="15426" xr:uid="{00000000-0005-0000-0000-00002B0E0000}"/>
    <cellStyle name="Normal 10 2 2 4 4" xfId="2981" xr:uid="{00000000-0005-0000-0000-00002C0E0000}"/>
    <cellStyle name="Normal 10 2 2 4 4 2" xfId="9304" xr:uid="{00000000-0005-0000-0000-00002D0E0000}"/>
    <cellStyle name="Normal 10 2 2 4 4 2 2" xfId="21654" xr:uid="{00000000-0005-0000-0000-00002E0E0000}"/>
    <cellStyle name="Normal 10 2 2 4 4 3" xfId="15428" xr:uid="{00000000-0005-0000-0000-00002F0E0000}"/>
    <cellStyle name="Normal 10 2 2 4 5" xfId="9299" xr:uid="{00000000-0005-0000-0000-0000300E0000}"/>
    <cellStyle name="Normal 10 2 2 4 5 2" xfId="21649" xr:uid="{00000000-0005-0000-0000-0000310E0000}"/>
    <cellStyle name="Normal 10 2 2 4 6" xfId="15423" xr:uid="{00000000-0005-0000-0000-0000320E0000}"/>
    <cellStyle name="Normal 10 2 2 5" xfId="2982" xr:uid="{00000000-0005-0000-0000-0000330E0000}"/>
    <cellStyle name="Normal 10 2 2 5 2" xfId="2983" xr:uid="{00000000-0005-0000-0000-0000340E0000}"/>
    <cellStyle name="Normal 10 2 2 5 2 2" xfId="9306" xr:uid="{00000000-0005-0000-0000-0000350E0000}"/>
    <cellStyle name="Normal 10 2 2 5 2 2 2" xfId="21656" xr:uid="{00000000-0005-0000-0000-0000360E0000}"/>
    <cellStyle name="Normal 10 2 2 5 2 3" xfId="15430" xr:uid="{00000000-0005-0000-0000-0000370E0000}"/>
    <cellStyle name="Normal 10 2 2 5 3" xfId="9305" xr:uid="{00000000-0005-0000-0000-0000380E0000}"/>
    <cellStyle name="Normal 10 2 2 5 3 2" xfId="21655" xr:uid="{00000000-0005-0000-0000-0000390E0000}"/>
    <cellStyle name="Normal 10 2 2 5 4" xfId="15429" xr:uid="{00000000-0005-0000-0000-00003A0E0000}"/>
    <cellStyle name="Normal 10 2 2 6" xfId="2984" xr:uid="{00000000-0005-0000-0000-00003B0E0000}"/>
    <cellStyle name="Normal 10 2 2 6 2" xfId="2985" xr:uid="{00000000-0005-0000-0000-00003C0E0000}"/>
    <cellStyle name="Normal 10 2 2 6 2 2" xfId="9308" xr:uid="{00000000-0005-0000-0000-00003D0E0000}"/>
    <cellStyle name="Normal 10 2 2 6 2 2 2" xfId="21658" xr:uid="{00000000-0005-0000-0000-00003E0E0000}"/>
    <cellStyle name="Normal 10 2 2 6 2 3" xfId="15432" xr:uid="{00000000-0005-0000-0000-00003F0E0000}"/>
    <cellStyle name="Normal 10 2 2 6 3" xfId="9307" xr:uid="{00000000-0005-0000-0000-0000400E0000}"/>
    <cellStyle name="Normal 10 2 2 6 3 2" xfId="21657" xr:uid="{00000000-0005-0000-0000-0000410E0000}"/>
    <cellStyle name="Normal 10 2 2 6 4" xfId="15431" xr:uid="{00000000-0005-0000-0000-0000420E0000}"/>
    <cellStyle name="Normal 10 2 2 7" xfId="2986" xr:uid="{00000000-0005-0000-0000-0000430E0000}"/>
    <cellStyle name="Normal 10 2 2 7 2" xfId="9309" xr:uid="{00000000-0005-0000-0000-0000440E0000}"/>
    <cellStyle name="Normal 10 2 2 7 2 2" xfId="21659" xr:uid="{00000000-0005-0000-0000-0000450E0000}"/>
    <cellStyle name="Normal 10 2 2 7 3" xfId="15433" xr:uid="{00000000-0005-0000-0000-0000460E0000}"/>
    <cellStyle name="Normal 10 2 2 8" xfId="9262" xr:uid="{00000000-0005-0000-0000-0000470E0000}"/>
    <cellStyle name="Normal 10 2 2 8 2" xfId="21612" xr:uid="{00000000-0005-0000-0000-0000480E0000}"/>
    <cellStyle name="Normal 10 2 2 9" xfId="15386" xr:uid="{00000000-0005-0000-0000-0000490E0000}"/>
    <cellStyle name="Normal 10 2 3" xfId="2987" xr:uid="{00000000-0005-0000-0000-00004A0E0000}"/>
    <cellStyle name="Normal 10 2 3 2" xfId="2988" xr:uid="{00000000-0005-0000-0000-00004B0E0000}"/>
    <cellStyle name="Normal 10 2 3 2 2" xfId="2989" xr:uid="{00000000-0005-0000-0000-00004C0E0000}"/>
    <cellStyle name="Normal 10 2 3 2 2 2" xfId="2990" xr:uid="{00000000-0005-0000-0000-00004D0E0000}"/>
    <cellStyle name="Normal 10 2 3 2 2 2 2" xfId="2991" xr:uid="{00000000-0005-0000-0000-00004E0E0000}"/>
    <cellStyle name="Normal 10 2 3 2 2 2 2 2" xfId="9313" xr:uid="{00000000-0005-0000-0000-00004F0E0000}"/>
    <cellStyle name="Normal 10 2 3 2 2 2 2 2 2" xfId="21663" xr:uid="{00000000-0005-0000-0000-0000500E0000}"/>
    <cellStyle name="Normal 10 2 3 2 2 2 2 3" xfId="15437" xr:uid="{00000000-0005-0000-0000-0000510E0000}"/>
    <cellStyle name="Normal 10 2 3 2 2 2 3" xfId="9312" xr:uid="{00000000-0005-0000-0000-0000520E0000}"/>
    <cellStyle name="Normal 10 2 3 2 2 2 3 2" xfId="21662" xr:uid="{00000000-0005-0000-0000-0000530E0000}"/>
    <cellStyle name="Normal 10 2 3 2 2 2 4" xfId="15436" xr:uid="{00000000-0005-0000-0000-0000540E0000}"/>
    <cellStyle name="Normal 10 2 3 2 2 3" xfId="2992" xr:uid="{00000000-0005-0000-0000-0000550E0000}"/>
    <cellStyle name="Normal 10 2 3 2 2 3 2" xfId="2993" xr:uid="{00000000-0005-0000-0000-0000560E0000}"/>
    <cellStyle name="Normal 10 2 3 2 2 3 2 2" xfId="9315" xr:uid="{00000000-0005-0000-0000-0000570E0000}"/>
    <cellStyle name="Normal 10 2 3 2 2 3 2 2 2" xfId="21665" xr:uid="{00000000-0005-0000-0000-0000580E0000}"/>
    <cellStyle name="Normal 10 2 3 2 2 3 2 3" xfId="15439" xr:uid="{00000000-0005-0000-0000-0000590E0000}"/>
    <cellStyle name="Normal 10 2 3 2 2 3 3" xfId="9314" xr:uid="{00000000-0005-0000-0000-00005A0E0000}"/>
    <cellStyle name="Normal 10 2 3 2 2 3 3 2" xfId="21664" xr:uid="{00000000-0005-0000-0000-00005B0E0000}"/>
    <cellStyle name="Normal 10 2 3 2 2 3 4" xfId="15438" xr:uid="{00000000-0005-0000-0000-00005C0E0000}"/>
    <cellStyle name="Normal 10 2 3 2 2 4" xfId="2994" xr:uid="{00000000-0005-0000-0000-00005D0E0000}"/>
    <cellStyle name="Normal 10 2 3 2 2 4 2" xfId="9316" xr:uid="{00000000-0005-0000-0000-00005E0E0000}"/>
    <cellStyle name="Normal 10 2 3 2 2 4 2 2" xfId="21666" xr:uid="{00000000-0005-0000-0000-00005F0E0000}"/>
    <cellStyle name="Normal 10 2 3 2 2 4 3" xfId="15440" xr:uid="{00000000-0005-0000-0000-0000600E0000}"/>
    <cellStyle name="Normal 10 2 3 2 2 5" xfId="9311" xr:uid="{00000000-0005-0000-0000-0000610E0000}"/>
    <cellStyle name="Normal 10 2 3 2 2 5 2" xfId="21661" xr:uid="{00000000-0005-0000-0000-0000620E0000}"/>
    <cellStyle name="Normal 10 2 3 2 2 6" xfId="15435" xr:uid="{00000000-0005-0000-0000-0000630E0000}"/>
    <cellStyle name="Normal 10 2 3 2 3" xfId="2995" xr:uid="{00000000-0005-0000-0000-0000640E0000}"/>
    <cellStyle name="Normal 10 2 3 2 3 2" xfId="2996" xr:uid="{00000000-0005-0000-0000-0000650E0000}"/>
    <cellStyle name="Normal 10 2 3 2 3 2 2" xfId="9318" xr:uid="{00000000-0005-0000-0000-0000660E0000}"/>
    <cellStyle name="Normal 10 2 3 2 3 2 2 2" xfId="21668" xr:uid="{00000000-0005-0000-0000-0000670E0000}"/>
    <cellStyle name="Normal 10 2 3 2 3 2 3" xfId="15442" xr:uid="{00000000-0005-0000-0000-0000680E0000}"/>
    <cellStyle name="Normal 10 2 3 2 3 3" xfId="9317" xr:uid="{00000000-0005-0000-0000-0000690E0000}"/>
    <cellStyle name="Normal 10 2 3 2 3 3 2" xfId="21667" xr:uid="{00000000-0005-0000-0000-00006A0E0000}"/>
    <cellStyle name="Normal 10 2 3 2 3 4" xfId="15441" xr:uid="{00000000-0005-0000-0000-00006B0E0000}"/>
    <cellStyle name="Normal 10 2 3 2 4" xfId="2997" xr:uid="{00000000-0005-0000-0000-00006C0E0000}"/>
    <cellStyle name="Normal 10 2 3 2 4 2" xfId="2998" xr:uid="{00000000-0005-0000-0000-00006D0E0000}"/>
    <cellStyle name="Normal 10 2 3 2 4 2 2" xfId="9320" xr:uid="{00000000-0005-0000-0000-00006E0E0000}"/>
    <cellStyle name="Normal 10 2 3 2 4 2 2 2" xfId="21670" xr:uid="{00000000-0005-0000-0000-00006F0E0000}"/>
    <cellStyle name="Normal 10 2 3 2 4 2 3" xfId="15444" xr:uid="{00000000-0005-0000-0000-0000700E0000}"/>
    <cellStyle name="Normal 10 2 3 2 4 3" xfId="9319" xr:uid="{00000000-0005-0000-0000-0000710E0000}"/>
    <cellStyle name="Normal 10 2 3 2 4 3 2" xfId="21669" xr:uid="{00000000-0005-0000-0000-0000720E0000}"/>
    <cellStyle name="Normal 10 2 3 2 4 4" xfId="15443" xr:uid="{00000000-0005-0000-0000-0000730E0000}"/>
    <cellStyle name="Normal 10 2 3 2 5" xfId="2999" xr:uid="{00000000-0005-0000-0000-0000740E0000}"/>
    <cellStyle name="Normal 10 2 3 2 5 2" xfId="9321" xr:uid="{00000000-0005-0000-0000-0000750E0000}"/>
    <cellStyle name="Normal 10 2 3 2 5 2 2" xfId="21671" xr:uid="{00000000-0005-0000-0000-0000760E0000}"/>
    <cellStyle name="Normal 10 2 3 2 5 3" xfId="15445" xr:uid="{00000000-0005-0000-0000-0000770E0000}"/>
    <cellStyle name="Normal 10 2 3 2 6" xfId="9310" xr:uid="{00000000-0005-0000-0000-0000780E0000}"/>
    <cellStyle name="Normal 10 2 3 2 6 2" xfId="21660" xr:uid="{00000000-0005-0000-0000-0000790E0000}"/>
    <cellStyle name="Normal 10 2 3 2 7" xfId="15434" xr:uid="{00000000-0005-0000-0000-00007A0E0000}"/>
    <cellStyle name="Normal 10 2 3 3" xfId="3000" xr:uid="{00000000-0005-0000-0000-00007B0E0000}"/>
    <cellStyle name="Normal 10 2 3 3 2" xfId="3001" xr:uid="{00000000-0005-0000-0000-00007C0E0000}"/>
    <cellStyle name="Normal 10 2 3 3 2 2" xfId="3002" xr:uid="{00000000-0005-0000-0000-00007D0E0000}"/>
    <cellStyle name="Normal 10 2 3 3 2 2 2" xfId="9324" xr:uid="{00000000-0005-0000-0000-00007E0E0000}"/>
    <cellStyle name="Normal 10 2 3 3 2 2 2 2" xfId="21674" xr:uid="{00000000-0005-0000-0000-00007F0E0000}"/>
    <cellStyle name="Normal 10 2 3 3 2 2 3" xfId="15448" xr:uid="{00000000-0005-0000-0000-0000800E0000}"/>
    <cellStyle name="Normal 10 2 3 3 2 3" xfId="9323" xr:uid="{00000000-0005-0000-0000-0000810E0000}"/>
    <cellStyle name="Normal 10 2 3 3 2 3 2" xfId="21673" xr:uid="{00000000-0005-0000-0000-0000820E0000}"/>
    <cellStyle name="Normal 10 2 3 3 2 4" xfId="15447" xr:uid="{00000000-0005-0000-0000-0000830E0000}"/>
    <cellStyle name="Normal 10 2 3 3 3" xfId="3003" xr:uid="{00000000-0005-0000-0000-0000840E0000}"/>
    <cellStyle name="Normal 10 2 3 3 3 2" xfId="3004" xr:uid="{00000000-0005-0000-0000-0000850E0000}"/>
    <cellStyle name="Normal 10 2 3 3 3 2 2" xfId="9326" xr:uid="{00000000-0005-0000-0000-0000860E0000}"/>
    <cellStyle name="Normal 10 2 3 3 3 2 2 2" xfId="21676" xr:uid="{00000000-0005-0000-0000-0000870E0000}"/>
    <cellStyle name="Normal 10 2 3 3 3 2 3" xfId="15450" xr:uid="{00000000-0005-0000-0000-0000880E0000}"/>
    <cellStyle name="Normal 10 2 3 3 3 3" xfId="9325" xr:uid="{00000000-0005-0000-0000-0000890E0000}"/>
    <cellStyle name="Normal 10 2 3 3 3 3 2" xfId="21675" xr:uid="{00000000-0005-0000-0000-00008A0E0000}"/>
    <cellStyle name="Normal 10 2 3 3 3 4" xfId="15449" xr:uid="{00000000-0005-0000-0000-00008B0E0000}"/>
    <cellStyle name="Normal 10 2 3 3 4" xfId="3005" xr:uid="{00000000-0005-0000-0000-00008C0E0000}"/>
    <cellStyle name="Normal 10 2 3 3 4 2" xfId="9327" xr:uid="{00000000-0005-0000-0000-00008D0E0000}"/>
    <cellStyle name="Normal 10 2 3 3 4 2 2" xfId="21677" xr:uid="{00000000-0005-0000-0000-00008E0E0000}"/>
    <cellStyle name="Normal 10 2 3 3 4 3" xfId="15451" xr:uid="{00000000-0005-0000-0000-00008F0E0000}"/>
    <cellStyle name="Normal 10 2 3 3 5" xfId="9322" xr:uid="{00000000-0005-0000-0000-0000900E0000}"/>
    <cellStyle name="Normal 10 2 3 3 5 2" xfId="21672" xr:uid="{00000000-0005-0000-0000-0000910E0000}"/>
    <cellStyle name="Normal 10 2 3 3 6" xfId="15446" xr:uid="{00000000-0005-0000-0000-0000920E0000}"/>
    <cellStyle name="Normal 10 2 3 4" xfId="3006" xr:uid="{00000000-0005-0000-0000-0000930E0000}"/>
    <cellStyle name="Normal 10 2 3 4 2" xfId="3007" xr:uid="{00000000-0005-0000-0000-0000940E0000}"/>
    <cellStyle name="Normal 10 2 3 4 2 2" xfId="9328" xr:uid="{00000000-0005-0000-0000-0000950E0000}"/>
    <cellStyle name="Normal 10 2 3 4 2 2 2" xfId="21678" xr:uid="{00000000-0005-0000-0000-0000960E0000}"/>
    <cellStyle name="Normal 10 2 3 4 2 3" xfId="15452" xr:uid="{00000000-0005-0000-0000-0000970E0000}"/>
    <cellStyle name="Normal 10 2 3 5" xfId="3008" xr:uid="{00000000-0005-0000-0000-0000980E0000}"/>
    <cellStyle name="Normal 10 2 3 5 2" xfId="3009" xr:uid="{00000000-0005-0000-0000-0000990E0000}"/>
    <cellStyle name="Normal 10 2 3 5 2 2" xfId="9330" xr:uid="{00000000-0005-0000-0000-00009A0E0000}"/>
    <cellStyle name="Normal 10 2 3 5 2 2 2" xfId="21680" xr:uid="{00000000-0005-0000-0000-00009B0E0000}"/>
    <cellStyle name="Normal 10 2 3 5 2 3" xfId="15454" xr:uid="{00000000-0005-0000-0000-00009C0E0000}"/>
    <cellStyle name="Normal 10 2 3 5 3" xfId="9329" xr:uid="{00000000-0005-0000-0000-00009D0E0000}"/>
    <cellStyle name="Normal 10 2 3 5 3 2" xfId="21679" xr:uid="{00000000-0005-0000-0000-00009E0E0000}"/>
    <cellStyle name="Normal 10 2 3 5 4" xfId="15453" xr:uid="{00000000-0005-0000-0000-00009F0E0000}"/>
    <cellStyle name="Normal 10 2 3 6" xfId="3010" xr:uid="{00000000-0005-0000-0000-0000A00E0000}"/>
    <cellStyle name="Normal 10 2 3 6 2" xfId="9331" xr:uid="{00000000-0005-0000-0000-0000A10E0000}"/>
    <cellStyle name="Normal 10 2 3 6 2 2" xfId="21681" xr:uid="{00000000-0005-0000-0000-0000A20E0000}"/>
    <cellStyle name="Normal 10 2 3 6 3" xfId="15455" xr:uid="{00000000-0005-0000-0000-0000A30E0000}"/>
    <cellStyle name="Normal 10 2 4" xfId="3011" xr:uid="{00000000-0005-0000-0000-0000A40E0000}"/>
    <cellStyle name="Normal 10 2 4 2" xfId="3012" xr:uid="{00000000-0005-0000-0000-0000A50E0000}"/>
    <cellStyle name="Normal 10 2 4 2 2" xfId="3013" xr:uid="{00000000-0005-0000-0000-0000A60E0000}"/>
    <cellStyle name="Normal 10 2 4 2 2 2" xfId="3014" xr:uid="{00000000-0005-0000-0000-0000A70E0000}"/>
    <cellStyle name="Normal 10 2 4 2 2 2 2" xfId="9333" xr:uid="{00000000-0005-0000-0000-0000A80E0000}"/>
    <cellStyle name="Normal 10 2 4 2 2 2 2 2" xfId="21683" xr:uid="{00000000-0005-0000-0000-0000A90E0000}"/>
    <cellStyle name="Normal 10 2 4 2 2 2 3" xfId="15457" xr:uid="{00000000-0005-0000-0000-0000AA0E0000}"/>
    <cellStyle name="Normal 10 2 4 2 2 3" xfId="9332" xr:uid="{00000000-0005-0000-0000-0000AB0E0000}"/>
    <cellStyle name="Normal 10 2 4 2 2 3 2" xfId="21682" xr:uid="{00000000-0005-0000-0000-0000AC0E0000}"/>
    <cellStyle name="Normal 10 2 4 2 2 4" xfId="15456" xr:uid="{00000000-0005-0000-0000-0000AD0E0000}"/>
    <cellStyle name="Normal 10 2 4 2 3" xfId="3015" xr:uid="{00000000-0005-0000-0000-0000AE0E0000}"/>
    <cellStyle name="Normal 10 2 4 2 3 2" xfId="3016" xr:uid="{00000000-0005-0000-0000-0000AF0E0000}"/>
    <cellStyle name="Normal 10 2 4 2 3 2 2" xfId="9335" xr:uid="{00000000-0005-0000-0000-0000B00E0000}"/>
    <cellStyle name="Normal 10 2 4 2 3 2 2 2" xfId="21685" xr:uid="{00000000-0005-0000-0000-0000B10E0000}"/>
    <cellStyle name="Normal 10 2 4 2 3 2 3" xfId="15459" xr:uid="{00000000-0005-0000-0000-0000B20E0000}"/>
    <cellStyle name="Normal 10 2 4 2 3 3" xfId="9334" xr:uid="{00000000-0005-0000-0000-0000B30E0000}"/>
    <cellStyle name="Normal 10 2 4 2 3 3 2" xfId="21684" xr:uid="{00000000-0005-0000-0000-0000B40E0000}"/>
    <cellStyle name="Normal 10 2 4 2 3 4" xfId="15458" xr:uid="{00000000-0005-0000-0000-0000B50E0000}"/>
    <cellStyle name="Normal 10 2 4 2 4" xfId="3017" xr:uid="{00000000-0005-0000-0000-0000B60E0000}"/>
    <cellStyle name="Normal 10 2 4 2 4 2" xfId="9336" xr:uid="{00000000-0005-0000-0000-0000B70E0000}"/>
    <cellStyle name="Normal 10 2 4 2 4 2 2" xfId="21686" xr:uid="{00000000-0005-0000-0000-0000B80E0000}"/>
    <cellStyle name="Normal 10 2 4 2 4 3" xfId="15460" xr:uid="{00000000-0005-0000-0000-0000B90E0000}"/>
    <cellStyle name="Normal 10 2 4 3" xfId="3018" xr:uid="{00000000-0005-0000-0000-0000BA0E0000}"/>
    <cellStyle name="Normal 10 2 4 3 2" xfId="3019" xr:uid="{00000000-0005-0000-0000-0000BB0E0000}"/>
    <cellStyle name="Normal 10 2 4 3 2 2" xfId="9338" xr:uid="{00000000-0005-0000-0000-0000BC0E0000}"/>
    <cellStyle name="Normal 10 2 4 3 2 2 2" xfId="21688" xr:uid="{00000000-0005-0000-0000-0000BD0E0000}"/>
    <cellStyle name="Normal 10 2 4 3 2 3" xfId="15462" xr:uid="{00000000-0005-0000-0000-0000BE0E0000}"/>
    <cellStyle name="Normal 10 2 4 3 3" xfId="9337" xr:uid="{00000000-0005-0000-0000-0000BF0E0000}"/>
    <cellStyle name="Normal 10 2 4 3 3 2" xfId="21687" xr:uid="{00000000-0005-0000-0000-0000C00E0000}"/>
    <cellStyle name="Normal 10 2 4 3 4" xfId="15461" xr:uid="{00000000-0005-0000-0000-0000C10E0000}"/>
    <cellStyle name="Normal 10 2 4 4" xfId="3020" xr:uid="{00000000-0005-0000-0000-0000C20E0000}"/>
    <cellStyle name="Normal 10 2 4 4 2" xfId="3021" xr:uid="{00000000-0005-0000-0000-0000C30E0000}"/>
    <cellStyle name="Normal 10 2 4 4 2 2" xfId="9340" xr:uid="{00000000-0005-0000-0000-0000C40E0000}"/>
    <cellStyle name="Normal 10 2 4 4 2 2 2" xfId="21690" xr:uid="{00000000-0005-0000-0000-0000C50E0000}"/>
    <cellStyle name="Normal 10 2 4 4 2 3" xfId="15464" xr:uid="{00000000-0005-0000-0000-0000C60E0000}"/>
    <cellStyle name="Normal 10 2 4 4 3" xfId="9339" xr:uid="{00000000-0005-0000-0000-0000C70E0000}"/>
    <cellStyle name="Normal 10 2 4 4 3 2" xfId="21689" xr:uid="{00000000-0005-0000-0000-0000C80E0000}"/>
    <cellStyle name="Normal 10 2 4 4 4" xfId="15463" xr:uid="{00000000-0005-0000-0000-0000C90E0000}"/>
    <cellStyle name="Normal 10 2 4 5" xfId="3022" xr:uid="{00000000-0005-0000-0000-0000CA0E0000}"/>
    <cellStyle name="Normal 10 2 4 5 2" xfId="9341" xr:uid="{00000000-0005-0000-0000-0000CB0E0000}"/>
    <cellStyle name="Normal 10 2 4 5 2 2" xfId="21691" xr:uid="{00000000-0005-0000-0000-0000CC0E0000}"/>
    <cellStyle name="Normal 10 2 4 5 3" xfId="15465" xr:uid="{00000000-0005-0000-0000-0000CD0E0000}"/>
    <cellStyle name="Normal 10 2 5" xfId="3023" xr:uid="{00000000-0005-0000-0000-0000CE0E0000}"/>
    <cellStyle name="Normal 10 2 5 2" xfId="3024" xr:uid="{00000000-0005-0000-0000-0000CF0E0000}"/>
    <cellStyle name="Normal 10 2 5 2 2" xfId="3025" xr:uid="{00000000-0005-0000-0000-0000D00E0000}"/>
    <cellStyle name="Normal 10 2 5 2 2 2" xfId="9343" xr:uid="{00000000-0005-0000-0000-0000D10E0000}"/>
    <cellStyle name="Normal 10 2 5 2 2 2 2" xfId="21693" xr:uid="{00000000-0005-0000-0000-0000D20E0000}"/>
    <cellStyle name="Normal 10 2 5 2 2 3" xfId="15467" xr:uid="{00000000-0005-0000-0000-0000D30E0000}"/>
    <cellStyle name="Normal 10 2 5 2 3" xfId="9342" xr:uid="{00000000-0005-0000-0000-0000D40E0000}"/>
    <cellStyle name="Normal 10 2 5 2 3 2" xfId="21692" xr:uid="{00000000-0005-0000-0000-0000D50E0000}"/>
    <cellStyle name="Normal 10 2 5 2 4" xfId="15466" xr:uid="{00000000-0005-0000-0000-0000D60E0000}"/>
    <cellStyle name="Normal 10 2 5 3" xfId="3026" xr:uid="{00000000-0005-0000-0000-0000D70E0000}"/>
    <cellStyle name="Normal 10 2 5 3 2" xfId="3027" xr:uid="{00000000-0005-0000-0000-0000D80E0000}"/>
    <cellStyle name="Normal 10 2 5 3 2 2" xfId="9345" xr:uid="{00000000-0005-0000-0000-0000D90E0000}"/>
    <cellStyle name="Normal 10 2 5 3 2 2 2" xfId="21695" xr:uid="{00000000-0005-0000-0000-0000DA0E0000}"/>
    <cellStyle name="Normal 10 2 5 3 2 3" xfId="15469" xr:uid="{00000000-0005-0000-0000-0000DB0E0000}"/>
    <cellStyle name="Normal 10 2 5 3 3" xfId="9344" xr:uid="{00000000-0005-0000-0000-0000DC0E0000}"/>
    <cellStyle name="Normal 10 2 5 3 3 2" xfId="21694" xr:uid="{00000000-0005-0000-0000-0000DD0E0000}"/>
    <cellStyle name="Normal 10 2 5 3 4" xfId="15468" xr:uid="{00000000-0005-0000-0000-0000DE0E0000}"/>
    <cellStyle name="Normal 10 2 5 4" xfId="3028" xr:uid="{00000000-0005-0000-0000-0000DF0E0000}"/>
    <cellStyle name="Normal 10 2 5 4 2" xfId="9346" xr:uid="{00000000-0005-0000-0000-0000E00E0000}"/>
    <cellStyle name="Normal 10 2 5 4 2 2" xfId="21696" xr:uid="{00000000-0005-0000-0000-0000E10E0000}"/>
    <cellStyle name="Normal 10 2 5 4 3" xfId="15470" xr:uid="{00000000-0005-0000-0000-0000E20E0000}"/>
    <cellStyle name="Normal 10 2 6" xfId="3029" xr:uid="{00000000-0005-0000-0000-0000E30E0000}"/>
    <cellStyle name="Normal 10 2 6 2" xfId="3030" xr:uid="{00000000-0005-0000-0000-0000E40E0000}"/>
    <cellStyle name="Normal 10 2 6 2 2" xfId="9347" xr:uid="{00000000-0005-0000-0000-0000E50E0000}"/>
    <cellStyle name="Normal 10 2 6 2 2 2" xfId="21697" xr:uid="{00000000-0005-0000-0000-0000E60E0000}"/>
    <cellStyle name="Normal 10 2 6 2 3" xfId="15471" xr:uid="{00000000-0005-0000-0000-0000E70E0000}"/>
    <cellStyle name="Normal 10 2 7" xfId="3031" xr:uid="{00000000-0005-0000-0000-0000E80E0000}"/>
    <cellStyle name="Normal 10 2 7 2" xfId="3032" xr:uid="{00000000-0005-0000-0000-0000E90E0000}"/>
    <cellStyle name="Normal 10 2 7 2 2" xfId="9349" xr:uid="{00000000-0005-0000-0000-0000EA0E0000}"/>
    <cellStyle name="Normal 10 2 7 2 2 2" xfId="21699" xr:uid="{00000000-0005-0000-0000-0000EB0E0000}"/>
    <cellStyle name="Normal 10 2 7 2 3" xfId="15473" xr:uid="{00000000-0005-0000-0000-0000EC0E0000}"/>
    <cellStyle name="Normal 10 2 7 3" xfId="9348" xr:uid="{00000000-0005-0000-0000-0000ED0E0000}"/>
    <cellStyle name="Normal 10 2 7 3 2" xfId="21698" xr:uid="{00000000-0005-0000-0000-0000EE0E0000}"/>
    <cellStyle name="Normal 10 2 7 4" xfId="15472" xr:uid="{00000000-0005-0000-0000-0000EF0E0000}"/>
    <cellStyle name="Normal 10 2 8" xfId="3033" xr:uid="{00000000-0005-0000-0000-0000F00E0000}"/>
    <cellStyle name="Normal 10 2 8 2" xfId="9350" xr:uid="{00000000-0005-0000-0000-0000F10E0000}"/>
    <cellStyle name="Normal 10 2 8 2 2" xfId="21700" xr:uid="{00000000-0005-0000-0000-0000F20E0000}"/>
    <cellStyle name="Normal 10 2 8 3" xfId="15474" xr:uid="{00000000-0005-0000-0000-0000F30E0000}"/>
    <cellStyle name="Normal 10 3" xfId="3034" xr:uid="{00000000-0005-0000-0000-0000F40E0000}"/>
    <cellStyle name="Normal 10 3 2" xfId="3035" xr:uid="{00000000-0005-0000-0000-0000F50E0000}"/>
    <cellStyle name="Normal 10 3 2 2" xfId="3036" xr:uid="{00000000-0005-0000-0000-0000F60E0000}"/>
    <cellStyle name="Normal 10 3 2 2 2" xfId="3037" xr:uid="{00000000-0005-0000-0000-0000F70E0000}"/>
    <cellStyle name="Normal 10 3 2 2 2 2" xfId="3038" xr:uid="{00000000-0005-0000-0000-0000F80E0000}"/>
    <cellStyle name="Normal 10 3 2 2 2 2 2" xfId="3039" xr:uid="{00000000-0005-0000-0000-0000F90E0000}"/>
    <cellStyle name="Normal 10 3 2 2 2 2 2 2" xfId="9355" xr:uid="{00000000-0005-0000-0000-0000FA0E0000}"/>
    <cellStyle name="Normal 10 3 2 2 2 2 2 2 2" xfId="21705" xr:uid="{00000000-0005-0000-0000-0000FB0E0000}"/>
    <cellStyle name="Normal 10 3 2 2 2 2 2 3" xfId="15478" xr:uid="{00000000-0005-0000-0000-0000FC0E0000}"/>
    <cellStyle name="Normal 10 3 2 2 2 2 3" xfId="9354" xr:uid="{00000000-0005-0000-0000-0000FD0E0000}"/>
    <cellStyle name="Normal 10 3 2 2 2 2 3 2" xfId="21704" xr:uid="{00000000-0005-0000-0000-0000FE0E0000}"/>
    <cellStyle name="Normal 10 3 2 2 2 2 4" xfId="15477" xr:uid="{00000000-0005-0000-0000-0000FF0E0000}"/>
    <cellStyle name="Normal 10 3 2 2 2 3" xfId="3040" xr:uid="{00000000-0005-0000-0000-0000000F0000}"/>
    <cellStyle name="Normal 10 3 2 2 2 3 2" xfId="3041" xr:uid="{00000000-0005-0000-0000-0000010F0000}"/>
    <cellStyle name="Normal 10 3 2 2 2 3 2 2" xfId="9357" xr:uid="{00000000-0005-0000-0000-0000020F0000}"/>
    <cellStyle name="Normal 10 3 2 2 2 3 2 2 2" xfId="21707" xr:uid="{00000000-0005-0000-0000-0000030F0000}"/>
    <cellStyle name="Normal 10 3 2 2 2 3 2 3" xfId="15480" xr:uid="{00000000-0005-0000-0000-0000040F0000}"/>
    <cellStyle name="Normal 10 3 2 2 2 3 3" xfId="9356" xr:uid="{00000000-0005-0000-0000-0000050F0000}"/>
    <cellStyle name="Normal 10 3 2 2 2 3 3 2" xfId="21706" xr:uid="{00000000-0005-0000-0000-0000060F0000}"/>
    <cellStyle name="Normal 10 3 2 2 2 3 4" xfId="15479" xr:uid="{00000000-0005-0000-0000-0000070F0000}"/>
    <cellStyle name="Normal 10 3 2 2 2 4" xfId="3042" xr:uid="{00000000-0005-0000-0000-0000080F0000}"/>
    <cellStyle name="Normal 10 3 2 2 2 4 2" xfId="9358" xr:uid="{00000000-0005-0000-0000-0000090F0000}"/>
    <cellStyle name="Normal 10 3 2 2 2 4 2 2" xfId="21708" xr:uid="{00000000-0005-0000-0000-00000A0F0000}"/>
    <cellStyle name="Normal 10 3 2 2 2 4 3" xfId="15481" xr:uid="{00000000-0005-0000-0000-00000B0F0000}"/>
    <cellStyle name="Normal 10 3 2 2 2 5" xfId="9353" xr:uid="{00000000-0005-0000-0000-00000C0F0000}"/>
    <cellStyle name="Normal 10 3 2 2 2 5 2" xfId="21703" xr:uid="{00000000-0005-0000-0000-00000D0F0000}"/>
    <cellStyle name="Normal 10 3 2 2 2 6" xfId="15476" xr:uid="{00000000-0005-0000-0000-00000E0F0000}"/>
    <cellStyle name="Normal 10 3 2 2 3" xfId="3043" xr:uid="{00000000-0005-0000-0000-00000F0F0000}"/>
    <cellStyle name="Normal 10 3 2 2 3 2" xfId="3044" xr:uid="{00000000-0005-0000-0000-0000100F0000}"/>
    <cellStyle name="Normal 10 3 2 2 3 2 2" xfId="9360" xr:uid="{00000000-0005-0000-0000-0000110F0000}"/>
    <cellStyle name="Normal 10 3 2 2 3 2 2 2" xfId="21710" xr:uid="{00000000-0005-0000-0000-0000120F0000}"/>
    <cellStyle name="Normal 10 3 2 2 3 2 3" xfId="15483" xr:uid="{00000000-0005-0000-0000-0000130F0000}"/>
    <cellStyle name="Normal 10 3 2 2 3 3" xfId="9359" xr:uid="{00000000-0005-0000-0000-0000140F0000}"/>
    <cellStyle name="Normal 10 3 2 2 3 3 2" xfId="21709" xr:uid="{00000000-0005-0000-0000-0000150F0000}"/>
    <cellStyle name="Normal 10 3 2 2 3 4" xfId="15482" xr:uid="{00000000-0005-0000-0000-0000160F0000}"/>
    <cellStyle name="Normal 10 3 2 2 4" xfId="3045" xr:uid="{00000000-0005-0000-0000-0000170F0000}"/>
    <cellStyle name="Normal 10 3 2 2 4 2" xfId="3046" xr:uid="{00000000-0005-0000-0000-0000180F0000}"/>
    <cellStyle name="Normal 10 3 2 2 4 2 2" xfId="9362" xr:uid="{00000000-0005-0000-0000-0000190F0000}"/>
    <cellStyle name="Normal 10 3 2 2 4 2 2 2" xfId="21712" xr:uid="{00000000-0005-0000-0000-00001A0F0000}"/>
    <cellStyle name="Normal 10 3 2 2 4 2 3" xfId="15485" xr:uid="{00000000-0005-0000-0000-00001B0F0000}"/>
    <cellStyle name="Normal 10 3 2 2 4 3" xfId="9361" xr:uid="{00000000-0005-0000-0000-00001C0F0000}"/>
    <cellStyle name="Normal 10 3 2 2 4 3 2" xfId="21711" xr:uid="{00000000-0005-0000-0000-00001D0F0000}"/>
    <cellStyle name="Normal 10 3 2 2 4 4" xfId="15484" xr:uid="{00000000-0005-0000-0000-00001E0F0000}"/>
    <cellStyle name="Normal 10 3 2 2 5" xfId="3047" xr:uid="{00000000-0005-0000-0000-00001F0F0000}"/>
    <cellStyle name="Normal 10 3 2 2 5 2" xfId="9363" xr:uid="{00000000-0005-0000-0000-0000200F0000}"/>
    <cellStyle name="Normal 10 3 2 2 5 2 2" xfId="21713" xr:uid="{00000000-0005-0000-0000-0000210F0000}"/>
    <cellStyle name="Normal 10 3 2 2 5 3" xfId="15486" xr:uid="{00000000-0005-0000-0000-0000220F0000}"/>
    <cellStyle name="Normal 10 3 2 2 6" xfId="9352" xr:uid="{00000000-0005-0000-0000-0000230F0000}"/>
    <cellStyle name="Normal 10 3 2 2 6 2" xfId="21702" xr:uid="{00000000-0005-0000-0000-0000240F0000}"/>
    <cellStyle name="Normal 10 3 2 2 7" xfId="15475" xr:uid="{00000000-0005-0000-0000-0000250F0000}"/>
    <cellStyle name="Normal 10 3 2 3" xfId="3048" xr:uid="{00000000-0005-0000-0000-0000260F0000}"/>
    <cellStyle name="Normal 10 3 2 3 2" xfId="3049" xr:uid="{00000000-0005-0000-0000-0000270F0000}"/>
    <cellStyle name="Normal 10 3 2 3 2 2" xfId="3050" xr:uid="{00000000-0005-0000-0000-0000280F0000}"/>
    <cellStyle name="Normal 10 3 2 3 2 2 2" xfId="9366" xr:uid="{00000000-0005-0000-0000-0000290F0000}"/>
    <cellStyle name="Normal 10 3 2 3 2 2 2 2" xfId="21716" xr:uid="{00000000-0005-0000-0000-00002A0F0000}"/>
    <cellStyle name="Normal 10 3 2 3 2 2 3" xfId="15489" xr:uid="{00000000-0005-0000-0000-00002B0F0000}"/>
    <cellStyle name="Normal 10 3 2 3 2 3" xfId="9365" xr:uid="{00000000-0005-0000-0000-00002C0F0000}"/>
    <cellStyle name="Normal 10 3 2 3 2 3 2" xfId="21715" xr:uid="{00000000-0005-0000-0000-00002D0F0000}"/>
    <cellStyle name="Normal 10 3 2 3 2 4" xfId="15488" xr:uid="{00000000-0005-0000-0000-00002E0F0000}"/>
    <cellStyle name="Normal 10 3 2 3 3" xfId="3051" xr:uid="{00000000-0005-0000-0000-00002F0F0000}"/>
    <cellStyle name="Normal 10 3 2 3 3 2" xfId="3052" xr:uid="{00000000-0005-0000-0000-0000300F0000}"/>
    <cellStyle name="Normal 10 3 2 3 3 2 2" xfId="9368" xr:uid="{00000000-0005-0000-0000-0000310F0000}"/>
    <cellStyle name="Normal 10 3 2 3 3 2 2 2" xfId="21718" xr:uid="{00000000-0005-0000-0000-0000320F0000}"/>
    <cellStyle name="Normal 10 3 2 3 3 2 3" xfId="15491" xr:uid="{00000000-0005-0000-0000-0000330F0000}"/>
    <cellStyle name="Normal 10 3 2 3 3 3" xfId="9367" xr:uid="{00000000-0005-0000-0000-0000340F0000}"/>
    <cellStyle name="Normal 10 3 2 3 3 3 2" xfId="21717" xr:uid="{00000000-0005-0000-0000-0000350F0000}"/>
    <cellStyle name="Normal 10 3 2 3 3 4" xfId="15490" xr:uid="{00000000-0005-0000-0000-0000360F0000}"/>
    <cellStyle name="Normal 10 3 2 3 4" xfId="3053" xr:uid="{00000000-0005-0000-0000-0000370F0000}"/>
    <cellStyle name="Normal 10 3 2 3 4 2" xfId="9369" xr:uid="{00000000-0005-0000-0000-0000380F0000}"/>
    <cellStyle name="Normal 10 3 2 3 4 2 2" xfId="21719" xr:uid="{00000000-0005-0000-0000-0000390F0000}"/>
    <cellStyle name="Normal 10 3 2 3 4 3" xfId="15492" xr:uid="{00000000-0005-0000-0000-00003A0F0000}"/>
    <cellStyle name="Normal 10 3 2 3 5" xfId="9364" xr:uid="{00000000-0005-0000-0000-00003B0F0000}"/>
    <cellStyle name="Normal 10 3 2 3 5 2" xfId="21714" xr:uid="{00000000-0005-0000-0000-00003C0F0000}"/>
    <cellStyle name="Normal 10 3 2 3 6" xfId="15487" xr:uid="{00000000-0005-0000-0000-00003D0F0000}"/>
    <cellStyle name="Normal 10 3 2 4" xfId="3054" xr:uid="{00000000-0005-0000-0000-00003E0F0000}"/>
    <cellStyle name="Normal 10 3 2 4 2" xfId="3055" xr:uid="{00000000-0005-0000-0000-00003F0F0000}"/>
    <cellStyle name="Normal 10 3 2 4 2 2" xfId="9371" xr:uid="{00000000-0005-0000-0000-0000400F0000}"/>
    <cellStyle name="Normal 10 3 2 4 2 2 2" xfId="21721" xr:uid="{00000000-0005-0000-0000-0000410F0000}"/>
    <cellStyle name="Normal 10 3 2 4 2 3" xfId="15494" xr:uid="{00000000-0005-0000-0000-0000420F0000}"/>
    <cellStyle name="Normal 10 3 2 4 3" xfId="9370" xr:uid="{00000000-0005-0000-0000-0000430F0000}"/>
    <cellStyle name="Normal 10 3 2 4 3 2" xfId="21720" xr:uid="{00000000-0005-0000-0000-0000440F0000}"/>
    <cellStyle name="Normal 10 3 2 4 4" xfId="15493" xr:uid="{00000000-0005-0000-0000-0000450F0000}"/>
    <cellStyle name="Normal 10 3 2 5" xfId="3056" xr:uid="{00000000-0005-0000-0000-0000460F0000}"/>
    <cellStyle name="Normal 10 3 2 5 2" xfId="3057" xr:uid="{00000000-0005-0000-0000-0000470F0000}"/>
    <cellStyle name="Normal 10 3 2 5 2 2" xfId="9373" xr:uid="{00000000-0005-0000-0000-0000480F0000}"/>
    <cellStyle name="Normal 10 3 2 5 2 2 2" xfId="21723" xr:uid="{00000000-0005-0000-0000-0000490F0000}"/>
    <cellStyle name="Normal 10 3 2 5 2 3" xfId="15496" xr:uid="{00000000-0005-0000-0000-00004A0F0000}"/>
    <cellStyle name="Normal 10 3 2 5 3" xfId="9372" xr:uid="{00000000-0005-0000-0000-00004B0F0000}"/>
    <cellStyle name="Normal 10 3 2 5 3 2" xfId="21722" xr:uid="{00000000-0005-0000-0000-00004C0F0000}"/>
    <cellStyle name="Normal 10 3 2 5 4" xfId="15495" xr:uid="{00000000-0005-0000-0000-00004D0F0000}"/>
    <cellStyle name="Normal 10 3 2 6" xfId="3058" xr:uid="{00000000-0005-0000-0000-00004E0F0000}"/>
    <cellStyle name="Normal 10 3 2 6 2" xfId="9374" xr:uid="{00000000-0005-0000-0000-00004F0F0000}"/>
    <cellStyle name="Normal 10 3 2 6 2 2" xfId="21724" xr:uid="{00000000-0005-0000-0000-0000500F0000}"/>
    <cellStyle name="Normal 10 3 2 6 3" xfId="15497" xr:uid="{00000000-0005-0000-0000-0000510F0000}"/>
    <cellStyle name="Normal 10 3 2 7" xfId="3059" xr:uid="{00000000-0005-0000-0000-0000520F0000}"/>
    <cellStyle name="Normal 10 3 2 7 2" xfId="15498" xr:uid="{00000000-0005-0000-0000-0000530F0000}"/>
    <cellStyle name="Normal 10 3 2 8" xfId="9351" xr:uid="{00000000-0005-0000-0000-0000540F0000}"/>
    <cellStyle name="Normal 10 3 2 8 2" xfId="21701" xr:uid="{00000000-0005-0000-0000-0000550F0000}"/>
    <cellStyle name="Normal 10 3 3" xfId="3060" xr:uid="{00000000-0005-0000-0000-0000560F0000}"/>
    <cellStyle name="Normal 10 3 3 2" xfId="3061" xr:uid="{00000000-0005-0000-0000-0000570F0000}"/>
    <cellStyle name="Normal 10 3 3 2 2" xfId="3062" xr:uid="{00000000-0005-0000-0000-0000580F0000}"/>
    <cellStyle name="Normal 10 3 3 2 2 2" xfId="3063" xr:uid="{00000000-0005-0000-0000-0000590F0000}"/>
    <cellStyle name="Normal 10 3 3 2 2 2 2" xfId="9378" xr:uid="{00000000-0005-0000-0000-00005A0F0000}"/>
    <cellStyle name="Normal 10 3 3 2 2 2 2 2" xfId="21728" xr:uid="{00000000-0005-0000-0000-00005B0F0000}"/>
    <cellStyle name="Normal 10 3 3 2 2 2 3" xfId="15502" xr:uid="{00000000-0005-0000-0000-00005C0F0000}"/>
    <cellStyle name="Normal 10 3 3 2 2 3" xfId="9377" xr:uid="{00000000-0005-0000-0000-00005D0F0000}"/>
    <cellStyle name="Normal 10 3 3 2 2 3 2" xfId="21727" xr:uid="{00000000-0005-0000-0000-00005E0F0000}"/>
    <cellStyle name="Normal 10 3 3 2 2 4" xfId="15501" xr:uid="{00000000-0005-0000-0000-00005F0F0000}"/>
    <cellStyle name="Normal 10 3 3 2 3" xfId="3064" xr:uid="{00000000-0005-0000-0000-0000600F0000}"/>
    <cellStyle name="Normal 10 3 3 2 3 2" xfId="3065" xr:uid="{00000000-0005-0000-0000-0000610F0000}"/>
    <cellStyle name="Normal 10 3 3 2 3 2 2" xfId="9380" xr:uid="{00000000-0005-0000-0000-0000620F0000}"/>
    <cellStyle name="Normal 10 3 3 2 3 2 2 2" xfId="21730" xr:uid="{00000000-0005-0000-0000-0000630F0000}"/>
    <cellStyle name="Normal 10 3 3 2 3 2 3" xfId="15504" xr:uid="{00000000-0005-0000-0000-0000640F0000}"/>
    <cellStyle name="Normal 10 3 3 2 3 3" xfId="9379" xr:uid="{00000000-0005-0000-0000-0000650F0000}"/>
    <cellStyle name="Normal 10 3 3 2 3 3 2" xfId="21729" xr:uid="{00000000-0005-0000-0000-0000660F0000}"/>
    <cellStyle name="Normal 10 3 3 2 3 4" xfId="15503" xr:uid="{00000000-0005-0000-0000-0000670F0000}"/>
    <cellStyle name="Normal 10 3 3 2 4" xfId="3066" xr:uid="{00000000-0005-0000-0000-0000680F0000}"/>
    <cellStyle name="Normal 10 3 3 2 4 2" xfId="9381" xr:uid="{00000000-0005-0000-0000-0000690F0000}"/>
    <cellStyle name="Normal 10 3 3 2 4 2 2" xfId="21731" xr:uid="{00000000-0005-0000-0000-00006A0F0000}"/>
    <cellStyle name="Normal 10 3 3 2 4 3" xfId="15505" xr:uid="{00000000-0005-0000-0000-00006B0F0000}"/>
    <cellStyle name="Normal 10 3 3 2 5" xfId="9376" xr:uid="{00000000-0005-0000-0000-00006C0F0000}"/>
    <cellStyle name="Normal 10 3 3 2 5 2" xfId="21726" xr:uid="{00000000-0005-0000-0000-00006D0F0000}"/>
    <cellStyle name="Normal 10 3 3 2 6" xfId="15500" xr:uid="{00000000-0005-0000-0000-00006E0F0000}"/>
    <cellStyle name="Normal 10 3 3 3" xfId="3067" xr:uid="{00000000-0005-0000-0000-00006F0F0000}"/>
    <cellStyle name="Normal 10 3 3 3 2" xfId="3068" xr:uid="{00000000-0005-0000-0000-0000700F0000}"/>
    <cellStyle name="Normal 10 3 3 3 2 2" xfId="9383" xr:uid="{00000000-0005-0000-0000-0000710F0000}"/>
    <cellStyle name="Normal 10 3 3 3 2 2 2" xfId="21733" xr:uid="{00000000-0005-0000-0000-0000720F0000}"/>
    <cellStyle name="Normal 10 3 3 3 2 3" xfId="15507" xr:uid="{00000000-0005-0000-0000-0000730F0000}"/>
    <cellStyle name="Normal 10 3 3 3 3" xfId="9382" xr:uid="{00000000-0005-0000-0000-0000740F0000}"/>
    <cellStyle name="Normal 10 3 3 3 3 2" xfId="21732" xr:uid="{00000000-0005-0000-0000-0000750F0000}"/>
    <cellStyle name="Normal 10 3 3 3 4" xfId="15506" xr:uid="{00000000-0005-0000-0000-0000760F0000}"/>
    <cellStyle name="Normal 10 3 3 4" xfId="3069" xr:uid="{00000000-0005-0000-0000-0000770F0000}"/>
    <cellStyle name="Normal 10 3 3 4 2" xfId="3070" xr:uid="{00000000-0005-0000-0000-0000780F0000}"/>
    <cellStyle name="Normal 10 3 3 4 2 2" xfId="9385" xr:uid="{00000000-0005-0000-0000-0000790F0000}"/>
    <cellStyle name="Normal 10 3 3 4 2 2 2" xfId="21735" xr:uid="{00000000-0005-0000-0000-00007A0F0000}"/>
    <cellStyle name="Normal 10 3 3 4 2 3" xfId="15509" xr:uid="{00000000-0005-0000-0000-00007B0F0000}"/>
    <cellStyle name="Normal 10 3 3 4 3" xfId="9384" xr:uid="{00000000-0005-0000-0000-00007C0F0000}"/>
    <cellStyle name="Normal 10 3 3 4 3 2" xfId="21734" xr:uid="{00000000-0005-0000-0000-00007D0F0000}"/>
    <cellStyle name="Normal 10 3 3 4 4" xfId="15508" xr:uid="{00000000-0005-0000-0000-00007E0F0000}"/>
    <cellStyle name="Normal 10 3 3 5" xfId="3071" xr:uid="{00000000-0005-0000-0000-00007F0F0000}"/>
    <cellStyle name="Normal 10 3 3 5 2" xfId="9386" xr:uid="{00000000-0005-0000-0000-0000800F0000}"/>
    <cellStyle name="Normal 10 3 3 5 2 2" xfId="21736" xr:uid="{00000000-0005-0000-0000-0000810F0000}"/>
    <cellStyle name="Normal 10 3 3 5 3" xfId="15510" xr:uid="{00000000-0005-0000-0000-0000820F0000}"/>
    <cellStyle name="Normal 10 3 3 6" xfId="9375" xr:uid="{00000000-0005-0000-0000-0000830F0000}"/>
    <cellStyle name="Normal 10 3 3 6 2" xfId="21725" xr:uid="{00000000-0005-0000-0000-0000840F0000}"/>
    <cellStyle name="Normal 10 3 3 7" xfId="15499" xr:uid="{00000000-0005-0000-0000-0000850F0000}"/>
    <cellStyle name="Normal 10 3 4" xfId="3072" xr:uid="{00000000-0005-0000-0000-0000860F0000}"/>
    <cellStyle name="Normal 10 3 4 2" xfId="3073" xr:uid="{00000000-0005-0000-0000-0000870F0000}"/>
    <cellStyle name="Normal 10 3 4 2 2" xfId="3074" xr:uid="{00000000-0005-0000-0000-0000880F0000}"/>
    <cellStyle name="Normal 10 3 4 2 2 2" xfId="9389" xr:uid="{00000000-0005-0000-0000-0000890F0000}"/>
    <cellStyle name="Normal 10 3 4 2 2 2 2" xfId="21739" xr:uid="{00000000-0005-0000-0000-00008A0F0000}"/>
    <cellStyle name="Normal 10 3 4 2 2 3" xfId="15513" xr:uid="{00000000-0005-0000-0000-00008B0F0000}"/>
    <cellStyle name="Normal 10 3 4 2 3" xfId="9388" xr:uid="{00000000-0005-0000-0000-00008C0F0000}"/>
    <cellStyle name="Normal 10 3 4 2 3 2" xfId="21738" xr:uid="{00000000-0005-0000-0000-00008D0F0000}"/>
    <cellStyle name="Normal 10 3 4 2 4" xfId="15512" xr:uid="{00000000-0005-0000-0000-00008E0F0000}"/>
    <cellStyle name="Normal 10 3 4 3" xfId="3075" xr:uid="{00000000-0005-0000-0000-00008F0F0000}"/>
    <cellStyle name="Normal 10 3 4 3 2" xfId="3076" xr:uid="{00000000-0005-0000-0000-0000900F0000}"/>
    <cellStyle name="Normal 10 3 4 3 2 2" xfId="9391" xr:uid="{00000000-0005-0000-0000-0000910F0000}"/>
    <cellStyle name="Normal 10 3 4 3 2 2 2" xfId="21741" xr:uid="{00000000-0005-0000-0000-0000920F0000}"/>
    <cellStyle name="Normal 10 3 4 3 2 3" xfId="15515" xr:uid="{00000000-0005-0000-0000-0000930F0000}"/>
    <cellStyle name="Normal 10 3 4 3 3" xfId="9390" xr:uid="{00000000-0005-0000-0000-0000940F0000}"/>
    <cellStyle name="Normal 10 3 4 3 3 2" xfId="21740" xr:uid="{00000000-0005-0000-0000-0000950F0000}"/>
    <cellStyle name="Normal 10 3 4 3 4" xfId="15514" xr:uid="{00000000-0005-0000-0000-0000960F0000}"/>
    <cellStyle name="Normal 10 3 4 4" xfId="3077" xr:uid="{00000000-0005-0000-0000-0000970F0000}"/>
    <cellStyle name="Normal 10 3 4 4 2" xfId="9392" xr:uid="{00000000-0005-0000-0000-0000980F0000}"/>
    <cellStyle name="Normal 10 3 4 4 2 2" xfId="21742" xr:uid="{00000000-0005-0000-0000-0000990F0000}"/>
    <cellStyle name="Normal 10 3 4 4 3" xfId="15516" xr:uid="{00000000-0005-0000-0000-00009A0F0000}"/>
    <cellStyle name="Normal 10 3 4 5" xfId="9387" xr:uid="{00000000-0005-0000-0000-00009B0F0000}"/>
    <cellStyle name="Normal 10 3 4 5 2" xfId="21737" xr:uid="{00000000-0005-0000-0000-00009C0F0000}"/>
    <cellStyle name="Normal 10 3 4 6" xfId="15511" xr:uid="{00000000-0005-0000-0000-00009D0F0000}"/>
    <cellStyle name="Normal 10 3 5" xfId="3078" xr:uid="{00000000-0005-0000-0000-00009E0F0000}"/>
    <cellStyle name="Normal 10 3 5 2" xfId="3079" xr:uid="{00000000-0005-0000-0000-00009F0F0000}"/>
    <cellStyle name="Normal 10 3 5 2 2" xfId="9394" xr:uid="{00000000-0005-0000-0000-0000A00F0000}"/>
    <cellStyle name="Normal 10 3 5 2 2 2" xfId="21744" xr:uid="{00000000-0005-0000-0000-0000A10F0000}"/>
    <cellStyle name="Normal 10 3 5 2 3" xfId="15518" xr:uid="{00000000-0005-0000-0000-0000A20F0000}"/>
    <cellStyle name="Normal 10 3 5 3" xfId="9393" xr:uid="{00000000-0005-0000-0000-0000A30F0000}"/>
    <cellStyle name="Normal 10 3 5 3 2" xfId="21743" xr:uid="{00000000-0005-0000-0000-0000A40F0000}"/>
    <cellStyle name="Normal 10 3 5 4" xfId="15517" xr:uid="{00000000-0005-0000-0000-0000A50F0000}"/>
    <cellStyle name="Normal 10 3 6" xfId="3080" xr:uid="{00000000-0005-0000-0000-0000A60F0000}"/>
    <cellStyle name="Normal 10 3 6 2" xfId="3081" xr:uid="{00000000-0005-0000-0000-0000A70F0000}"/>
    <cellStyle name="Normal 10 3 6 2 2" xfId="9395" xr:uid="{00000000-0005-0000-0000-0000A80F0000}"/>
    <cellStyle name="Normal 10 3 6 2 2 2" xfId="21745" xr:uid="{00000000-0005-0000-0000-0000A90F0000}"/>
    <cellStyle name="Normal 10 3 6 2 3" xfId="15519" xr:uid="{00000000-0005-0000-0000-0000AA0F0000}"/>
    <cellStyle name="Normal 10 3 7" xfId="3082" xr:uid="{00000000-0005-0000-0000-0000AB0F0000}"/>
    <cellStyle name="Normal 10 3 7 2" xfId="9396" xr:uid="{00000000-0005-0000-0000-0000AC0F0000}"/>
    <cellStyle name="Normal 10 3 7 2 2" xfId="21746" xr:uid="{00000000-0005-0000-0000-0000AD0F0000}"/>
    <cellStyle name="Normal 10 3 7 3" xfId="15520" xr:uid="{00000000-0005-0000-0000-0000AE0F0000}"/>
    <cellStyle name="Normal 10 3 8" xfId="3083" xr:uid="{00000000-0005-0000-0000-0000AF0F0000}"/>
    <cellStyle name="Normal 10 4" xfId="3084" xr:uid="{00000000-0005-0000-0000-0000B00F0000}"/>
    <cellStyle name="Normal 10 4 2" xfId="3085" xr:uid="{00000000-0005-0000-0000-0000B10F0000}"/>
    <cellStyle name="Normal 10 4 2 2" xfId="3086" xr:uid="{00000000-0005-0000-0000-0000B20F0000}"/>
    <cellStyle name="Normal 10 4 2 2 2" xfId="3087" xr:uid="{00000000-0005-0000-0000-0000B30F0000}"/>
    <cellStyle name="Normal 10 4 2 2 2 2" xfId="3088" xr:uid="{00000000-0005-0000-0000-0000B40F0000}"/>
    <cellStyle name="Normal 10 4 2 2 2 2 2" xfId="3089" xr:uid="{00000000-0005-0000-0000-0000B50F0000}"/>
    <cellStyle name="Normal 10 4 2 2 2 2 2 2" xfId="9402" xr:uid="{00000000-0005-0000-0000-0000B60F0000}"/>
    <cellStyle name="Normal 10 4 2 2 2 2 2 2 2" xfId="21752" xr:uid="{00000000-0005-0000-0000-0000B70F0000}"/>
    <cellStyle name="Normal 10 4 2 2 2 2 2 3" xfId="15526" xr:uid="{00000000-0005-0000-0000-0000B80F0000}"/>
    <cellStyle name="Normal 10 4 2 2 2 2 3" xfId="9401" xr:uid="{00000000-0005-0000-0000-0000B90F0000}"/>
    <cellStyle name="Normal 10 4 2 2 2 2 3 2" xfId="21751" xr:uid="{00000000-0005-0000-0000-0000BA0F0000}"/>
    <cellStyle name="Normal 10 4 2 2 2 2 4" xfId="15525" xr:uid="{00000000-0005-0000-0000-0000BB0F0000}"/>
    <cellStyle name="Normal 10 4 2 2 2 3" xfId="3090" xr:uid="{00000000-0005-0000-0000-0000BC0F0000}"/>
    <cellStyle name="Normal 10 4 2 2 2 3 2" xfId="3091" xr:uid="{00000000-0005-0000-0000-0000BD0F0000}"/>
    <cellStyle name="Normal 10 4 2 2 2 3 2 2" xfId="9404" xr:uid="{00000000-0005-0000-0000-0000BE0F0000}"/>
    <cellStyle name="Normal 10 4 2 2 2 3 2 2 2" xfId="21754" xr:uid="{00000000-0005-0000-0000-0000BF0F0000}"/>
    <cellStyle name="Normal 10 4 2 2 2 3 2 3" xfId="15528" xr:uid="{00000000-0005-0000-0000-0000C00F0000}"/>
    <cellStyle name="Normal 10 4 2 2 2 3 3" xfId="9403" xr:uid="{00000000-0005-0000-0000-0000C10F0000}"/>
    <cellStyle name="Normal 10 4 2 2 2 3 3 2" xfId="21753" xr:uid="{00000000-0005-0000-0000-0000C20F0000}"/>
    <cellStyle name="Normal 10 4 2 2 2 3 4" xfId="15527" xr:uid="{00000000-0005-0000-0000-0000C30F0000}"/>
    <cellStyle name="Normal 10 4 2 2 2 4" xfId="3092" xr:uid="{00000000-0005-0000-0000-0000C40F0000}"/>
    <cellStyle name="Normal 10 4 2 2 2 4 2" xfId="9405" xr:uid="{00000000-0005-0000-0000-0000C50F0000}"/>
    <cellStyle name="Normal 10 4 2 2 2 4 2 2" xfId="21755" xr:uid="{00000000-0005-0000-0000-0000C60F0000}"/>
    <cellStyle name="Normal 10 4 2 2 2 4 3" xfId="15529" xr:uid="{00000000-0005-0000-0000-0000C70F0000}"/>
    <cellStyle name="Normal 10 4 2 2 2 5" xfId="9400" xr:uid="{00000000-0005-0000-0000-0000C80F0000}"/>
    <cellStyle name="Normal 10 4 2 2 2 5 2" xfId="21750" xr:uid="{00000000-0005-0000-0000-0000C90F0000}"/>
    <cellStyle name="Normal 10 4 2 2 2 6" xfId="15524" xr:uid="{00000000-0005-0000-0000-0000CA0F0000}"/>
    <cellStyle name="Normal 10 4 2 2 3" xfId="3093" xr:uid="{00000000-0005-0000-0000-0000CB0F0000}"/>
    <cellStyle name="Normal 10 4 2 2 3 2" xfId="3094" xr:uid="{00000000-0005-0000-0000-0000CC0F0000}"/>
    <cellStyle name="Normal 10 4 2 2 3 2 2" xfId="9407" xr:uid="{00000000-0005-0000-0000-0000CD0F0000}"/>
    <cellStyle name="Normal 10 4 2 2 3 2 2 2" xfId="21757" xr:uid="{00000000-0005-0000-0000-0000CE0F0000}"/>
    <cellStyle name="Normal 10 4 2 2 3 2 3" xfId="15531" xr:uid="{00000000-0005-0000-0000-0000CF0F0000}"/>
    <cellStyle name="Normal 10 4 2 2 3 3" xfId="9406" xr:uid="{00000000-0005-0000-0000-0000D00F0000}"/>
    <cellStyle name="Normal 10 4 2 2 3 3 2" xfId="21756" xr:uid="{00000000-0005-0000-0000-0000D10F0000}"/>
    <cellStyle name="Normal 10 4 2 2 3 4" xfId="15530" xr:uid="{00000000-0005-0000-0000-0000D20F0000}"/>
    <cellStyle name="Normal 10 4 2 2 4" xfId="3095" xr:uid="{00000000-0005-0000-0000-0000D30F0000}"/>
    <cellStyle name="Normal 10 4 2 2 4 2" xfId="3096" xr:uid="{00000000-0005-0000-0000-0000D40F0000}"/>
    <cellStyle name="Normal 10 4 2 2 4 2 2" xfId="9409" xr:uid="{00000000-0005-0000-0000-0000D50F0000}"/>
    <cellStyle name="Normal 10 4 2 2 4 2 2 2" xfId="21759" xr:uid="{00000000-0005-0000-0000-0000D60F0000}"/>
    <cellStyle name="Normal 10 4 2 2 4 2 3" xfId="15533" xr:uid="{00000000-0005-0000-0000-0000D70F0000}"/>
    <cellStyle name="Normal 10 4 2 2 4 3" xfId="9408" xr:uid="{00000000-0005-0000-0000-0000D80F0000}"/>
    <cellStyle name="Normal 10 4 2 2 4 3 2" xfId="21758" xr:uid="{00000000-0005-0000-0000-0000D90F0000}"/>
    <cellStyle name="Normal 10 4 2 2 4 4" xfId="15532" xr:uid="{00000000-0005-0000-0000-0000DA0F0000}"/>
    <cellStyle name="Normal 10 4 2 2 5" xfId="3097" xr:uid="{00000000-0005-0000-0000-0000DB0F0000}"/>
    <cellStyle name="Normal 10 4 2 2 5 2" xfId="9410" xr:uid="{00000000-0005-0000-0000-0000DC0F0000}"/>
    <cellStyle name="Normal 10 4 2 2 5 2 2" xfId="21760" xr:uid="{00000000-0005-0000-0000-0000DD0F0000}"/>
    <cellStyle name="Normal 10 4 2 2 5 3" xfId="15534" xr:uid="{00000000-0005-0000-0000-0000DE0F0000}"/>
    <cellStyle name="Normal 10 4 2 2 6" xfId="9399" xr:uid="{00000000-0005-0000-0000-0000DF0F0000}"/>
    <cellStyle name="Normal 10 4 2 2 6 2" xfId="21749" xr:uid="{00000000-0005-0000-0000-0000E00F0000}"/>
    <cellStyle name="Normal 10 4 2 2 7" xfId="15523" xr:uid="{00000000-0005-0000-0000-0000E10F0000}"/>
    <cellStyle name="Normal 10 4 2 3" xfId="3098" xr:uid="{00000000-0005-0000-0000-0000E20F0000}"/>
    <cellStyle name="Normal 10 4 2 3 2" xfId="3099" xr:uid="{00000000-0005-0000-0000-0000E30F0000}"/>
    <cellStyle name="Normal 10 4 2 3 2 2" xfId="3100" xr:uid="{00000000-0005-0000-0000-0000E40F0000}"/>
    <cellStyle name="Normal 10 4 2 3 2 2 2" xfId="9413" xr:uid="{00000000-0005-0000-0000-0000E50F0000}"/>
    <cellStyle name="Normal 10 4 2 3 2 2 2 2" xfId="21763" xr:uid="{00000000-0005-0000-0000-0000E60F0000}"/>
    <cellStyle name="Normal 10 4 2 3 2 2 3" xfId="15537" xr:uid="{00000000-0005-0000-0000-0000E70F0000}"/>
    <cellStyle name="Normal 10 4 2 3 2 3" xfId="9412" xr:uid="{00000000-0005-0000-0000-0000E80F0000}"/>
    <cellStyle name="Normal 10 4 2 3 2 3 2" xfId="21762" xr:uid="{00000000-0005-0000-0000-0000E90F0000}"/>
    <cellStyle name="Normal 10 4 2 3 2 4" xfId="15536" xr:uid="{00000000-0005-0000-0000-0000EA0F0000}"/>
    <cellStyle name="Normal 10 4 2 3 3" xfId="3101" xr:uid="{00000000-0005-0000-0000-0000EB0F0000}"/>
    <cellStyle name="Normal 10 4 2 3 3 2" xfId="3102" xr:uid="{00000000-0005-0000-0000-0000EC0F0000}"/>
    <cellStyle name="Normal 10 4 2 3 3 2 2" xfId="9415" xr:uid="{00000000-0005-0000-0000-0000ED0F0000}"/>
    <cellStyle name="Normal 10 4 2 3 3 2 2 2" xfId="21765" xr:uid="{00000000-0005-0000-0000-0000EE0F0000}"/>
    <cellStyle name="Normal 10 4 2 3 3 2 3" xfId="15539" xr:uid="{00000000-0005-0000-0000-0000EF0F0000}"/>
    <cellStyle name="Normal 10 4 2 3 3 3" xfId="9414" xr:uid="{00000000-0005-0000-0000-0000F00F0000}"/>
    <cellStyle name="Normal 10 4 2 3 3 3 2" xfId="21764" xr:uid="{00000000-0005-0000-0000-0000F10F0000}"/>
    <cellStyle name="Normal 10 4 2 3 3 4" xfId="15538" xr:uid="{00000000-0005-0000-0000-0000F20F0000}"/>
    <cellStyle name="Normal 10 4 2 3 4" xfId="3103" xr:uid="{00000000-0005-0000-0000-0000F30F0000}"/>
    <cellStyle name="Normal 10 4 2 3 4 2" xfId="9416" xr:uid="{00000000-0005-0000-0000-0000F40F0000}"/>
    <cellStyle name="Normal 10 4 2 3 4 2 2" xfId="21766" xr:uid="{00000000-0005-0000-0000-0000F50F0000}"/>
    <cellStyle name="Normal 10 4 2 3 4 3" xfId="15540" xr:uid="{00000000-0005-0000-0000-0000F60F0000}"/>
    <cellStyle name="Normal 10 4 2 3 5" xfId="9411" xr:uid="{00000000-0005-0000-0000-0000F70F0000}"/>
    <cellStyle name="Normal 10 4 2 3 5 2" xfId="21761" xr:uid="{00000000-0005-0000-0000-0000F80F0000}"/>
    <cellStyle name="Normal 10 4 2 3 6" xfId="15535" xr:uid="{00000000-0005-0000-0000-0000F90F0000}"/>
    <cellStyle name="Normal 10 4 2 4" xfId="3104" xr:uid="{00000000-0005-0000-0000-0000FA0F0000}"/>
    <cellStyle name="Normal 10 4 2 4 2" xfId="3105" xr:uid="{00000000-0005-0000-0000-0000FB0F0000}"/>
    <cellStyle name="Normal 10 4 2 4 2 2" xfId="9418" xr:uid="{00000000-0005-0000-0000-0000FC0F0000}"/>
    <cellStyle name="Normal 10 4 2 4 2 2 2" xfId="21768" xr:uid="{00000000-0005-0000-0000-0000FD0F0000}"/>
    <cellStyle name="Normal 10 4 2 4 2 3" xfId="15542" xr:uid="{00000000-0005-0000-0000-0000FE0F0000}"/>
    <cellStyle name="Normal 10 4 2 4 3" xfId="9417" xr:uid="{00000000-0005-0000-0000-0000FF0F0000}"/>
    <cellStyle name="Normal 10 4 2 4 3 2" xfId="21767" xr:uid="{00000000-0005-0000-0000-000000100000}"/>
    <cellStyle name="Normal 10 4 2 4 4" xfId="15541" xr:uid="{00000000-0005-0000-0000-000001100000}"/>
    <cellStyle name="Normal 10 4 2 5" xfId="3106" xr:uid="{00000000-0005-0000-0000-000002100000}"/>
    <cellStyle name="Normal 10 4 2 5 2" xfId="3107" xr:uid="{00000000-0005-0000-0000-000003100000}"/>
    <cellStyle name="Normal 10 4 2 5 2 2" xfId="9420" xr:uid="{00000000-0005-0000-0000-000004100000}"/>
    <cellStyle name="Normal 10 4 2 5 2 2 2" xfId="21770" xr:uid="{00000000-0005-0000-0000-000005100000}"/>
    <cellStyle name="Normal 10 4 2 5 2 3" xfId="15544" xr:uid="{00000000-0005-0000-0000-000006100000}"/>
    <cellStyle name="Normal 10 4 2 5 3" xfId="9419" xr:uid="{00000000-0005-0000-0000-000007100000}"/>
    <cellStyle name="Normal 10 4 2 5 3 2" xfId="21769" xr:uid="{00000000-0005-0000-0000-000008100000}"/>
    <cellStyle name="Normal 10 4 2 5 4" xfId="15543" xr:uid="{00000000-0005-0000-0000-000009100000}"/>
    <cellStyle name="Normal 10 4 2 6" xfId="3108" xr:uid="{00000000-0005-0000-0000-00000A100000}"/>
    <cellStyle name="Normal 10 4 2 6 2" xfId="9421" xr:uid="{00000000-0005-0000-0000-00000B100000}"/>
    <cellStyle name="Normal 10 4 2 6 2 2" xfId="21771" xr:uid="{00000000-0005-0000-0000-00000C100000}"/>
    <cellStyle name="Normal 10 4 2 6 3" xfId="15545" xr:uid="{00000000-0005-0000-0000-00000D100000}"/>
    <cellStyle name="Normal 10 4 2 7" xfId="9398" xr:uid="{00000000-0005-0000-0000-00000E100000}"/>
    <cellStyle name="Normal 10 4 2 7 2" xfId="21748" xr:uid="{00000000-0005-0000-0000-00000F100000}"/>
    <cellStyle name="Normal 10 4 2 8" xfId="15522" xr:uid="{00000000-0005-0000-0000-000010100000}"/>
    <cellStyle name="Normal 10 4 3" xfId="3109" xr:uid="{00000000-0005-0000-0000-000011100000}"/>
    <cellStyle name="Normal 10 4 3 2" xfId="3110" xr:uid="{00000000-0005-0000-0000-000012100000}"/>
    <cellStyle name="Normal 10 4 3 2 2" xfId="3111" xr:uid="{00000000-0005-0000-0000-000013100000}"/>
    <cellStyle name="Normal 10 4 3 2 2 2" xfId="3112" xr:uid="{00000000-0005-0000-0000-000014100000}"/>
    <cellStyle name="Normal 10 4 3 2 2 2 2" xfId="9425" xr:uid="{00000000-0005-0000-0000-000015100000}"/>
    <cellStyle name="Normal 10 4 3 2 2 2 2 2" xfId="21775" xr:uid="{00000000-0005-0000-0000-000016100000}"/>
    <cellStyle name="Normal 10 4 3 2 2 2 3" xfId="15549" xr:uid="{00000000-0005-0000-0000-000017100000}"/>
    <cellStyle name="Normal 10 4 3 2 2 3" xfId="9424" xr:uid="{00000000-0005-0000-0000-000018100000}"/>
    <cellStyle name="Normal 10 4 3 2 2 3 2" xfId="21774" xr:uid="{00000000-0005-0000-0000-000019100000}"/>
    <cellStyle name="Normal 10 4 3 2 2 4" xfId="15548" xr:uid="{00000000-0005-0000-0000-00001A100000}"/>
    <cellStyle name="Normal 10 4 3 2 3" xfId="3113" xr:uid="{00000000-0005-0000-0000-00001B100000}"/>
    <cellStyle name="Normal 10 4 3 2 3 2" xfId="3114" xr:uid="{00000000-0005-0000-0000-00001C100000}"/>
    <cellStyle name="Normal 10 4 3 2 3 2 2" xfId="9427" xr:uid="{00000000-0005-0000-0000-00001D100000}"/>
    <cellStyle name="Normal 10 4 3 2 3 2 2 2" xfId="21777" xr:uid="{00000000-0005-0000-0000-00001E100000}"/>
    <cellStyle name="Normal 10 4 3 2 3 2 3" xfId="15551" xr:uid="{00000000-0005-0000-0000-00001F100000}"/>
    <cellStyle name="Normal 10 4 3 2 3 3" xfId="9426" xr:uid="{00000000-0005-0000-0000-000020100000}"/>
    <cellStyle name="Normal 10 4 3 2 3 3 2" xfId="21776" xr:uid="{00000000-0005-0000-0000-000021100000}"/>
    <cellStyle name="Normal 10 4 3 2 3 4" xfId="15550" xr:uid="{00000000-0005-0000-0000-000022100000}"/>
    <cellStyle name="Normal 10 4 3 2 4" xfId="3115" xr:uid="{00000000-0005-0000-0000-000023100000}"/>
    <cellStyle name="Normal 10 4 3 2 4 2" xfId="9428" xr:uid="{00000000-0005-0000-0000-000024100000}"/>
    <cellStyle name="Normal 10 4 3 2 4 2 2" xfId="21778" xr:uid="{00000000-0005-0000-0000-000025100000}"/>
    <cellStyle name="Normal 10 4 3 2 4 3" xfId="15552" xr:uid="{00000000-0005-0000-0000-000026100000}"/>
    <cellStyle name="Normal 10 4 3 2 5" xfId="9423" xr:uid="{00000000-0005-0000-0000-000027100000}"/>
    <cellStyle name="Normal 10 4 3 2 5 2" xfId="21773" xr:uid="{00000000-0005-0000-0000-000028100000}"/>
    <cellStyle name="Normal 10 4 3 2 6" xfId="15547" xr:uid="{00000000-0005-0000-0000-000029100000}"/>
    <cellStyle name="Normal 10 4 3 3" xfId="3116" xr:uid="{00000000-0005-0000-0000-00002A100000}"/>
    <cellStyle name="Normal 10 4 3 3 2" xfId="3117" xr:uid="{00000000-0005-0000-0000-00002B100000}"/>
    <cellStyle name="Normal 10 4 3 3 2 2" xfId="9430" xr:uid="{00000000-0005-0000-0000-00002C100000}"/>
    <cellStyle name="Normal 10 4 3 3 2 2 2" xfId="21780" xr:uid="{00000000-0005-0000-0000-00002D100000}"/>
    <cellStyle name="Normal 10 4 3 3 2 3" xfId="15554" xr:uid="{00000000-0005-0000-0000-00002E100000}"/>
    <cellStyle name="Normal 10 4 3 3 3" xfId="9429" xr:uid="{00000000-0005-0000-0000-00002F100000}"/>
    <cellStyle name="Normal 10 4 3 3 3 2" xfId="21779" xr:uid="{00000000-0005-0000-0000-000030100000}"/>
    <cellStyle name="Normal 10 4 3 3 4" xfId="15553" xr:uid="{00000000-0005-0000-0000-000031100000}"/>
    <cellStyle name="Normal 10 4 3 4" xfId="3118" xr:uid="{00000000-0005-0000-0000-000032100000}"/>
    <cellStyle name="Normal 10 4 3 4 2" xfId="3119" xr:uid="{00000000-0005-0000-0000-000033100000}"/>
    <cellStyle name="Normal 10 4 3 4 2 2" xfId="9432" xr:uid="{00000000-0005-0000-0000-000034100000}"/>
    <cellStyle name="Normal 10 4 3 4 2 2 2" xfId="21782" xr:uid="{00000000-0005-0000-0000-000035100000}"/>
    <cellStyle name="Normal 10 4 3 4 2 3" xfId="15556" xr:uid="{00000000-0005-0000-0000-000036100000}"/>
    <cellStyle name="Normal 10 4 3 4 3" xfId="9431" xr:uid="{00000000-0005-0000-0000-000037100000}"/>
    <cellStyle name="Normal 10 4 3 4 3 2" xfId="21781" xr:uid="{00000000-0005-0000-0000-000038100000}"/>
    <cellStyle name="Normal 10 4 3 4 4" xfId="15555" xr:uid="{00000000-0005-0000-0000-000039100000}"/>
    <cellStyle name="Normal 10 4 3 5" xfId="3120" xr:uid="{00000000-0005-0000-0000-00003A100000}"/>
    <cellStyle name="Normal 10 4 3 5 2" xfId="9433" xr:uid="{00000000-0005-0000-0000-00003B100000}"/>
    <cellStyle name="Normal 10 4 3 5 2 2" xfId="21783" xr:uid="{00000000-0005-0000-0000-00003C100000}"/>
    <cellStyle name="Normal 10 4 3 5 3" xfId="15557" xr:uid="{00000000-0005-0000-0000-00003D100000}"/>
    <cellStyle name="Normal 10 4 3 6" xfId="9422" xr:uid="{00000000-0005-0000-0000-00003E100000}"/>
    <cellStyle name="Normal 10 4 3 6 2" xfId="21772" xr:uid="{00000000-0005-0000-0000-00003F100000}"/>
    <cellStyle name="Normal 10 4 3 7" xfId="15546" xr:uid="{00000000-0005-0000-0000-000040100000}"/>
    <cellStyle name="Normal 10 4 4" xfId="3121" xr:uid="{00000000-0005-0000-0000-000041100000}"/>
    <cellStyle name="Normal 10 4 4 2" xfId="3122" xr:uid="{00000000-0005-0000-0000-000042100000}"/>
    <cellStyle name="Normal 10 4 4 2 2" xfId="3123" xr:uid="{00000000-0005-0000-0000-000043100000}"/>
    <cellStyle name="Normal 10 4 4 2 2 2" xfId="9436" xr:uid="{00000000-0005-0000-0000-000044100000}"/>
    <cellStyle name="Normal 10 4 4 2 2 2 2" xfId="21786" xr:uid="{00000000-0005-0000-0000-000045100000}"/>
    <cellStyle name="Normal 10 4 4 2 2 3" xfId="15560" xr:uid="{00000000-0005-0000-0000-000046100000}"/>
    <cellStyle name="Normal 10 4 4 2 3" xfId="9435" xr:uid="{00000000-0005-0000-0000-000047100000}"/>
    <cellStyle name="Normal 10 4 4 2 3 2" xfId="21785" xr:uid="{00000000-0005-0000-0000-000048100000}"/>
    <cellStyle name="Normal 10 4 4 2 4" xfId="15559" xr:uid="{00000000-0005-0000-0000-000049100000}"/>
    <cellStyle name="Normal 10 4 4 3" xfId="3124" xr:uid="{00000000-0005-0000-0000-00004A100000}"/>
    <cellStyle name="Normal 10 4 4 3 2" xfId="3125" xr:uid="{00000000-0005-0000-0000-00004B100000}"/>
    <cellStyle name="Normal 10 4 4 3 2 2" xfId="9438" xr:uid="{00000000-0005-0000-0000-00004C100000}"/>
    <cellStyle name="Normal 10 4 4 3 2 2 2" xfId="21788" xr:uid="{00000000-0005-0000-0000-00004D100000}"/>
    <cellStyle name="Normal 10 4 4 3 2 3" xfId="15562" xr:uid="{00000000-0005-0000-0000-00004E100000}"/>
    <cellStyle name="Normal 10 4 4 3 3" xfId="9437" xr:uid="{00000000-0005-0000-0000-00004F100000}"/>
    <cellStyle name="Normal 10 4 4 3 3 2" xfId="21787" xr:uid="{00000000-0005-0000-0000-000050100000}"/>
    <cellStyle name="Normal 10 4 4 3 4" xfId="15561" xr:uid="{00000000-0005-0000-0000-000051100000}"/>
    <cellStyle name="Normal 10 4 4 4" xfId="3126" xr:uid="{00000000-0005-0000-0000-000052100000}"/>
    <cellStyle name="Normal 10 4 4 4 2" xfId="9439" xr:uid="{00000000-0005-0000-0000-000053100000}"/>
    <cellStyle name="Normal 10 4 4 4 2 2" xfId="21789" xr:uid="{00000000-0005-0000-0000-000054100000}"/>
    <cellStyle name="Normal 10 4 4 4 3" xfId="15563" xr:uid="{00000000-0005-0000-0000-000055100000}"/>
    <cellStyle name="Normal 10 4 4 5" xfId="9434" xr:uid="{00000000-0005-0000-0000-000056100000}"/>
    <cellStyle name="Normal 10 4 4 5 2" xfId="21784" xr:uid="{00000000-0005-0000-0000-000057100000}"/>
    <cellStyle name="Normal 10 4 4 6" xfId="15558" xr:uid="{00000000-0005-0000-0000-000058100000}"/>
    <cellStyle name="Normal 10 4 5" xfId="3127" xr:uid="{00000000-0005-0000-0000-000059100000}"/>
    <cellStyle name="Normal 10 4 5 2" xfId="3128" xr:uid="{00000000-0005-0000-0000-00005A100000}"/>
    <cellStyle name="Normal 10 4 5 2 2" xfId="9441" xr:uid="{00000000-0005-0000-0000-00005B100000}"/>
    <cellStyle name="Normal 10 4 5 2 2 2" xfId="21791" xr:uid="{00000000-0005-0000-0000-00005C100000}"/>
    <cellStyle name="Normal 10 4 5 2 3" xfId="15565" xr:uid="{00000000-0005-0000-0000-00005D100000}"/>
    <cellStyle name="Normal 10 4 5 3" xfId="9440" xr:uid="{00000000-0005-0000-0000-00005E100000}"/>
    <cellStyle name="Normal 10 4 5 3 2" xfId="21790" xr:uid="{00000000-0005-0000-0000-00005F100000}"/>
    <cellStyle name="Normal 10 4 5 4" xfId="15564" xr:uid="{00000000-0005-0000-0000-000060100000}"/>
    <cellStyle name="Normal 10 4 6" xfId="3129" xr:uid="{00000000-0005-0000-0000-000061100000}"/>
    <cellStyle name="Normal 10 4 6 2" xfId="3130" xr:uid="{00000000-0005-0000-0000-000062100000}"/>
    <cellStyle name="Normal 10 4 6 2 2" xfId="9443" xr:uid="{00000000-0005-0000-0000-000063100000}"/>
    <cellStyle name="Normal 10 4 6 2 2 2" xfId="21793" xr:uid="{00000000-0005-0000-0000-000064100000}"/>
    <cellStyle name="Normal 10 4 6 2 3" xfId="15567" xr:uid="{00000000-0005-0000-0000-000065100000}"/>
    <cellStyle name="Normal 10 4 6 3" xfId="9442" xr:uid="{00000000-0005-0000-0000-000066100000}"/>
    <cellStyle name="Normal 10 4 6 3 2" xfId="21792" xr:uid="{00000000-0005-0000-0000-000067100000}"/>
    <cellStyle name="Normal 10 4 6 4" xfId="15566" xr:uid="{00000000-0005-0000-0000-000068100000}"/>
    <cellStyle name="Normal 10 4 7" xfId="3131" xr:uid="{00000000-0005-0000-0000-000069100000}"/>
    <cellStyle name="Normal 10 4 7 2" xfId="9444" xr:uid="{00000000-0005-0000-0000-00006A100000}"/>
    <cellStyle name="Normal 10 4 7 2 2" xfId="21794" xr:uid="{00000000-0005-0000-0000-00006B100000}"/>
    <cellStyle name="Normal 10 4 7 3" xfId="15568" xr:uid="{00000000-0005-0000-0000-00006C100000}"/>
    <cellStyle name="Normal 10 4 8" xfId="9397" xr:uid="{00000000-0005-0000-0000-00006D100000}"/>
    <cellStyle name="Normal 10 4 8 2" xfId="21747" xr:uid="{00000000-0005-0000-0000-00006E100000}"/>
    <cellStyle name="Normal 10 4 9" xfId="15521" xr:uid="{00000000-0005-0000-0000-00006F100000}"/>
    <cellStyle name="Normal 10 5" xfId="3132" xr:uid="{00000000-0005-0000-0000-000070100000}"/>
    <cellStyle name="Normal 10 5 2" xfId="3133" xr:uid="{00000000-0005-0000-0000-000071100000}"/>
    <cellStyle name="Normal 10 5 2 2" xfId="3134" xr:uid="{00000000-0005-0000-0000-000072100000}"/>
    <cellStyle name="Normal 10 5 2 2 2" xfId="3135" xr:uid="{00000000-0005-0000-0000-000073100000}"/>
    <cellStyle name="Normal 10 5 2 2 2 2" xfId="3136" xr:uid="{00000000-0005-0000-0000-000074100000}"/>
    <cellStyle name="Normal 10 5 2 2 2 2 2" xfId="9449" xr:uid="{00000000-0005-0000-0000-000075100000}"/>
    <cellStyle name="Normal 10 5 2 2 2 2 2 2" xfId="21799" xr:uid="{00000000-0005-0000-0000-000076100000}"/>
    <cellStyle name="Normal 10 5 2 2 2 2 3" xfId="15573" xr:uid="{00000000-0005-0000-0000-000077100000}"/>
    <cellStyle name="Normal 10 5 2 2 2 3" xfId="9448" xr:uid="{00000000-0005-0000-0000-000078100000}"/>
    <cellStyle name="Normal 10 5 2 2 2 3 2" xfId="21798" xr:uid="{00000000-0005-0000-0000-000079100000}"/>
    <cellStyle name="Normal 10 5 2 2 2 4" xfId="15572" xr:uid="{00000000-0005-0000-0000-00007A100000}"/>
    <cellStyle name="Normal 10 5 2 2 3" xfId="3137" xr:uid="{00000000-0005-0000-0000-00007B100000}"/>
    <cellStyle name="Normal 10 5 2 2 3 2" xfId="3138" xr:uid="{00000000-0005-0000-0000-00007C100000}"/>
    <cellStyle name="Normal 10 5 2 2 3 2 2" xfId="9451" xr:uid="{00000000-0005-0000-0000-00007D100000}"/>
    <cellStyle name="Normal 10 5 2 2 3 2 2 2" xfId="21801" xr:uid="{00000000-0005-0000-0000-00007E100000}"/>
    <cellStyle name="Normal 10 5 2 2 3 2 3" xfId="15575" xr:uid="{00000000-0005-0000-0000-00007F100000}"/>
    <cellStyle name="Normal 10 5 2 2 3 3" xfId="9450" xr:uid="{00000000-0005-0000-0000-000080100000}"/>
    <cellStyle name="Normal 10 5 2 2 3 3 2" xfId="21800" xr:uid="{00000000-0005-0000-0000-000081100000}"/>
    <cellStyle name="Normal 10 5 2 2 3 4" xfId="15574" xr:uid="{00000000-0005-0000-0000-000082100000}"/>
    <cellStyle name="Normal 10 5 2 2 4" xfId="3139" xr:uid="{00000000-0005-0000-0000-000083100000}"/>
    <cellStyle name="Normal 10 5 2 2 4 2" xfId="9452" xr:uid="{00000000-0005-0000-0000-000084100000}"/>
    <cellStyle name="Normal 10 5 2 2 4 2 2" xfId="21802" xr:uid="{00000000-0005-0000-0000-000085100000}"/>
    <cellStyle name="Normal 10 5 2 2 4 3" xfId="15576" xr:uid="{00000000-0005-0000-0000-000086100000}"/>
    <cellStyle name="Normal 10 5 2 2 5" xfId="9447" xr:uid="{00000000-0005-0000-0000-000087100000}"/>
    <cellStyle name="Normal 10 5 2 2 5 2" xfId="21797" xr:uid="{00000000-0005-0000-0000-000088100000}"/>
    <cellStyle name="Normal 10 5 2 2 6" xfId="15571" xr:uid="{00000000-0005-0000-0000-000089100000}"/>
    <cellStyle name="Normal 10 5 2 3" xfId="3140" xr:uid="{00000000-0005-0000-0000-00008A100000}"/>
    <cellStyle name="Normal 10 5 2 3 2" xfId="3141" xr:uid="{00000000-0005-0000-0000-00008B100000}"/>
    <cellStyle name="Normal 10 5 2 3 2 2" xfId="9454" xr:uid="{00000000-0005-0000-0000-00008C100000}"/>
    <cellStyle name="Normal 10 5 2 3 2 2 2" xfId="21804" xr:uid="{00000000-0005-0000-0000-00008D100000}"/>
    <cellStyle name="Normal 10 5 2 3 2 3" xfId="15578" xr:uid="{00000000-0005-0000-0000-00008E100000}"/>
    <cellStyle name="Normal 10 5 2 3 3" xfId="9453" xr:uid="{00000000-0005-0000-0000-00008F100000}"/>
    <cellStyle name="Normal 10 5 2 3 3 2" xfId="21803" xr:uid="{00000000-0005-0000-0000-000090100000}"/>
    <cellStyle name="Normal 10 5 2 3 4" xfId="15577" xr:uid="{00000000-0005-0000-0000-000091100000}"/>
    <cellStyle name="Normal 10 5 2 4" xfId="3142" xr:uid="{00000000-0005-0000-0000-000092100000}"/>
    <cellStyle name="Normal 10 5 2 4 2" xfId="3143" xr:uid="{00000000-0005-0000-0000-000093100000}"/>
    <cellStyle name="Normal 10 5 2 4 2 2" xfId="9456" xr:uid="{00000000-0005-0000-0000-000094100000}"/>
    <cellStyle name="Normal 10 5 2 4 2 2 2" xfId="21806" xr:uid="{00000000-0005-0000-0000-000095100000}"/>
    <cellStyle name="Normal 10 5 2 4 2 3" xfId="15580" xr:uid="{00000000-0005-0000-0000-000096100000}"/>
    <cellStyle name="Normal 10 5 2 4 3" xfId="9455" xr:uid="{00000000-0005-0000-0000-000097100000}"/>
    <cellStyle name="Normal 10 5 2 4 3 2" xfId="21805" xr:uid="{00000000-0005-0000-0000-000098100000}"/>
    <cellStyle name="Normal 10 5 2 4 4" xfId="15579" xr:uid="{00000000-0005-0000-0000-000099100000}"/>
    <cellStyle name="Normal 10 5 2 5" xfId="3144" xr:uid="{00000000-0005-0000-0000-00009A100000}"/>
    <cellStyle name="Normal 10 5 2 5 2" xfId="9457" xr:uid="{00000000-0005-0000-0000-00009B100000}"/>
    <cellStyle name="Normal 10 5 2 5 2 2" xfId="21807" xr:uid="{00000000-0005-0000-0000-00009C100000}"/>
    <cellStyle name="Normal 10 5 2 5 3" xfId="15581" xr:uid="{00000000-0005-0000-0000-00009D100000}"/>
    <cellStyle name="Normal 10 5 2 6" xfId="9446" xr:uid="{00000000-0005-0000-0000-00009E100000}"/>
    <cellStyle name="Normal 10 5 2 6 2" xfId="21796" xr:uid="{00000000-0005-0000-0000-00009F100000}"/>
    <cellStyle name="Normal 10 5 2 7" xfId="15570" xr:uid="{00000000-0005-0000-0000-0000A0100000}"/>
    <cellStyle name="Normal 10 5 3" xfId="3145" xr:uid="{00000000-0005-0000-0000-0000A1100000}"/>
    <cellStyle name="Normal 10 5 3 2" xfId="3146" xr:uid="{00000000-0005-0000-0000-0000A2100000}"/>
    <cellStyle name="Normal 10 5 3 2 2" xfId="3147" xr:uid="{00000000-0005-0000-0000-0000A3100000}"/>
    <cellStyle name="Normal 10 5 3 2 2 2" xfId="9460" xr:uid="{00000000-0005-0000-0000-0000A4100000}"/>
    <cellStyle name="Normal 10 5 3 2 2 2 2" xfId="21810" xr:uid="{00000000-0005-0000-0000-0000A5100000}"/>
    <cellStyle name="Normal 10 5 3 2 2 3" xfId="15584" xr:uid="{00000000-0005-0000-0000-0000A6100000}"/>
    <cellStyle name="Normal 10 5 3 2 3" xfId="9459" xr:uid="{00000000-0005-0000-0000-0000A7100000}"/>
    <cellStyle name="Normal 10 5 3 2 3 2" xfId="21809" xr:uid="{00000000-0005-0000-0000-0000A8100000}"/>
    <cellStyle name="Normal 10 5 3 2 4" xfId="15583" xr:uid="{00000000-0005-0000-0000-0000A9100000}"/>
    <cellStyle name="Normal 10 5 3 3" xfId="3148" xr:uid="{00000000-0005-0000-0000-0000AA100000}"/>
    <cellStyle name="Normal 10 5 3 3 2" xfId="3149" xr:uid="{00000000-0005-0000-0000-0000AB100000}"/>
    <cellStyle name="Normal 10 5 3 3 2 2" xfId="9462" xr:uid="{00000000-0005-0000-0000-0000AC100000}"/>
    <cellStyle name="Normal 10 5 3 3 2 2 2" xfId="21812" xr:uid="{00000000-0005-0000-0000-0000AD100000}"/>
    <cellStyle name="Normal 10 5 3 3 2 3" xfId="15586" xr:uid="{00000000-0005-0000-0000-0000AE100000}"/>
    <cellStyle name="Normal 10 5 3 3 3" xfId="9461" xr:uid="{00000000-0005-0000-0000-0000AF100000}"/>
    <cellStyle name="Normal 10 5 3 3 3 2" xfId="21811" xr:uid="{00000000-0005-0000-0000-0000B0100000}"/>
    <cellStyle name="Normal 10 5 3 3 4" xfId="15585" xr:uid="{00000000-0005-0000-0000-0000B1100000}"/>
    <cellStyle name="Normal 10 5 3 4" xfId="3150" xr:uid="{00000000-0005-0000-0000-0000B2100000}"/>
    <cellStyle name="Normal 10 5 3 4 2" xfId="9463" xr:uid="{00000000-0005-0000-0000-0000B3100000}"/>
    <cellStyle name="Normal 10 5 3 4 2 2" xfId="21813" xr:uid="{00000000-0005-0000-0000-0000B4100000}"/>
    <cellStyle name="Normal 10 5 3 4 3" xfId="15587" xr:uid="{00000000-0005-0000-0000-0000B5100000}"/>
    <cellStyle name="Normal 10 5 3 5" xfId="9458" xr:uid="{00000000-0005-0000-0000-0000B6100000}"/>
    <cellStyle name="Normal 10 5 3 5 2" xfId="21808" xr:uid="{00000000-0005-0000-0000-0000B7100000}"/>
    <cellStyle name="Normal 10 5 3 6" xfId="15582" xr:uid="{00000000-0005-0000-0000-0000B8100000}"/>
    <cellStyle name="Normal 10 5 4" xfId="3151" xr:uid="{00000000-0005-0000-0000-0000B9100000}"/>
    <cellStyle name="Normal 10 5 4 2" xfId="3152" xr:uid="{00000000-0005-0000-0000-0000BA100000}"/>
    <cellStyle name="Normal 10 5 4 2 2" xfId="9465" xr:uid="{00000000-0005-0000-0000-0000BB100000}"/>
    <cellStyle name="Normal 10 5 4 2 2 2" xfId="21815" xr:uid="{00000000-0005-0000-0000-0000BC100000}"/>
    <cellStyle name="Normal 10 5 4 2 3" xfId="15589" xr:uid="{00000000-0005-0000-0000-0000BD100000}"/>
    <cellStyle name="Normal 10 5 4 3" xfId="9464" xr:uid="{00000000-0005-0000-0000-0000BE100000}"/>
    <cellStyle name="Normal 10 5 4 3 2" xfId="21814" xr:uid="{00000000-0005-0000-0000-0000BF100000}"/>
    <cellStyle name="Normal 10 5 4 4" xfId="15588" xr:uid="{00000000-0005-0000-0000-0000C0100000}"/>
    <cellStyle name="Normal 10 5 5" xfId="3153" xr:uid="{00000000-0005-0000-0000-0000C1100000}"/>
    <cellStyle name="Normal 10 5 5 2" xfId="3154" xr:uid="{00000000-0005-0000-0000-0000C2100000}"/>
    <cellStyle name="Normal 10 5 5 2 2" xfId="9467" xr:uid="{00000000-0005-0000-0000-0000C3100000}"/>
    <cellStyle name="Normal 10 5 5 2 2 2" xfId="21817" xr:uid="{00000000-0005-0000-0000-0000C4100000}"/>
    <cellStyle name="Normal 10 5 5 2 3" xfId="15591" xr:uid="{00000000-0005-0000-0000-0000C5100000}"/>
    <cellStyle name="Normal 10 5 5 3" xfId="9466" xr:uid="{00000000-0005-0000-0000-0000C6100000}"/>
    <cellStyle name="Normal 10 5 5 3 2" xfId="21816" xr:uid="{00000000-0005-0000-0000-0000C7100000}"/>
    <cellStyle name="Normal 10 5 5 4" xfId="15590" xr:uid="{00000000-0005-0000-0000-0000C8100000}"/>
    <cellStyle name="Normal 10 5 6" xfId="3155" xr:uid="{00000000-0005-0000-0000-0000C9100000}"/>
    <cellStyle name="Normal 10 5 6 2" xfId="9468" xr:uid="{00000000-0005-0000-0000-0000CA100000}"/>
    <cellStyle name="Normal 10 5 6 2 2" xfId="21818" xr:uid="{00000000-0005-0000-0000-0000CB100000}"/>
    <cellStyle name="Normal 10 5 6 3" xfId="15592" xr:uid="{00000000-0005-0000-0000-0000CC100000}"/>
    <cellStyle name="Normal 10 5 7" xfId="9445" xr:uid="{00000000-0005-0000-0000-0000CD100000}"/>
    <cellStyle name="Normal 10 5 7 2" xfId="21795" xr:uid="{00000000-0005-0000-0000-0000CE100000}"/>
    <cellStyle name="Normal 10 5 8" xfId="15569" xr:uid="{00000000-0005-0000-0000-0000CF100000}"/>
    <cellStyle name="Normal 10 6" xfId="3156" xr:uid="{00000000-0005-0000-0000-0000D0100000}"/>
    <cellStyle name="Normal 10 6 2" xfId="3157" xr:uid="{00000000-0005-0000-0000-0000D1100000}"/>
    <cellStyle name="Normal 10 6 2 2" xfId="3158" xr:uid="{00000000-0005-0000-0000-0000D2100000}"/>
    <cellStyle name="Normal 10 6 2 2 2" xfId="3159" xr:uid="{00000000-0005-0000-0000-0000D3100000}"/>
    <cellStyle name="Normal 10 6 2 2 2 2" xfId="9472" xr:uid="{00000000-0005-0000-0000-0000D4100000}"/>
    <cellStyle name="Normal 10 6 2 2 2 2 2" xfId="21822" xr:uid="{00000000-0005-0000-0000-0000D5100000}"/>
    <cellStyle name="Normal 10 6 2 2 2 3" xfId="15596" xr:uid="{00000000-0005-0000-0000-0000D6100000}"/>
    <cellStyle name="Normal 10 6 2 2 3" xfId="9471" xr:uid="{00000000-0005-0000-0000-0000D7100000}"/>
    <cellStyle name="Normal 10 6 2 2 3 2" xfId="21821" xr:uid="{00000000-0005-0000-0000-0000D8100000}"/>
    <cellStyle name="Normal 10 6 2 2 4" xfId="15595" xr:uid="{00000000-0005-0000-0000-0000D9100000}"/>
    <cellStyle name="Normal 10 6 2 3" xfId="3160" xr:uid="{00000000-0005-0000-0000-0000DA100000}"/>
    <cellStyle name="Normal 10 6 2 3 2" xfId="3161" xr:uid="{00000000-0005-0000-0000-0000DB100000}"/>
    <cellStyle name="Normal 10 6 2 3 2 2" xfId="9474" xr:uid="{00000000-0005-0000-0000-0000DC100000}"/>
    <cellStyle name="Normal 10 6 2 3 2 2 2" xfId="21824" xr:uid="{00000000-0005-0000-0000-0000DD100000}"/>
    <cellStyle name="Normal 10 6 2 3 2 3" xfId="15598" xr:uid="{00000000-0005-0000-0000-0000DE100000}"/>
    <cellStyle name="Normal 10 6 2 3 3" xfId="9473" xr:uid="{00000000-0005-0000-0000-0000DF100000}"/>
    <cellStyle name="Normal 10 6 2 3 3 2" xfId="21823" xr:uid="{00000000-0005-0000-0000-0000E0100000}"/>
    <cellStyle name="Normal 10 6 2 3 4" xfId="15597" xr:uid="{00000000-0005-0000-0000-0000E1100000}"/>
    <cellStyle name="Normal 10 6 2 4" xfId="3162" xr:uid="{00000000-0005-0000-0000-0000E2100000}"/>
    <cellStyle name="Normal 10 6 2 4 2" xfId="9475" xr:uid="{00000000-0005-0000-0000-0000E3100000}"/>
    <cellStyle name="Normal 10 6 2 4 2 2" xfId="21825" xr:uid="{00000000-0005-0000-0000-0000E4100000}"/>
    <cellStyle name="Normal 10 6 2 4 3" xfId="15599" xr:uid="{00000000-0005-0000-0000-0000E5100000}"/>
    <cellStyle name="Normal 10 6 2 5" xfId="9470" xr:uid="{00000000-0005-0000-0000-0000E6100000}"/>
    <cellStyle name="Normal 10 6 2 5 2" xfId="21820" xr:uid="{00000000-0005-0000-0000-0000E7100000}"/>
    <cellStyle name="Normal 10 6 2 6" xfId="15594" xr:uid="{00000000-0005-0000-0000-0000E8100000}"/>
    <cellStyle name="Normal 10 6 3" xfId="3163" xr:uid="{00000000-0005-0000-0000-0000E9100000}"/>
    <cellStyle name="Normal 10 6 3 2" xfId="3164" xr:uid="{00000000-0005-0000-0000-0000EA100000}"/>
    <cellStyle name="Normal 10 6 3 2 2" xfId="9477" xr:uid="{00000000-0005-0000-0000-0000EB100000}"/>
    <cellStyle name="Normal 10 6 3 2 2 2" xfId="21827" xr:uid="{00000000-0005-0000-0000-0000EC100000}"/>
    <cellStyle name="Normal 10 6 3 2 3" xfId="15601" xr:uid="{00000000-0005-0000-0000-0000ED100000}"/>
    <cellStyle name="Normal 10 6 3 3" xfId="9476" xr:uid="{00000000-0005-0000-0000-0000EE100000}"/>
    <cellStyle name="Normal 10 6 3 3 2" xfId="21826" xr:uid="{00000000-0005-0000-0000-0000EF100000}"/>
    <cellStyle name="Normal 10 6 3 4" xfId="15600" xr:uid="{00000000-0005-0000-0000-0000F0100000}"/>
    <cellStyle name="Normal 10 6 4" xfId="3165" xr:uid="{00000000-0005-0000-0000-0000F1100000}"/>
    <cellStyle name="Normal 10 6 4 2" xfId="3166" xr:uid="{00000000-0005-0000-0000-0000F2100000}"/>
    <cellStyle name="Normal 10 6 4 2 2" xfId="9479" xr:uid="{00000000-0005-0000-0000-0000F3100000}"/>
    <cellStyle name="Normal 10 6 4 2 2 2" xfId="21829" xr:uid="{00000000-0005-0000-0000-0000F4100000}"/>
    <cellStyle name="Normal 10 6 4 2 3" xfId="15603" xr:uid="{00000000-0005-0000-0000-0000F5100000}"/>
    <cellStyle name="Normal 10 6 4 3" xfId="9478" xr:uid="{00000000-0005-0000-0000-0000F6100000}"/>
    <cellStyle name="Normal 10 6 4 3 2" xfId="21828" xr:uid="{00000000-0005-0000-0000-0000F7100000}"/>
    <cellStyle name="Normal 10 6 4 4" xfId="15602" xr:uid="{00000000-0005-0000-0000-0000F8100000}"/>
    <cellStyle name="Normal 10 6 5" xfId="3167" xr:uid="{00000000-0005-0000-0000-0000F9100000}"/>
    <cellStyle name="Normal 10 6 5 2" xfId="9480" xr:uid="{00000000-0005-0000-0000-0000FA100000}"/>
    <cellStyle name="Normal 10 6 5 2 2" xfId="21830" xr:uid="{00000000-0005-0000-0000-0000FB100000}"/>
    <cellStyle name="Normal 10 6 5 3" xfId="15604" xr:uid="{00000000-0005-0000-0000-0000FC100000}"/>
    <cellStyle name="Normal 10 6 6" xfId="9469" xr:uid="{00000000-0005-0000-0000-0000FD100000}"/>
    <cellStyle name="Normal 10 6 6 2" xfId="21819" xr:uid="{00000000-0005-0000-0000-0000FE100000}"/>
    <cellStyle name="Normal 10 6 7" xfId="15593" xr:uid="{00000000-0005-0000-0000-0000FF100000}"/>
    <cellStyle name="Normal 10 7" xfId="3168" xr:uid="{00000000-0005-0000-0000-000000110000}"/>
    <cellStyle name="Normal 10 7 2" xfId="3169" xr:uid="{00000000-0005-0000-0000-000001110000}"/>
    <cellStyle name="Normal 10 7 2 2" xfId="3170" xr:uid="{00000000-0005-0000-0000-000002110000}"/>
    <cellStyle name="Normal 10 7 2 2 2" xfId="9483" xr:uid="{00000000-0005-0000-0000-000003110000}"/>
    <cellStyle name="Normal 10 7 2 2 2 2" xfId="21833" xr:uid="{00000000-0005-0000-0000-000004110000}"/>
    <cellStyle name="Normal 10 7 2 2 3" xfId="15607" xr:uid="{00000000-0005-0000-0000-000005110000}"/>
    <cellStyle name="Normal 10 7 2 3" xfId="9482" xr:uid="{00000000-0005-0000-0000-000006110000}"/>
    <cellStyle name="Normal 10 7 2 3 2" xfId="21832" xr:uid="{00000000-0005-0000-0000-000007110000}"/>
    <cellStyle name="Normal 10 7 2 4" xfId="15606" xr:uid="{00000000-0005-0000-0000-000008110000}"/>
    <cellStyle name="Normal 10 7 3" xfId="3171" xr:uid="{00000000-0005-0000-0000-000009110000}"/>
    <cellStyle name="Normal 10 7 3 2" xfId="3172" xr:uid="{00000000-0005-0000-0000-00000A110000}"/>
    <cellStyle name="Normal 10 7 3 2 2" xfId="9485" xr:uid="{00000000-0005-0000-0000-00000B110000}"/>
    <cellStyle name="Normal 10 7 3 2 2 2" xfId="21835" xr:uid="{00000000-0005-0000-0000-00000C110000}"/>
    <cellStyle name="Normal 10 7 3 2 3" xfId="15609" xr:uid="{00000000-0005-0000-0000-00000D110000}"/>
    <cellStyle name="Normal 10 7 3 3" xfId="9484" xr:uid="{00000000-0005-0000-0000-00000E110000}"/>
    <cellStyle name="Normal 10 7 3 3 2" xfId="21834" xr:uid="{00000000-0005-0000-0000-00000F110000}"/>
    <cellStyle name="Normal 10 7 3 4" xfId="15608" xr:uid="{00000000-0005-0000-0000-000010110000}"/>
    <cellStyle name="Normal 10 7 4" xfId="3173" xr:uid="{00000000-0005-0000-0000-000011110000}"/>
    <cellStyle name="Normal 10 7 4 2" xfId="9486" xr:uid="{00000000-0005-0000-0000-000012110000}"/>
    <cellStyle name="Normal 10 7 4 2 2" xfId="21836" xr:uid="{00000000-0005-0000-0000-000013110000}"/>
    <cellStyle name="Normal 10 7 4 3" xfId="15610" xr:uid="{00000000-0005-0000-0000-000014110000}"/>
    <cellStyle name="Normal 10 7 5" xfId="9481" xr:uid="{00000000-0005-0000-0000-000015110000}"/>
    <cellStyle name="Normal 10 7 5 2" xfId="21831" xr:uid="{00000000-0005-0000-0000-000016110000}"/>
    <cellStyle name="Normal 10 7 6" xfId="15605" xr:uid="{00000000-0005-0000-0000-000017110000}"/>
    <cellStyle name="Normal 10 8" xfId="3174" xr:uid="{00000000-0005-0000-0000-000018110000}"/>
    <cellStyle name="Normal 10 8 2" xfId="3175" xr:uid="{00000000-0005-0000-0000-000019110000}"/>
    <cellStyle name="Normal 10 8 2 2" xfId="9487" xr:uid="{00000000-0005-0000-0000-00001A110000}"/>
    <cellStyle name="Normal 10 8 2 2 2" xfId="21837" xr:uid="{00000000-0005-0000-0000-00001B110000}"/>
    <cellStyle name="Normal 10 8 2 3" xfId="15611" xr:uid="{00000000-0005-0000-0000-00001C110000}"/>
    <cellStyle name="Normal 10 9" xfId="3176" xr:uid="{00000000-0005-0000-0000-00001D110000}"/>
    <cellStyle name="Normal 10 9 2" xfId="3177" xr:uid="{00000000-0005-0000-0000-00001E110000}"/>
    <cellStyle name="Normal 10 9 2 2" xfId="9488" xr:uid="{00000000-0005-0000-0000-00001F110000}"/>
    <cellStyle name="Normal 10 9 2 2 2" xfId="21838" xr:uid="{00000000-0005-0000-0000-000020110000}"/>
    <cellStyle name="Normal 10 9 2 3" xfId="15612" xr:uid="{00000000-0005-0000-0000-000021110000}"/>
    <cellStyle name="Normal 10_2112 DF Schedule" xfId="9489" xr:uid="{00000000-0005-0000-0000-000022110000}"/>
    <cellStyle name="Normal 100" xfId="3178" xr:uid="{00000000-0005-0000-0000-000023110000}"/>
    <cellStyle name="Normal 100 2" xfId="3179" xr:uid="{00000000-0005-0000-0000-000024110000}"/>
    <cellStyle name="Normal 100 2 2" xfId="9490" xr:uid="{00000000-0005-0000-0000-000025110000}"/>
    <cellStyle name="Normal 100 2 2 2" xfId="21839" xr:uid="{00000000-0005-0000-0000-000026110000}"/>
    <cellStyle name="Normal 100 2 3" xfId="15613" xr:uid="{00000000-0005-0000-0000-000027110000}"/>
    <cellStyle name="Normal 100 3" xfId="3180" xr:uid="{00000000-0005-0000-0000-000028110000}"/>
    <cellStyle name="Normal 101" xfId="3181" xr:uid="{00000000-0005-0000-0000-000029110000}"/>
    <cellStyle name="Normal 101 2" xfId="3182" xr:uid="{00000000-0005-0000-0000-00002A110000}"/>
    <cellStyle name="Normal 101 2 2" xfId="9491" xr:uid="{00000000-0005-0000-0000-00002B110000}"/>
    <cellStyle name="Normal 101 2 2 2" xfId="21840" xr:uid="{00000000-0005-0000-0000-00002C110000}"/>
    <cellStyle name="Normal 101 2 3" xfId="15614" xr:uid="{00000000-0005-0000-0000-00002D110000}"/>
    <cellStyle name="Normal 102" xfId="3183" xr:uid="{00000000-0005-0000-0000-00002E110000}"/>
    <cellStyle name="Normal 102 2" xfId="3184" xr:uid="{00000000-0005-0000-0000-00002F110000}"/>
    <cellStyle name="Normal 102 2 2" xfId="9492" xr:uid="{00000000-0005-0000-0000-000030110000}"/>
    <cellStyle name="Normal 102 2 2 2" xfId="21841" xr:uid="{00000000-0005-0000-0000-000031110000}"/>
    <cellStyle name="Normal 102 2 3" xfId="15615" xr:uid="{00000000-0005-0000-0000-000032110000}"/>
    <cellStyle name="Normal 103" xfId="3185" xr:uid="{00000000-0005-0000-0000-000033110000}"/>
    <cellStyle name="Normal 103 2" xfId="3186" xr:uid="{00000000-0005-0000-0000-000034110000}"/>
    <cellStyle name="Normal 103 2 2" xfId="9493" xr:uid="{00000000-0005-0000-0000-000035110000}"/>
    <cellStyle name="Normal 103 2 2 2" xfId="21842" xr:uid="{00000000-0005-0000-0000-000036110000}"/>
    <cellStyle name="Normal 103 2 3" xfId="15616" xr:uid="{00000000-0005-0000-0000-000037110000}"/>
    <cellStyle name="Normal 104" xfId="3187" xr:uid="{00000000-0005-0000-0000-000038110000}"/>
    <cellStyle name="Normal 104 2" xfId="3188" xr:uid="{00000000-0005-0000-0000-000039110000}"/>
    <cellStyle name="Normal 104 2 2" xfId="9494" xr:uid="{00000000-0005-0000-0000-00003A110000}"/>
    <cellStyle name="Normal 104 2 2 2" xfId="21843" xr:uid="{00000000-0005-0000-0000-00003B110000}"/>
    <cellStyle name="Normal 104 2 3" xfId="15617" xr:uid="{00000000-0005-0000-0000-00003C110000}"/>
    <cellStyle name="Normal 105" xfId="3189" xr:uid="{00000000-0005-0000-0000-00003D110000}"/>
    <cellStyle name="Normal 105 2" xfId="3190" xr:uid="{00000000-0005-0000-0000-00003E110000}"/>
    <cellStyle name="Normal 105 2 2" xfId="9495" xr:uid="{00000000-0005-0000-0000-00003F110000}"/>
    <cellStyle name="Normal 105 2 2 2" xfId="21844" xr:uid="{00000000-0005-0000-0000-000040110000}"/>
    <cellStyle name="Normal 105 2 3" xfId="15618" xr:uid="{00000000-0005-0000-0000-000041110000}"/>
    <cellStyle name="Normal 106" xfId="3191" xr:uid="{00000000-0005-0000-0000-000042110000}"/>
    <cellStyle name="Normal 107" xfId="3192" xr:uid="{00000000-0005-0000-0000-000043110000}"/>
    <cellStyle name="Normal 107 2" xfId="3193" xr:uid="{00000000-0005-0000-0000-000044110000}"/>
    <cellStyle name="Normal 107 2 2" xfId="9496" xr:uid="{00000000-0005-0000-0000-000045110000}"/>
    <cellStyle name="Normal 107 2 2 2" xfId="21845" xr:uid="{00000000-0005-0000-0000-000046110000}"/>
    <cellStyle name="Normal 107 2 3" xfId="15619" xr:uid="{00000000-0005-0000-0000-000047110000}"/>
    <cellStyle name="Normal 108" xfId="3194" xr:uid="{00000000-0005-0000-0000-000048110000}"/>
    <cellStyle name="Normal 108 2" xfId="3195" xr:uid="{00000000-0005-0000-0000-000049110000}"/>
    <cellStyle name="Normal 108 2 2" xfId="9497" xr:uid="{00000000-0005-0000-0000-00004A110000}"/>
    <cellStyle name="Normal 108 2 2 2" xfId="21846" xr:uid="{00000000-0005-0000-0000-00004B110000}"/>
    <cellStyle name="Normal 108 2 3" xfId="15620" xr:uid="{00000000-0005-0000-0000-00004C110000}"/>
    <cellStyle name="Normal 109" xfId="3196" xr:uid="{00000000-0005-0000-0000-00004D110000}"/>
    <cellStyle name="Normal 109 2" xfId="3197" xr:uid="{00000000-0005-0000-0000-00004E110000}"/>
    <cellStyle name="Normal 109 2 2" xfId="3198" xr:uid="{00000000-0005-0000-0000-00004F110000}"/>
    <cellStyle name="Normal 109 3" xfId="3199" xr:uid="{00000000-0005-0000-0000-000050110000}"/>
    <cellStyle name="Normal 109 3 2" xfId="9498" xr:uid="{00000000-0005-0000-0000-000051110000}"/>
    <cellStyle name="Normal 109 3 2 2" xfId="21847" xr:uid="{00000000-0005-0000-0000-000052110000}"/>
    <cellStyle name="Normal 109 3 3" xfId="15621" xr:uid="{00000000-0005-0000-0000-000053110000}"/>
    <cellStyle name="Normal 109 4" xfId="3200" xr:uid="{00000000-0005-0000-0000-000054110000}"/>
    <cellStyle name="Normal 11" xfId="9499" xr:uid="{00000000-0005-0000-0000-000055110000}"/>
    <cellStyle name="Normal 11 10" xfId="3201" xr:uid="{00000000-0005-0000-0000-000056110000}"/>
    <cellStyle name="Normal 11 10 2" xfId="9500" xr:uid="{00000000-0005-0000-0000-000057110000}"/>
    <cellStyle name="Normal 11 10 2 2" xfId="21848" xr:uid="{00000000-0005-0000-0000-000058110000}"/>
    <cellStyle name="Normal 11 10 3" xfId="15622" xr:uid="{00000000-0005-0000-0000-000059110000}"/>
    <cellStyle name="Normal 11 11" xfId="3202" xr:uid="{00000000-0005-0000-0000-00005A110000}"/>
    <cellStyle name="Normal 11 11 2" xfId="9501" xr:uid="{00000000-0005-0000-0000-00005B110000}"/>
    <cellStyle name="Normal 11 11 2 2" xfId="21849" xr:uid="{00000000-0005-0000-0000-00005C110000}"/>
    <cellStyle name="Normal 11 11 3" xfId="15623" xr:uid="{00000000-0005-0000-0000-00005D110000}"/>
    <cellStyle name="Normal 11 12" xfId="3203" xr:uid="{00000000-0005-0000-0000-00005E110000}"/>
    <cellStyle name="Normal 11 2" xfId="3204" xr:uid="{00000000-0005-0000-0000-00005F110000}"/>
    <cellStyle name="Normal 11 2 2" xfId="3205" xr:uid="{00000000-0005-0000-0000-000060110000}"/>
    <cellStyle name="Normal 11 2 2 2" xfId="3206" xr:uid="{00000000-0005-0000-0000-000061110000}"/>
    <cellStyle name="Normal 11 2 2 2 2" xfId="3207" xr:uid="{00000000-0005-0000-0000-000062110000}"/>
    <cellStyle name="Normal 11 2 2 2 2 2" xfId="3208" xr:uid="{00000000-0005-0000-0000-000063110000}"/>
    <cellStyle name="Normal 11 2 2 2 2 2 2" xfId="3209" xr:uid="{00000000-0005-0000-0000-000064110000}"/>
    <cellStyle name="Normal 11 2 2 2 2 2 2 2" xfId="3210" xr:uid="{00000000-0005-0000-0000-000065110000}"/>
    <cellStyle name="Normal 11 2 2 2 2 2 2 2 2" xfId="9505" xr:uid="{00000000-0005-0000-0000-000066110000}"/>
    <cellStyle name="Normal 11 2 2 2 2 2 2 2 2 2" xfId="21853" xr:uid="{00000000-0005-0000-0000-000067110000}"/>
    <cellStyle name="Normal 11 2 2 2 2 2 2 2 3" xfId="15627" xr:uid="{00000000-0005-0000-0000-000068110000}"/>
    <cellStyle name="Normal 11 2 2 2 2 2 2 3" xfId="9504" xr:uid="{00000000-0005-0000-0000-000069110000}"/>
    <cellStyle name="Normal 11 2 2 2 2 2 2 3 2" xfId="21852" xr:uid="{00000000-0005-0000-0000-00006A110000}"/>
    <cellStyle name="Normal 11 2 2 2 2 2 2 4" xfId="15626" xr:uid="{00000000-0005-0000-0000-00006B110000}"/>
    <cellStyle name="Normal 11 2 2 2 2 2 3" xfId="3211" xr:uid="{00000000-0005-0000-0000-00006C110000}"/>
    <cellStyle name="Normal 11 2 2 2 2 2 3 2" xfId="3212" xr:uid="{00000000-0005-0000-0000-00006D110000}"/>
    <cellStyle name="Normal 11 2 2 2 2 2 3 2 2" xfId="9507" xr:uid="{00000000-0005-0000-0000-00006E110000}"/>
    <cellStyle name="Normal 11 2 2 2 2 2 3 2 2 2" xfId="21855" xr:uid="{00000000-0005-0000-0000-00006F110000}"/>
    <cellStyle name="Normal 11 2 2 2 2 2 3 2 3" xfId="15629" xr:uid="{00000000-0005-0000-0000-000070110000}"/>
    <cellStyle name="Normal 11 2 2 2 2 2 3 3" xfId="9506" xr:uid="{00000000-0005-0000-0000-000071110000}"/>
    <cellStyle name="Normal 11 2 2 2 2 2 3 3 2" xfId="21854" xr:uid="{00000000-0005-0000-0000-000072110000}"/>
    <cellStyle name="Normal 11 2 2 2 2 2 3 4" xfId="15628" xr:uid="{00000000-0005-0000-0000-000073110000}"/>
    <cellStyle name="Normal 11 2 2 2 2 2 4" xfId="3213" xr:uid="{00000000-0005-0000-0000-000074110000}"/>
    <cellStyle name="Normal 11 2 2 2 2 2 4 2" xfId="9508" xr:uid="{00000000-0005-0000-0000-000075110000}"/>
    <cellStyle name="Normal 11 2 2 2 2 2 4 2 2" xfId="21856" xr:uid="{00000000-0005-0000-0000-000076110000}"/>
    <cellStyle name="Normal 11 2 2 2 2 2 4 3" xfId="15630" xr:uid="{00000000-0005-0000-0000-000077110000}"/>
    <cellStyle name="Normal 11 2 2 2 2 2 5" xfId="9503" xr:uid="{00000000-0005-0000-0000-000078110000}"/>
    <cellStyle name="Normal 11 2 2 2 2 2 5 2" xfId="21851" xr:uid="{00000000-0005-0000-0000-000079110000}"/>
    <cellStyle name="Normal 11 2 2 2 2 2 6" xfId="15625" xr:uid="{00000000-0005-0000-0000-00007A110000}"/>
    <cellStyle name="Normal 11 2 2 2 2 3" xfId="3214" xr:uid="{00000000-0005-0000-0000-00007B110000}"/>
    <cellStyle name="Normal 11 2 2 2 2 3 2" xfId="3215" xr:uid="{00000000-0005-0000-0000-00007C110000}"/>
    <cellStyle name="Normal 11 2 2 2 2 3 2 2" xfId="9510" xr:uid="{00000000-0005-0000-0000-00007D110000}"/>
    <cellStyle name="Normal 11 2 2 2 2 3 2 2 2" xfId="21858" xr:uid="{00000000-0005-0000-0000-00007E110000}"/>
    <cellStyle name="Normal 11 2 2 2 2 3 2 3" xfId="15632" xr:uid="{00000000-0005-0000-0000-00007F110000}"/>
    <cellStyle name="Normal 11 2 2 2 2 3 3" xfId="9509" xr:uid="{00000000-0005-0000-0000-000080110000}"/>
    <cellStyle name="Normal 11 2 2 2 2 3 3 2" xfId="21857" xr:uid="{00000000-0005-0000-0000-000081110000}"/>
    <cellStyle name="Normal 11 2 2 2 2 3 4" xfId="15631" xr:uid="{00000000-0005-0000-0000-000082110000}"/>
    <cellStyle name="Normal 11 2 2 2 2 4" xfId="3216" xr:uid="{00000000-0005-0000-0000-000083110000}"/>
    <cellStyle name="Normal 11 2 2 2 2 4 2" xfId="3217" xr:uid="{00000000-0005-0000-0000-000084110000}"/>
    <cellStyle name="Normal 11 2 2 2 2 4 2 2" xfId="9512" xr:uid="{00000000-0005-0000-0000-000085110000}"/>
    <cellStyle name="Normal 11 2 2 2 2 4 2 2 2" xfId="21860" xr:uid="{00000000-0005-0000-0000-000086110000}"/>
    <cellStyle name="Normal 11 2 2 2 2 4 2 3" xfId="15634" xr:uid="{00000000-0005-0000-0000-000087110000}"/>
    <cellStyle name="Normal 11 2 2 2 2 4 3" xfId="9511" xr:uid="{00000000-0005-0000-0000-000088110000}"/>
    <cellStyle name="Normal 11 2 2 2 2 4 3 2" xfId="21859" xr:uid="{00000000-0005-0000-0000-000089110000}"/>
    <cellStyle name="Normal 11 2 2 2 2 4 4" xfId="15633" xr:uid="{00000000-0005-0000-0000-00008A110000}"/>
    <cellStyle name="Normal 11 2 2 2 2 5" xfId="3218" xr:uid="{00000000-0005-0000-0000-00008B110000}"/>
    <cellStyle name="Normal 11 2 2 2 2 5 2" xfId="9513" xr:uid="{00000000-0005-0000-0000-00008C110000}"/>
    <cellStyle name="Normal 11 2 2 2 2 5 2 2" xfId="21861" xr:uid="{00000000-0005-0000-0000-00008D110000}"/>
    <cellStyle name="Normal 11 2 2 2 2 5 3" xfId="15635" xr:uid="{00000000-0005-0000-0000-00008E110000}"/>
    <cellStyle name="Normal 11 2 2 2 2 6" xfId="9502" xr:uid="{00000000-0005-0000-0000-00008F110000}"/>
    <cellStyle name="Normal 11 2 2 2 2 6 2" xfId="21850" xr:uid="{00000000-0005-0000-0000-000090110000}"/>
    <cellStyle name="Normal 11 2 2 2 2 7" xfId="15624" xr:uid="{00000000-0005-0000-0000-000091110000}"/>
    <cellStyle name="Normal 11 2 2 2 3" xfId="3219" xr:uid="{00000000-0005-0000-0000-000092110000}"/>
    <cellStyle name="Normal 11 2 2 2 3 2" xfId="3220" xr:uid="{00000000-0005-0000-0000-000093110000}"/>
    <cellStyle name="Normal 11 2 2 2 3 2 2" xfId="3221" xr:uid="{00000000-0005-0000-0000-000094110000}"/>
    <cellStyle name="Normal 11 2 2 2 3 2 2 2" xfId="9516" xr:uid="{00000000-0005-0000-0000-000095110000}"/>
    <cellStyle name="Normal 11 2 2 2 3 2 2 2 2" xfId="21864" xr:uid="{00000000-0005-0000-0000-000096110000}"/>
    <cellStyle name="Normal 11 2 2 2 3 2 2 3" xfId="15638" xr:uid="{00000000-0005-0000-0000-000097110000}"/>
    <cellStyle name="Normal 11 2 2 2 3 2 3" xfId="9515" xr:uid="{00000000-0005-0000-0000-000098110000}"/>
    <cellStyle name="Normal 11 2 2 2 3 2 3 2" xfId="21863" xr:uid="{00000000-0005-0000-0000-000099110000}"/>
    <cellStyle name="Normal 11 2 2 2 3 2 4" xfId="15637" xr:uid="{00000000-0005-0000-0000-00009A110000}"/>
    <cellStyle name="Normal 11 2 2 2 3 3" xfId="3222" xr:uid="{00000000-0005-0000-0000-00009B110000}"/>
    <cellStyle name="Normal 11 2 2 2 3 3 2" xfId="3223" xr:uid="{00000000-0005-0000-0000-00009C110000}"/>
    <cellStyle name="Normal 11 2 2 2 3 3 2 2" xfId="9518" xr:uid="{00000000-0005-0000-0000-00009D110000}"/>
    <cellStyle name="Normal 11 2 2 2 3 3 2 2 2" xfId="21866" xr:uid="{00000000-0005-0000-0000-00009E110000}"/>
    <cellStyle name="Normal 11 2 2 2 3 3 2 3" xfId="15640" xr:uid="{00000000-0005-0000-0000-00009F110000}"/>
    <cellStyle name="Normal 11 2 2 2 3 3 3" xfId="9517" xr:uid="{00000000-0005-0000-0000-0000A0110000}"/>
    <cellStyle name="Normal 11 2 2 2 3 3 3 2" xfId="21865" xr:uid="{00000000-0005-0000-0000-0000A1110000}"/>
    <cellStyle name="Normal 11 2 2 2 3 3 4" xfId="15639" xr:uid="{00000000-0005-0000-0000-0000A2110000}"/>
    <cellStyle name="Normal 11 2 2 2 3 4" xfId="3224" xr:uid="{00000000-0005-0000-0000-0000A3110000}"/>
    <cellStyle name="Normal 11 2 2 2 3 4 2" xfId="9519" xr:uid="{00000000-0005-0000-0000-0000A4110000}"/>
    <cellStyle name="Normal 11 2 2 2 3 4 2 2" xfId="21867" xr:uid="{00000000-0005-0000-0000-0000A5110000}"/>
    <cellStyle name="Normal 11 2 2 2 3 4 3" xfId="15641" xr:uid="{00000000-0005-0000-0000-0000A6110000}"/>
    <cellStyle name="Normal 11 2 2 2 3 5" xfId="9514" xr:uid="{00000000-0005-0000-0000-0000A7110000}"/>
    <cellStyle name="Normal 11 2 2 2 3 5 2" xfId="21862" xr:uid="{00000000-0005-0000-0000-0000A8110000}"/>
    <cellStyle name="Normal 11 2 2 2 3 6" xfId="15636" xr:uid="{00000000-0005-0000-0000-0000A9110000}"/>
    <cellStyle name="Normal 11 2 2 2 4" xfId="3225" xr:uid="{00000000-0005-0000-0000-0000AA110000}"/>
    <cellStyle name="Normal 11 2 2 2 4 2" xfId="3226" xr:uid="{00000000-0005-0000-0000-0000AB110000}"/>
    <cellStyle name="Normal 11 2 2 2 4 2 2" xfId="9521" xr:uid="{00000000-0005-0000-0000-0000AC110000}"/>
    <cellStyle name="Normal 11 2 2 2 4 2 2 2" xfId="21869" xr:uid="{00000000-0005-0000-0000-0000AD110000}"/>
    <cellStyle name="Normal 11 2 2 2 4 2 3" xfId="15643" xr:uid="{00000000-0005-0000-0000-0000AE110000}"/>
    <cellStyle name="Normal 11 2 2 2 4 3" xfId="9520" xr:uid="{00000000-0005-0000-0000-0000AF110000}"/>
    <cellStyle name="Normal 11 2 2 2 4 3 2" xfId="21868" xr:uid="{00000000-0005-0000-0000-0000B0110000}"/>
    <cellStyle name="Normal 11 2 2 2 4 4" xfId="15642" xr:uid="{00000000-0005-0000-0000-0000B1110000}"/>
    <cellStyle name="Normal 11 2 2 2 5" xfId="3227" xr:uid="{00000000-0005-0000-0000-0000B2110000}"/>
    <cellStyle name="Normal 11 2 2 2 5 2" xfId="3228" xr:uid="{00000000-0005-0000-0000-0000B3110000}"/>
    <cellStyle name="Normal 11 2 2 2 5 2 2" xfId="9523" xr:uid="{00000000-0005-0000-0000-0000B4110000}"/>
    <cellStyle name="Normal 11 2 2 2 5 2 2 2" xfId="21871" xr:uid="{00000000-0005-0000-0000-0000B5110000}"/>
    <cellStyle name="Normal 11 2 2 2 5 2 3" xfId="15645" xr:uid="{00000000-0005-0000-0000-0000B6110000}"/>
    <cellStyle name="Normal 11 2 2 2 5 3" xfId="9522" xr:uid="{00000000-0005-0000-0000-0000B7110000}"/>
    <cellStyle name="Normal 11 2 2 2 5 3 2" xfId="21870" xr:uid="{00000000-0005-0000-0000-0000B8110000}"/>
    <cellStyle name="Normal 11 2 2 2 5 4" xfId="15644" xr:uid="{00000000-0005-0000-0000-0000B9110000}"/>
    <cellStyle name="Normal 11 2 2 2 6" xfId="3229" xr:uid="{00000000-0005-0000-0000-0000BA110000}"/>
    <cellStyle name="Normal 11 2 2 2 6 2" xfId="9524" xr:uid="{00000000-0005-0000-0000-0000BB110000}"/>
    <cellStyle name="Normal 11 2 2 2 6 2 2" xfId="21872" xr:uid="{00000000-0005-0000-0000-0000BC110000}"/>
    <cellStyle name="Normal 11 2 2 2 6 3" xfId="15646" xr:uid="{00000000-0005-0000-0000-0000BD110000}"/>
    <cellStyle name="Normal 11 2 2 3" xfId="3230" xr:uid="{00000000-0005-0000-0000-0000BE110000}"/>
    <cellStyle name="Normal 11 2 2 3 2" xfId="3231" xr:uid="{00000000-0005-0000-0000-0000BF110000}"/>
    <cellStyle name="Normal 11 2 2 3 2 2" xfId="3232" xr:uid="{00000000-0005-0000-0000-0000C0110000}"/>
    <cellStyle name="Normal 11 2 2 3 2 2 2" xfId="3233" xr:uid="{00000000-0005-0000-0000-0000C1110000}"/>
    <cellStyle name="Normal 11 2 2 3 2 2 2 2" xfId="9528" xr:uid="{00000000-0005-0000-0000-0000C2110000}"/>
    <cellStyle name="Normal 11 2 2 3 2 2 2 2 2" xfId="21876" xr:uid="{00000000-0005-0000-0000-0000C3110000}"/>
    <cellStyle name="Normal 11 2 2 3 2 2 2 3" xfId="15650" xr:uid="{00000000-0005-0000-0000-0000C4110000}"/>
    <cellStyle name="Normal 11 2 2 3 2 2 3" xfId="9527" xr:uid="{00000000-0005-0000-0000-0000C5110000}"/>
    <cellStyle name="Normal 11 2 2 3 2 2 3 2" xfId="21875" xr:uid="{00000000-0005-0000-0000-0000C6110000}"/>
    <cellStyle name="Normal 11 2 2 3 2 2 4" xfId="15649" xr:uid="{00000000-0005-0000-0000-0000C7110000}"/>
    <cellStyle name="Normal 11 2 2 3 2 3" xfId="3234" xr:uid="{00000000-0005-0000-0000-0000C8110000}"/>
    <cellStyle name="Normal 11 2 2 3 2 3 2" xfId="3235" xr:uid="{00000000-0005-0000-0000-0000C9110000}"/>
    <cellStyle name="Normal 11 2 2 3 2 3 2 2" xfId="9530" xr:uid="{00000000-0005-0000-0000-0000CA110000}"/>
    <cellStyle name="Normal 11 2 2 3 2 3 2 2 2" xfId="21878" xr:uid="{00000000-0005-0000-0000-0000CB110000}"/>
    <cellStyle name="Normal 11 2 2 3 2 3 2 3" xfId="15652" xr:uid="{00000000-0005-0000-0000-0000CC110000}"/>
    <cellStyle name="Normal 11 2 2 3 2 3 3" xfId="9529" xr:uid="{00000000-0005-0000-0000-0000CD110000}"/>
    <cellStyle name="Normal 11 2 2 3 2 3 3 2" xfId="21877" xr:uid="{00000000-0005-0000-0000-0000CE110000}"/>
    <cellStyle name="Normal 11 2 2 3 2 3 4" xfId="15651" xr:uid="{00000000-0005-0000-0000-0000CF110000}"/>
    <cellStyle name="Normal 11 2 2 3 2 4" xfId="3236" xr:uid="{00000000-0005-0000-0000-0000D0110000}"/>
    <cellStyle name="Normal 11 2 2 3 2 4 2" xfId="9531" xr:uid="{00000000-0005-0000-0000-0000D1110000}"/>
    <cellStyle name="Normal 11 2 2 3 2 4 2 2" xfId="21879" xr:uid="{00000000-0005-0000-0000-0000D2110000}"/>
    <cellStyle name="Normal 11 2 2 3 2 4 3" xfId="15653" xr:uid="{00000000-0005-0000-0000-0000D3110000}"/>
    <cellStyle name="Normal 11 2 2 3 2 5" xfId="9526" xr:uid="{00000000-0005-0000-0000-0000D4110000}"/>
    <cellStyle name="Normal 11 2 2 3 2 5 2" xfId="21874" xr:uid="{00000000-0005-0000-0000-0000D5110000}"/>
    <cellStyle name="Normal 11 2 2 3 2 6" xfId="15648" xr:uid="{00000000-0005-0000-0000-0000D6110000}"/>
    <cellStyle name="Normal 11 2 2 3 3" xfId="3237" xr:uid="{00000000-0005-0000-0000-0000D7110000}"/>
    <cellStyle name="Normal 11 2 2 3 3 2" xfId="3238" xr:uid="{00000000-0005-0000-0000-0000D8110000}"/>
    <cellStyle name="Normal 11 2 2 3 3 2 2" xfId="9533" xr:uid="{00000000-0005-0000-0000-0000D9110000}"/>
    <cellStyle name="Normal 11 2 2 3 3 2 2 2" xfId="21881" xr:uid="{00000000-0005-0000-0000-0000DA110000}"/>
    <cellStyle name="Normal 11 2 2 3 3 2 3" xfId="15655" xr:uid="{00000000-0005-0000-0000-0000DB110000}"/>
    <cellStyle name="Normal 11 2 2 3 3 3" xfId="9532" xr:uid="{00000000-0005-0000-0000-0000DC110000}"/>
    <cellStyle name="Normal 11 2 2 3 3 3 2" xfId="21880" xr:uid="{00000000-0005-0000-0000-0000DD110000}"/>
    <cellStyle name="Normal 11 2 2 3 3 4" xfId="15654" xr:uid="{00000000-0005-0000-0000-0000DE110000}"/>
    <cellStyle name="Normal 11 2 2 3 4" xfId="3239" xr:uid="{00000000-0005-0000-0000-0000DF110000}"/>
    <cellStyle name="Normal 11 2 2 3 4 2" xfId="3240" xr:uid="{00000000-0005-0000-0000-0000E0110000}"/>
    <cellStyle name="Normal 11 2 2 3 4 2 2" xfId="9535" xr:uid="{00000000-0005-0000-0000-0000E1110000}"/>
    <cellStyle name="Normal 11 2 2 3 4 2 2 2" xfId="21883" xr:uid="{00000000-0005-0000-0000-0000E2110000}"/>
    <cellStyle name="Normal 11 2 2 3 4 2 3" xfId="15657" xr:uid="{00000000-0005-0000-0000-0000E3110000}"/>
    <cellStyle name="Normal 11 2 2 3 4 3" xfId="9534" xr:uid="{00000000-0005-0000-0000-0000E4110000}"/>
    <cellStyle name="Normal 11 2 2 3 4 3 2" xfId="21882" xr:uid="{00000000-0005-0000-0000-0000E5110000}"/>
    <cellStyle name="Normal 11 2 2 3 4 4" xfId="15656" xr:uid="{00000000-0005-0000-0000-0000E6110000}"/>
    <cellStyle name="Normal 11 2 2 3 5" xfId="3241" xr:uid="{00000000-0005-0000-0000-0000E7110000}"/>
    <cellStyle name="Normal 11 2 2 3 5 2" xfId="9536" xr:uid="{00000000-0005-0000-0000-0000E8110000}"/>
    <cellStyle name="Normal 11 2 2 3 5 2 2" xfId="21884" xr:uid="{00000000-0005-0000-0000-0000E9110000}"/>
    <cellStyle name="Normal 11 2 2 3 5 3" xfId="15658" xr:uid="{00000000-0005-0000-0000-0000EA110000}"/>
    <cellStyle name="Normal 11 2 2 3 6" xfId="9525" xr:uid="{00000000-0005-0000-0000-0000EB110000}"/>
    <cellStyle name="Normal 11 2 2 3 6 2" xfId="21873" xr:uid="{00000000-0005-0000-0000-0000EC110000}"/>
    <cellStyle name="Normal 11 2 2 3 7" xfId="15647" xr:uid="{00000000-0005-0000-0000-0000ED110000}"/>
    <cellStyle name="Normal 11 2 2 4" xfId="3242" xr:uid="{00000000-0005-0000-0000-0000EE110000}"/>
    <cellStyle name="Normal 11 2 2 4 2" xfId="3243" xr:uid="{00000000-0005-0000-0000-0000EF110000}"/>
    <cellStyle name="Normal 11 2 2 4 2 2" xfId="3244" xr:uid="{00000000-0005-0000-0000-0000F0110000}"/>
    <cellStyle name="Normal 11 2 2 4 2 2 2" xfId="9539" xr:uid="{00000000-0005-0000-0000-0000F1110000}"/>
    <cellStyle name="Normal 11 2 2 4 2 2 2 2" xfId="21887" xr:uid="{00000000-0005-0000-0000-0000F2110000}"/>
    <cellStyle name="Normal 11 2 2 4 2 2 3" xfId="15661" xr:uid="{00000000-0005-0000-0000-0000F3110000}"/>
    <cellStyle name="Normal 11 2 2 4 2 3" xfId="9538" xr:uid="{00000000-0005-0000-0000-0000F4110000}"/>
    <cellStyle name="Normal 11 2 2 4 2 3 2" xfId="21886" xr:uid="{00000000-0005-0000-0000-0000F5110000}"/>
    <cellStyle name="Normal 11 2 2 4 2 4" xfId="15660" xr:uid="{00000000-0005-0000-0000-0000F6110000}"/>
    <cellStyle name="Normal 11 2 2 4 3" xfId="3245" xr:uid="{00000000-0005-0000-0000-0000F7110000}"/>
    <cellStyle name="Normal 11 2 2 4 3 2" xfId="3246" xr:uid="{00000000-0005-0000-0000-0000F8110000}"/>
    <cellStyle name="Normal 11 2 2 4 3 2 2" xfId="9541" xr:uid="{00000000-0005-0000-0000-0000F9110000}"/>
    <cellStyle name="Normal 11 2 2 4 3 2 2 2" xfId="21889" xr:uid="{00000000-0005-0000-0000-0000FA110000}"/>
    <cellStyle name="Normal 11 2 2 4 3 2 3" xfId="15663" xr:uid="{00000000-0005-0000-0000-0000FB110000}"/>
    <cellStyle name="Normal 11 2 2 4 3 3" xfId="9540" xr:uid="{00000000-0005-0000-0000-0000FC110000}"/>
    <cellStyle name="Normal 11 2 2 4 3 3 2" xfId="21888" xr:uid="{00000000-0005-0000-0000-0000FD110000}"/>
    <cellStyle name="Normal 11 2 2 4 3 4" xfId="15662" xr:uid="{00000000-0005-0000-0000-0000FE110000}"/>
    <cellStyle name="Normal 11 2 2 4 4" xfId="3247" xr:uid="{00000000-0005-0000-0000-0000FF110000}"/>
    <cellStyle name="Normal 11 2 2 4 4 2" xfId="9542" xr:uid="{00000000-0005-0000-0000-000000120000}"/>
    <cellStyle name="Normal 11 2 2 4 4 2 2" xfId="21890" xr:uid="{00000000-0005-0000-0000-000001120000}"/>
    <cellStyle name="Normal 11 2 2 4 4 3" xfId="15664" xr:uid="{00000000-0005-0000-0000-000002120000}"/>
    <cellStyle name="Normal 11 2 2 4 5" xfId="9537" xr:uid="{00000000-0005-0000-0000-000003120000}"/>
    <cellStyle name="Normal 11 2 2 4 5 2" xfId="21885" xr:uid="{00000000-0005-0000-0000-000004120000}"/>
    <cellStyle name="Normal 11 2 2 4 6" xfId="15659" xr:uid="{00000000-0005-0000-0000-000005120000}"/>
    <cellStyle name="Normal 11 2 2 5" xfId="3248" xr:uid="{00000000-0005-0000-0000-000006120000}"/>
    <cellStyle name="Normal 11 2 2 5 2" xfId="3249" xr:uid="{00000000-0005-0000-0000-000007120000}"/>
    <cellStyle name="Normal 11 2 2 5 2 2" xfId="9544" xr:uid="{00000000-0005-0000-0000-000008120000}"/>
    <cellStyle name="Normal 11 2 2 5 2 2 2" xfId="21892" xr:uid="{00000000-0005-0000-0000-000009120000}"/>
    <cellStyle name="Normal 11 2 2 5 2 3" xfId="15666" xr:uid="{00000000-0005-0000-0000-00000A120000}"/>
    <cellStyle name="Normal 11 2 2 5 3" xfId="9543" xr:uid="{00000000-0005-0000-0000-00000B120000}"/>
    <cellStyle name="Normal 11 2 2 5 3 2" xfId="21891" xr:uid="{00000000-0005-0000-0000-00000C120000}"/>
    <cellStyle name="Normal 11 2 2 5 4" xfId="15665" xr:uid="{00000000-0005-0000-0000-00000D120000}"/>
    <cellStyle name="Normal 11 2 2 6" xfId="3250" xr:uid="{00000000-0005-0000-0000-00000E120000}"/>
    <cellStyle name="Normal 11 2 2 6 2" xfId="3251" xr:uid="{00000000-0005-0000-0000-00000F120000}"/>
    <cellStyle name="Normal 11 2 2 6 2 2" xfId="9546" xr:uid="{00000000-0005-0000-0000-000010120000}"/>
    <cellStyle name="Normal 11 2 2 6 2 2 2" xfId="21894" xr:uid="{00000000-0005-0000-0000-000011120000}"/>
    <cellStyle name="Normal 11 2 2 6 2 3" xfId="15668" xr:uid="{00000000-0005-0000-0000-000012120000}"/>
    <cellStyle name="Normal 11 2 2 6 3" xfId="9545" xr:uid="{00000000-0005-0000-0000-000013120000}"/>
    <cellStyle name="Normal 11 2 2 6 3 2" xfId="21893" xr:uid="{00000000-0005-0000-0000-000014120000}"/>
    <cellStyle name="Normal 11 2 2 6 4" xfId="15667" xr:uid="{00000000-0005-0000-0000-000015120000}"/>
    <cellStyle name="Normal 11 2 2 7" xfId="3252" xr:uid="{00000000-0005-0000-0000-000016120000}"/>
    <cellStyle name="Normal 11 2 2 7 2" xfId="9547" xr:uid="{00000000-0005-0000-0000-000017120000}"/>
    <cellStyle name="Normal 11 2 2 7 2 2" xfId="21895" xr:uid="{00000000-0005-0000-0000-000018120000}"/>
    <cellStyle name="Normal 11 2 2 7 3" xfId="15669" xr:uid="{00000000-0005-0000-0000-000019120000}"/>
    <cellStyle name="Normal 11 2 3" xfId="3253" xr:uid="{00000000-0005-0000-0000-00001A120000}"/>
    <cellStyle name="Normal 11 2 3 2" xfId="3254" xr:uid="{00000000-0005-0000-0000-00001B120000}"/>
    <cellStyle name="Normal 11 2 3 2 2" xfId="3255" xr:uid="{00000000-0005-0000-0000-00001C120000}"/>
    <cellStyle name="Normal 11 2 3 2 2 2" xfId="3256" xr:uid="{00000000-0005-0000-0000-00001D120000}"/>
    <cellStyle name="Normal 11 2 3 2 2 2 2" xfId="3257" xr:uid="{00000000-0005-0000-0000-00001E120000}"/>
    <cellStyle name="Normal 11 2 3 2 2 2 2 2" xfId="9551" xr:uid="{00000000-0005-0000-0000-00001F120000}"/>
    <cellStyle name="Normal 11 2 3 2 2 2 2 2 2" xfId="21899" xr:uid="{00000000-0005-0000-0000-000020120000}"/>
    <cellStyle name="Normal 11 2 3 2 2 2 2 3" xfId="15673" xr:uid="{00000000-0005-0000-0000-000021120000}"/>
    <cellStyle name="Normal 11 2 3 2 2 2 3" xfId="9550" xr:uid="{00000000-0005-0000-0000-000022120000}"/>
    <cellStyle name="Normal 11 2 3 2 2 2 3 2" xfId="21898" xr:uid="{00000000-0005-0000-0000-000023120000}"/>
    <cellStyle name="Normal 11 2 3 2 2 2 4" xfId="15672" xr:uid="{00000000-0005-0000-0000-000024120000}"/>
    <cellStyle name="Normal 11 2 3 2 2 3" xfId="3258" xr:uid="{00000000-0005-0000-0000-000025120000}"/>
    <cellStyle name="Normal 11 2 3 2 2 3 2" xfId="3259" xr:uid="{00000000-0005-0000-0000-000026120000}"/>
    <cellStyle name="Normal 11 2 3 2 2 3 2 2" xfId="9553" xr:uid="{00000000-0005-0000-0000-000027120000}"/>
    <cellStyle name="Normal 11 2 3 2 2 3 2 2 2" xfId="21901" xr:uid="{00000000-0005-0000-0000-000028120000}"/>
    <cellStyle name="Normal 11 2 3 2 2 3 2 3" xfId="15675" xr:uid="{00000000-0005-0000-0000-000029120000}"/>
    <cellStyle name="Normal 11 2 3 2 2 3 3" xfId="9552" xr:uid="{00000000-0005-0000-0000-00002A120000}"/>
    <cellStyle name="Normal 11 2 3 2 2 3 3 2" xfId="21900" xr:uid="{00000000-0005-0000-0000-00002B120000}"/>
    <cellStyle name="Normal 11 2 3 2 2 3 4" xfId="15674" xr:uid="{00000000-0005-0000-0000-00002C120000}"/>
    <cellStyle name="Normal 11 2 3 2 2 4" xfId="3260" xr:uid="{00000000-0005-0000-0000-00002D120000}"/>
    <cellStyle name="Normal 11 2 3 2 2 4 2" xfId="9554" xr:uid="{00000000-0005-0000-0000-00002E120000}"/>
    <cellStyle name="Normal 11 2 3 2 2 4 2 2" xfId="21902" xr:uid="{00000000-0005-0000-0000-00002F120000}"/>
    <cellStyle name="Normal 11 2 3 2 2 4 3" xfId="15676" xr:uid="{00000000-0005-0000-0000-000030120000}"/>
    <cellStyle name="Normal 11 2 3 2 2 5" xfId="9549" xr:uid="{00000000-0005-0000-0000-000031120000}"/>
    <cellStyle name="Normal 11 2 3 2 2 5 2" xfId="21897" xr:uid="{00000000-0005-0000-0000-000032120000}"/>
    <cellStyle name="Normal 11 2 3 2 2 6" xfId="15671" xr:uid="{00000000-0005-0000-0000-000033120000}"/>
    <cellStyle name="Normal 11 2 3 2 3" xfId="3261" xr:uid="{00000000-0005-0000-0000-000034120000}"/>
    <cellStyle name="Normal 11 2 3 2 3 2" xfId="3262" xr:uid="{00000000-0005-0000-0000-000035120000}"/>
    <cellStyle name="Normal 11 2 3 2 3 2 2" xfId="9556" xr:uid="{00000000-0005-0000-0000-000036120000}"/>
    <cellStyle name="Normal 11 2 3 2 3 2 2 2" xfId="21904" xr:uid="{00000000-0005-0000-0000-000037120000}"/>
    <cellStyle name="Normal 11 2 3 2 3 2 3" xfId="15678" xr:uid="{00000000-0005-0000-0000-000038120000}"/>
    <cellStyle name="Normal 11 2 3 2 3 3" xfId="9555" xr:uid="{00000000-0005-0000-0000-000039120000}"/>
    <cellStyle name="Normal 11 2 3 2 3 3 2" xfId="21903" xr:uid="{00000000-0005-0000-0000-00003A120000}"/>
    <cellStyle name="Normal 11 2 3 2 3 4" xfId="15677" xr:uid="{00000000-0005-0000-0000-00003B120000}"/>
    <cellStyle name="Normal 11 2 3 2 4" xfId="3263" xr:uid="{00000000-0005-0000-0000-00003C120000}"/>
    <cellStyle name="Normal 11 2 3 2 4 2" xfId="3264" xr:uid="{00000000-0005-0000-0000-00003D120000}"/>
    <cellStyle name="Normal 11 2 3 2 4 2 2" xfId="9558" xr:uid="{00000000-0005-0000-0000-00003E120000}"/>
    <cellStyle name="Normal 11 2 3 2 4 2 2 2" xfId="21906" xr:uid="{00000000-0005-0000-0000-00003F120000}"/>
    <cellStyle name="Normal 11 2 3 2 4 2 3" xfId="15680" xr:uid="{00000000-0005-0000-0000-000040120000}"/>
    <cellStyle name="Normal 11 2 3 2 4 3" xfId="9557" xr:uid="{00000000-0005-0000-0000-000041120000}"/>
    <cellStyle name="Normal 11 2 3 2 4 3 2" xfId="21905" xr:uid="{00000000-0005-0000-0000-000042120000}"/>
    <cellStyle name="Normal 11 2 3 2 4 4" xfId="15679" xr:uid="{00000000-0005-0000-0000-000043120000}"/>
    <cellStyle name="Normal 11 2 3 2 5" xfId="3265" xr:uid="{00000000-0005-0000-0000-000044120000}"/>
    <cellStyle name="Normal 11 2 3 2 5 2" xfId="9559" xr:uid="{00000000-0005-0000-0000-000045120000}"/>
    <cellStyle name="Normal 11 2 3 2 5 2 2" xfId="21907" xr:uid="{00000000-0005-0000-0000-000046120000}"/>
    <cellStyle name="Normal 11 2 3 2 5 3" xfId="15681" xr:uid="{00000000-0005-0000-0000-000047120000}"/>
    <cellStyle name="Normal 11 2 3 2 6" xfId="9548" xr:uid="{00000000-0005-0000-0000-000048120000}"/>
    <cellStyle name="Normal 11 2 3 2 6 2" xfId="21896" xr:uid="{00000000-0005-0000-0000-000049120000}"/>
    <cellStyle name="Normal 11 2 3 2 7" xfId="15670" xr:uid="{00000000-0005-0000-0000-00004A120000}"/>
    <cellStyle name="Normal 11 2 3 3" xfId="3266" xr:uid="{00000000-0005-0000-0000-00004B120000}"/>
    <cellStyle name="Normal 11 2 3 3 2" xfId="3267" xr:uid="{00000000-0005-0000-0000-00004C120000}"/>
    <cellStyle name="Normal 11 2 3 3 2 2" xfId="3268" xr:uid="{00000000-0005-0000-0000-00004D120000}"/>
    <cellStyle name="Normal 11 2 3 3 2 2 2" xfId="9562" xr:uid="{00000000-0005-0000-0000-00004E120000}"/>
    <cellStyle name="Normal 11 2 3 3 2 2 2 2" xfId="21910" xr:uid="{00000000-0005-0000-0000-00004F120000}"/>
    <cellStyle name="Normal 11 2 3 3 2 2 3" xfId="15684" xr:uid="{00000000-0005-0000-0000-000050120000}"/>
    <cellStyle name="Normal 11 2 3 3 2 3" xfId="9561" xr:uid="{00000000-0005-0000-0000-000051120000}"/>
    <cellStyle name="Normal 11 2 3 3 2 3 2" xfId="21909" xr:uid="{00000000-0005-0000-0000-000052120000}"/>
    <cellStyle name="Normal 11 2 3 3 2 4" xfId="15683" xr:uid="{00000000-0005-0000-0000-000053120000}"/>
    <cellStyle name="Normal 11 2 3 3 3" xfId="3269" xr:uid="{00000000-0005-0000-0000-000054120000}"/>
    <cellStyle name="Normal 11 2 3 3 3 2" xfId="3270" xr:uid="{00000000-0005-0000-0000-000055120000}"/>
    <cellStyle name="Normal 11 2 3 3 3 2 2" xfId="9564" xr:uid="{00000000-0005-0000-0000-000056120000}"/>
    <cellStyle name="Normal 11 2 3 3 3 2 2 2" xfId="21912" xr:uid="{00000000-0005-0000-0000-000057120000}"/>
    <cellStyle name="Normal 11 2 3 3 3 2 3" xfId="15686" xr:uid="{00000000-0005-0000-0000-000058120000}"/>
    <cellStyle name="Normal 11 2 3 3 3 3" xfId="9563" xr:uid="{00000000-0005-0000-0000-000059120000}"/>
    <cellStyle name="Normal 11 2 3 3 3 3 2" xfId="21911" xr:uid="{00000000-0005-0000-0000-00005A120000}"/>
    <cellStyle name="Normal 11 2 3 3 3 4" xfId="15685" xr:uid="{00000000-0005-0000-0000-00005B120000}"/>
    <cellStyle name="Normal 11 2 3 3 4" xfId="3271" xr:uid="{00000000-0005-0000-0000-00005C120000}"/>
    <cellStyle name="Normal 11 2 3 3 4 2" xfId="9565" xr:uid="{00000000-0005-0000-0000-00005D120000}"/>
    <cellStyle name="Normal 11 2 3 3 4 2 2" xfId="21913" xr:uid="{00000000-0005-0000-0000-00005E120000}"/>
    <cellStyle name="Normal 11 2 3 3 4 3" xfId="15687" xr:uid="{00000000-0005-0000-0000-00005F120000}"/>
    <cellStyle name="Normal 11 2 3 3 5" xfId="9560" xr:uid="{00000000-0005-0000-0000-000060120000}"/>
    <cellStyle name="Normal 11 2 3 3 5 2" xfId="21908" xr:uid="{00000000-0005-0000-0000-000061120000}"/>
    <cellStyle name="Normal 11 2 3 3 6" xfId="15682" xr:uid="{00000000-0005-0000-0000-000062120000}"/>
    <cellStyle name="Normal 11 2 3 4" xfId="3272" xr:uid="{00000000-0005-0000-0000-000063120000}"/>
    <cellStyle name="Normal 11 2 3 4 2" xfId="3273" xr:uid="{00000000-0005-0000-0000-000064120000}"/>
    <cellStyle name="Normal 11 2 3 4 2 2" xfId="9567" xr:uid="{00000000-0005-0000-0000-000065120000}"/>
    <cellStyle name="Normal 11 2 3 4 2 2 2" xfId="21915" xr:uid="{00000000-0005-0000-0000-000066120000}"/>
    <cellStyle name="Normal 11 2 3 4 2 3" xfId="15689" xr:uid="{00000000-0005-0000-0000-000067120000}"/>
    <cellStyle name="Normal 11 2 3 4 3" xfId="9566" xr:uid="{00000000-0005-0000-0000-000068120000}"/>
    <cellStyle name="Normal 11 2 3 4 3 2" xfId="21914" xr:uid="{00000000-0005-0000-0000-000069120000}"/>
    <cellStyle name="Normal 11 2 3 4 4" xfId="15688" xr:uid="{00000000-0005-0000-0000-00006A120000}"/>
    <cellStyle name="Normal 11 2 3 5" xfId="3274" xr:uid="{00000000-0005-0000-0000-00006B120000}"/>
    <cellStyle name="Normal 11 2 3 5 2" xfId="3275" xr:uid="{00000000-0005-0000-0000-00006C120000}"/>
    <cellStyle name="Normal 11 2 3 5 2 2" xfId="9569" xr:uid="{00000000-0005-0000-0000-00006D120000}"/>
    <cellStyle name="Normal 11 2 3 5 2 2 2" xfId="21917" xr:uid="{00000000-0005-0000-0000-00006E120000}"/>
    <cellStyle name="Normal 11 2 3 5 2 3" xfId="15691" xr:uid="{00000000-0005-0000-0000-00006F120000}"/>
    <cellStyle name="Normal 11 2 3 5 3" xfId="9568" xr:uid="{00000000-0005-0000-0000-000070120000}"/>
    <cellStyle name="Normal 11 2 3 5 3 2" xfId="21916" xr:uid="{00000000-0005-0000-0000-000071120000}"/>
    <cellStyle name="Normal 11 2 3 5 4" xfId="15690" xr:uid="{00000000-0005-0000-0000-000072120000}"/>
    <cellStyle name="Normal 11 2 3 6" xfId="3276" xr:uid="{00000000-0005-0000-0000-000073120000}"/>
    <cellStyle name="Normal 11 2 3 6 2" xfId="9570" xr:uid="{00000000-0005-0000-0000-000074120000}"/>
    <cellStyle name="Normal 11 2 3 6 2 2" xfId="21918" xr:uid="{00000000-0005-0000-0000-000075120000}"/>
    <cellStyle name="Normal 11 2 3 6 3" xfId="15692" xr:uid="{00000000-0005-0000-0000-000076120000}"/>
    <cellStyle name="Normal 11 2 4" xfId="3277" xr:uid="{00000000-0005-0000-0000-000077120000}"/>
    <cellStyle name="Normal 11 2 4 2" xfId="3278" xr:uid="{00000000-0005-0000-0000-000078120000}"/>
    <cellStyle name="Normal 11 2 4 2 2" xfId="3279" xr:uid="{00000000-0005-0000-0000-000079120000}"/>
    <cellStyle name="Normal 11 2 4 2 2 2" xfId="3280" xr:uid="{00000000-0005-0000-0000-00007A120000}"/>
    <cellStyle name="Normal 11 2 4 2 2 2 2" xfId="9574" xr:uid="{00000000-0005-0000-0000-00007B120000}"/>
    <cellStyle name="Normal 11 2 4 2 2 2 2 2" xfId="21922" xr:uid="{00000000-0005-0000-0000-00007C120000}"/>
    <cellStyle name="Normal 11 2 4 2 2 2 3" xfId="15696" xr:uid="{00000000-0005-0000-0000-00007D120000}"/>
    <cellStyle name="Normal 11 2 4 2 2 3" xfId="9573" xr:uid="{00000000-0005-0000-0000-00007E120000}"/>
    <cellStyle name="Normal 11 2 4 2 2 3 2" xfId="21921" xr:uid="{00000000-0005-0000-0000-00007F120000}"/>
    <cellStyle name="Normal 11 2 4 2 2 4" xfId="15695" xr:uid="{00000000-0005-0000-0000-000080120000}"/>
    <cellStyle name="Normal 11 2 4 2 3" xfId="3281" xr:uid="{00000000-0005-0000-0000-000081120000}"/>
    <cellStyle name="Normal 11 2 4 2 3 2" xfId="3282" xr:uid="{00000000-0005-0000-0000-000082120000}"/>
    <cellStyle name="Normal 11 2 4 2 3 2 2" xfId="9576" xr:uid="{00000000-0005-0000-0000-000083120000}"/>
    <cellStyle name="Normal 11 2 4 2 3 2 2 2" xfId="21924" xr:uid="{00000000-0005-0000-0000-000084120000}"/>
    <cellStyle name="Normal 11 2 4 2 3 2 3" xfId="15698" xr:uid="{00000000-0005-0000-0000-000085120000}"/>
    <cellStyle name="Normal 11 2 4 2 3 3" xfId="9575" xr:uid="{00000000-0005-0000-0000-000086120000}"/>
    <cellStyle name="Normal 11 2 4 2 3 3 2" xfId="21923" xr:uid="{00000000-0005-0000-0000-000087120000}"/>
    <cellStyle name="Normal 11 2 4 2 3 4" xfId="15697" xr:uid="{00000000-0005-0000-0000-000088120000}"/>
    <cellStyle name="Normal 11 2 4 2 4" xfId="3283" xr:uid="{00000000-0005-0000-0000-000089120000}"/>
    <cellStyle name="Normal 11 2 4 2 4 2" xfId="9577" xr:uid="{00000000-0005-0000-0000-00008A120000}"/>
    <cellStyle name="Normal 11 2 4 2 4 2 2" xfId="21925" xr:uid="{00000000-0005-0000-0000-00008B120000}"/>
    <cellStyle name="Normal 11 2 4 2 4 3" xfId="15699" xr:uid="{00000000-0005-0000-0000-00008C120000}"/>
    <cellStyle name="Normal 11 2 4 2 5" xfId="9572" xr:uid="{00000000-0005-0000-0000-00008D120000}"/>
    <cellStyle name="Normal 11 2 4 2 5 2" xfId="21920" xr:uid="{00000000-0005-0000-0000-00008E120000}"/>
    <cellStyle name="Normal 11 2 4 2 6" xfId="15694" xr:uid="{00000000-0005-0000-0000-00008F120000}"/>
    <cellStyle name="Normal 11 2 4 3" xfId="3284" xr:uid="{00000000-0005-0000-0000-000090120000}"/>
    <cellStyle name="Normal 11 2 4 3 2" xfId="3285" xr:uid="{00000000-0005-0000-0000-000091120000}"/>
    <cellStyle name="Normal 11 2 4 3 2 2" xfId="9579" xr:uid="{00000000-0005-0000-0000-000092120000}"/>
    <cellStyle name="Normal 11 2 4 3 2 2 2" xfId="21927" xr:uid="{00000000-0005-0000-0000-000093120000}"/>
    <cellStyle name="Normal 11 2 4 3 2 3" xfId="15701" xr:uid="{00000000-0005-0000-0000-000094120000}"/>
    <cellStyle name="Normal 11 2 4 3 3" xfId="9578" xr:uid="{00000000-0005-0000-0000-000095120000}"/>
    <cellStyle name="Normal 11 2 4 3 3 2" xfId="21926" xr:uid="{00000000-0005-0000-0000-000096120000}"/>
    <cellStyle name="Normal 11 2 4 3 4" xfId="15700" xr:uid="{00000000-0005-0000-0000-000097120000}"/>
    <cellStyle name="Normal 11 2 4 4" xfId="3286" xr:uid="{00000000-0005-0000-0000-000098120000}"/>
    <cellStyle name="Normal 11 2 4 4 2" xfId="3287" xr:uid="{00000000-0005-0000-0000-000099120000}"/>
    <cellStyle name="Normal 11 2 4 4 2 2" xfId="9581" xr:uid="{00000000-0005-0000-0000-00009A120000}"/>
    <cellStyle name="Normal 11 2 4 4 2 2 2" xfId="21929" xr:uid="{00000000-0005-0000-0000-00009B120000}"/>
    <cellStyle name="Normal 11 2 4 4 2 3" xfId="15703" xr:uid="{00000000-0005-0000-0000-00009C120000}"/>
    <cellStyle name="Normal 11 2 4 4 3" xfId="9580" xr:uid="{00000000-0005-0000-0000-00009D120000}"/>
    <cellStyle name="Normal 11 2 4 4 3 2" xfId="21928" xr:uid="{00000000-0005-0000-0000-00009E120000}"/>
    <cellStyle name="Normal 11 2 4 4 4" xfId="15702" xr:uid="{00000000-0005-0000-0000-00009F120000}"/>
    <cellStyle name="Normal 11 2 4 5" xfId="3288" xr:uid="{00000000-0005-0000-0000-0000A0120000}"/>
    <cellStyle name="Normal 11 2 4 5 2" xfId="9582" xr:uid="{00000000-0005-0000-0000-0000A1120000}"/>
    <cellStyle name="Normal 11 2 4 5 2 2" xfId="21930" xr:uid="{00000000-0005-0000-0000-0000A2120000}"/>
    <cellStyle name="Normal 11 2 4 5 3" xfId="15704" xr:uid="{00000000-0005-0000-0000-0000A3120000}"/>
    <cellStyle name="Normal 11 2 4 6" xfId="9571" xr:uid="{00000000-0005-0000-0000-0000A4120000}"/>
    <cellStyle name="Normal 11 2 4 6 2" xfId="21919" xr:uid="{00000000-0005-0000-0000-0000A5120000}"/>
    <cellStyle name="Normal 11 2 4 7" xfId="15693" xr:uid="{00000000-0005-0000-0000-0000A6120000}"/>
    <cellStyle name="Normal 11 2 5" xfId="3289" xr:uid="{00000000-0005-0000-0000-0000A7120000}"/>
    <cellStyle name="Normal 11 2 5 2" xfId="3290" xr:uid="{00000000-0005-0000-0000-0000A8120000}"/>
    <cellStyle name="Normal 11 2 5 2 2" xfId="3291" xr:uid="{00000000-0005-0000-0000-0000A9120000}"/>
    <cellStyle name="Normal 11 2 5 2 2 2" xfId="9585" xr:uid="{00000000-0005-0000-0000-0000AA120000}"/>
    <cellStyle name="Normal 11 2 5 2 2 2 2" xfId="21933" xr:uid="{00000000-0005-0000-0000-0000AB120000}"/>
    <cellStyle name="Normal 11 2 5 2 2 3" xfId="15707" xr:uid="{00000000-0005-0000-0000-0000AC120000}"/>
    <cellStyle name="Normal 11 2 5 2 3" xfId="9584" xr:uid="{00000000-0005-0000-0000-0000AD120000}"/>
    <cellStyle name="Normal 11 2 5 2 3 2" xfId="21932" xr:uid="{00000000-0005-0000-0000-0000AE120000}"/>
    <cellStyle name="Normal 11 2 5 2 4" xfId="15706" xr:uid="{00000000-0005-0000-0000-0000AF120000}"/>
    <cellStyle name="Normal 11 2 5 3" xfId="3292" xr:uid="{00000000-0005-0000-0000-0000B0120000}"/>
    <cellStyle name="Normal 11 2 5 3 2" xfId="3293" xr:uid="{00000000-0005-0000-0000-0000B1120000}"/>
    <cellStyle name="Normal 11 2 5 3 2 2" xfId="9587" xr:uid="{00000000-0005-0000-0000-0000B2120000}"/>
    <cellStyle name="Normal 11 2 5 3 2 2 2" xfId="21935" xr:uid="{00000000-0005-0000-0000-0000B3120000}"/>
    <cellStyle name="Normal 11 2 5 3 2 3" xfId="15709" xr:uid="{00000000-0005-0000-0000-0000B4120000}"/>
    <cellStyle name="Normal 11 2 5 3 3" xfId="9586" xr:uid="{00000000-0005-0000-0000-0000B5120000}"/>
    <cellStyle name="Normal 11 2 5 3 3 2" xfId="21934" xr:uid="{00000000-0005-0000-0000-0000B6120000}"/>
    <cellStyle name="Normal 11 2 5 3 4" xfId="15708" xr:uid="{00000000-0005-0000-0000-0000B7120000}"/>
    <cellStyle name="Normal 11 2 5 4" xfId="3294" xr:uid="{00000000-0005-0000-0000-0000B8120000}"/>
    <cellStyle name="Normal 11 2 5 4 2" xfId="9588" xr:uid="{00000000-0005-0000-0000-0000B9120000}"/>
    <cellStyle name="Normal 11 2 5 4 2 2" xfId="21936" xr:uid="{00000000-0005-0000-0000-0000BA120000}"/>
    <cellStyle name="Normal 11 2 5 4 3" xfId="15710" xr:uid="{00000000-0005-0000-0000-0000BB120000}"/>
    <cellStyle name="Normal 11 2 5 5" xfId="9583" xr:uid="{00000000-0005-0000-0000-0000BC120000}"/>
    <cellStyle name="Normal 11 2 5 5 2" xfId="21931" xr:uid="{00000000-0005-0000-0000-0000BD120000}"/>
    <cellStyle name="Normal 11 2 5 6" xfId="15705" xr:uid="{00000000-0005-0000-0000-0000BE120000}"/>
    <cellStyle name="Normal 11 2 6" xfId="3295" xr:uid="{00000000-0005-0000-0000-0000BF120000}"/>
    <cellStyle name="Normal 11 2 6 2" xfId="3296" xr:uid="{00000000-0005-0000-0000-0000C0120000}"/>
    <cellStyle name="Normal 11 2 6 2 2" xfId="9590" xr:uid="{00000000-0005-0000-0000-0000C1120000}"/>
    <cellStyle name="Normal 11 2 6 2 2 2" xfId="21938" xr:uid="{00000000-0005-0000-0000-0000C2120000}"/>
    <cellStyle name="Normal 11 2 6 2 3" xfId="15712" xr:uid="{00000000-0005-0000-0000-0000C3120000}"/>
    <cellStyle name="Normal 11 2 6 3" xfId="9589" xr:uid="{00000000-0005-0000-0000-0000C4120000}"/>
    <cellStyle name="Normal 11 2 6 3 2" xfId="21937" xr:uid="{00000000-0005-0000-0000-0000C5120000}"/>
    <cellStyle name="Normal 11 2 6 4" xfId="15711" xr:uid="{00000000-0005-0000-0000-0000C6120000}"/>
    <cellStyle name="Normal 11 2 7" xfId="3297" xr:uid="{00000000-0005-0000-0000-0000C7120000}"/>
    <cellStyle name="Normal 11 2 7 2" xfId="3298" xr:uid="{00000000-0005-0000-0000-0000C8120000}"/>
    <cellStyle name="Normal 11 2 7 2 2" xfId="9591" xr:uid="{00000000-0005-0000-0000-0000C9120000}"/>
    <cellStyle name="Normal 11 2 7 2 2 2" xfId="21939" xr:uid="{00000000-0005-0000-0000-0000CA120000}"/>
    <cellStyle name="Normal 11 2 7 2 3" xfId="15713" xr:uid="{00000000-0005-0000-0000-0000CB120000}"/>
    <cellStyle name="Normal 11 2 8" xfId="3299" xr:uid="{00000000-0005-0000-0000-0000CC120000}"/>
    <cellStyle name="Normal 11 2 8 2" xfId="9592" xr:uid="{00000000-0005-0000-0000-0000CD120000}"/>
    <cellStyle name="Normal 11 2 8 2 2" xfId="21940" xr:uid="{00000000-0005-0000-0000-0000CE120000}"/>
    <cellStyle name="Normal 11 2 8 3" xfId="15714" xr:uid="{00000000-0005-0000-0000-0000CF120000}"/>
    <cellStyle name="Normal 11 2 9" xfId="3300" xr:uid="{00000000-0005-0000-0000-0000D0120000}"/>
    <cellStyle name="Normal 11 3" xfId="3301" xr:uid="{00000000-0005-0000-0000-0000D1120000}"/>
    <cellStyle name="Normal 11 3 2" xfId="3302" xr:uid="{00000000-0005-0000-0000-0000D2120000}"/>
    <cellStyle name="Normal 11 3 2 2" xfId="3303" xr:uid="{00000000-0005-0000-0000-0000D3120000}"/>
    <cellStyle name="Normal 11 3 2 2 2" xfId="3304" xr:uid="{00000000-0005-0000-0000-0000D4120000}"/>
    <cellStyle name="Normal 11 3 2 2 2 2" xfId="3305" xr:uid="{00000000-0005-0000-0000-0000D5120000}"/>
    <cellStyle name="Normal 11 3 2 2 2 2 2" xfId="3306" xr:uid="{00000000-0005-0000-0000-0000D6120000}"/>
    <cellStyle name="Normal 11 3 2 2 2 2 2 2" xfId="9598" xr:uid="{00000000-0005-0000-0000-0000D7120000}"/>
    <cellStyle name="Normal 11 3 2 2 2 2 2 2 2" xfId="21946" xr:uid="{00000000-0005-0000-0000-0000D8120000}"/>
    <cellStyle name="Normal 11 3 2 2 2 2 2 3" xfId="15719" xr:uid="{00000000-0005-0000-0000-0000D9120000}"/>
    <cellStyle name="Normal 11 3 2 2 2 2 3" xfId="9597" xr:uid="{00000000-0005-0000-0000-0000DA120000}"/>
    <cellStyle name="Normal 11 3 2 2 2 2 3 2" xfId="21945" xr:uid="{00000000-0005-0000-0000-0000DB120000}"/>
    <cellStyle name="Normal 11 3 2 2 2 2 4" xfId="15718" xr:uid="{00000000-0005-0000-0000-0000DC120000}"/>
    <cellStyle name="Normal 11 3 2 2 2 3" xfId="3307" xr:uid="{00000000-0005-0000-0000-0000DD120000}"/>
    <cellStyle name="Normal 11 3 2 2 2 3 2" xfId="3308" xr:uid="{00000000-0005-0000-0000-0000DE120000}"/>
    <cellStyle name="Normal 11 3 2 2 2 3 2 2" xfId="9600" xr:uid="{00000000-0005-0000-0000-0000DF120000}"/>
    <cellStyle name="Normal 11 3 2 2 2 3 2 2 2" xfId="21948" xr:uid="{00000000-0005-0000-0000-0000E0120000}"/>
    <cellStyle name="Normal 11 3 2 2 2 3 2 3" xfId="15721" xr:uid="{00000000-0005-0000-0000-0000E1120000}"/>
    <cellStyle name="Normal 11 3 2 2 2 3 3" xfId="9599" xr:uid="{00000000-0005-0000-0000-0000E2120000}"/>
    <cellStyle name="Normal 11 3 2 2 2 3 3 2" xfId="21947" xr:uid="{00000000-0005-0000-0000-0000E3120000}"/>
    <cellStyle name="Normal 11 3 2 2 2 3 4" xfId="15720" xr:uid="{00000000-0005-0000-0000-0000E4120000}"/>
    <cellStyle name="Normal 11 3 2 2 2 4" xfId="3309" xr:uid="{00000000-0005-0000-0000-0000E5120000}"/>
    <cellStyle name="Normal 11 3 2 2 2 4 2" xfId="9601" xr:uid="{00000000-0005-0000-0000-0000E6120000}"/>
    <cellStyle name="Normal 11 3 2 2 2 4 2 2" xfId="21949" xr:uid="{00000000-0005-0000-0000-0000E7120000}"/>
    <cellStyle name="Normal 11 3 2 2 2 4 3" xfId="15722" xr:uid="{00000000-0005-0000-0000-0000E8120000}"/>
    <cellStyle name="Normal 11 3 2 2 2 5" xfId="9596" xr:uid="{00000000-0005-0000-0000-0000E9120000}"/>
    <cellStyle name="Normal 11 3 2 2 2 5 2" xfId="21944" xr:uid="{00000000-0005-0000-0000-0000EA120000}"/>
    <cellStyle name="Normal 11 3 2 2 2 6" xfId="15717" xr:uid="{00000000-0005-0000-0000-0000EB120000}"/>
    <cellStyle name="Normal 11 3 2 2 3" xfId="3310" xr:uid="{00000000-0005-0000-0000-0000EC120000}"/>
    <cellStyle name="Normal 11 3 2 2 3 2" xfId="3311" xr:uid="{00000000-0005-0000-0000-0000ED120000}"/>
    <cellStyle name="Normal 11 3 2 2 3 2 2" xfId="9603" xr:uid="{00000000-0005-0000-0000-0000EE120000}"/>
    <cellStyle name="Normal 11 3 2 2 3 2 2 2" xfId="21951" xr:uid="{00000000-0005-0000-0000-0000EF120000}"/>
    <cellStyle name="Normal 11 3 2 2 3 2 3" xfId="15724" xr:uid="{00000000-0005-0000-0000-0000F0120000}"/>
    <cellStyle name="Normal 11 3 2 2 3 3" xfId="9602" xr:uid="{00000000-0005-0000-0000-0000F1120000}"/>
    <cellStyle name="Normal 11 3 2 2 3 3 2" xfId="21950" xr:uid="{00000000-0005-0000-0000-0000F2120000}"/>
    <cellStyle name="Normal 11 3 2 2 3 4" xfId="15723" xr:uid="{00000000-0005-0000-0000-0000F3120000}"/>
    <cellStyle name="Normal 11 3 2 2 4" xfId="3312" xr:uid="{00000000-0005-0000-0000-0000F4120000}"/>
    <cellStyle name="Normal 11 3 2 2 4 2" xfId="3313" xr:uid="{00000000-0005-0000-0000-0000F5120000}"/>
    <cellStyle name="Normal 11 3 2 2 4 2 2" xfId="9605" xr:uid="{00000000-0005-0000-0000-0000F6120000}"/>
    <cellStyle name="Normal 11 3 2 2 4 2 2 2" xfId="21953" xr:uid="{00000000-0005-0000-0000-0000F7120000}"/>
    <cellStyle name="Normal 11 3 2 2 4 2 3" xfId="15726" xr:uid="{00000000-0005-0000-0000-0000F8120000}"/>
    <cellStyle name="Normal 11 3 2 2 4 3" xfId="9604" xr:uid="{00000000-0005-0000-0000-0000F9120000}"/>
    <cellStyle name="Normal 11 3 2 2 4 3 2" xfId="21952" xr:uid="{00000000-0005-0000-0000-0000FA120000}"/>
    <cellStyle name="Normal 11 3 2 2 4 4" xfId="15725" xr:uid="{00000000-0005-0000-0000-0000FB120000}"/>
    <cellStyle name="Normal 11 3 2 2 5" xfId="3314" xr:uid="{00000000-0005-0000-0000-0000FC120000}"/>
    <cellStyle name="Normal 11 3 2 2 5 2" xfId="9606" xr:uid="{00000000-0005-0000-0000-0000FD120000}"/>
    <cellStyle name="Normal 11 3 2 2 5 2 2" xfId="21954" xr:uid="{00000000-0005-0000-0000-0000FE120000}"/>
    <cellStyle name="Normal 11 3 2 2 5 3" xfId="15727" xr:uid="{00000000-0005-0000-0000-0000FF120000}"/>
    <cellStyle name="Normal 11 3 2 2 6" xfId="9595" xr:uid="{00000000-0005-0000-0000-000000130000}"/>
    <cellStyle name="Normal 11 3 2 2 6 2" xfId="21943" xr:uid="{00000000-0005-0000-0000-000001130000}"/>
    <cellStyle name="Normal 11 3 2 2 7" xfId="15716" xr:uid="{00000000-0005-0000-0000-000002130000}"/>
    <cellStyle name="Normal 11 3 2 3" xfId="3315" xr:uid="{00000000-0005-0000-0000-000003130000}"/>
    <cellStyle name="Normal 11 3 2 3 2" xfId="3316" xr:uid="{00000000-0005-0000-0000-000004130000}"/>
    <cellStyle name="Normal 11 3 2 3 2 2" xfId="3317" xr:uid="{00000000-0005-0000-0000-000005130000}"/>
    <cellStyle name="Normal 11 3 2 3 2 2 2" xfId="9609" xr:uid="{00000000-0005-0000-0000-000006130000}"/>
    <cellStyle name="Normal 11 3 2 3 2 2 2 2" xfId="21957" xr:uid="{00000000-0005-0000-0000-000007130000}"/>
    <cellStyle name="Normal 11 3 2 3 2 2 3" xfId="15730" xr:uid="{00000000-0005-0000-0000-000008130000}"/>
    <cellStyle name="Normal 11 3 2 3 2 3" xfId="9608" xr:uid="{00000000-0005-0000-0000-000009130000}"/>
    <cellStyle name="Normal 11 3 2 3 2 3 2" xfId="21956" xr:uid="{00000000-0005-0000-0000-00000A130000}"/>
    <cellStyle name="Normal 11 3 2 3 2 4" xfId="15729" xr:uid="{00000000-0005-0000-0000-00000B130000}"/>
    <cellStyle name="Normal 11 3 2 3 3" xfId="3318" xr:uid="{00000000-0005-0000-0000-00000C130000}"/>
    <cellStyle name="Normal 11 3 2 3 3 2" xfId="3319" xr:uid="{00000000-0005-0000-0000-00000D130000}"/>
    <cellStyle name="Normal 11 3 2 3 3 2 2" xfId="9611" xr:uid="{00000000-0005-0000-0000-00000E130000}"/>
    <cellStyle name="Normal 11 3 2 3 3 2 2 2" xfId="21959" xr:uid="{00000000-0005-0000-0000-00000F130000}"/>
    <cellStyle name="Normal 11 3 2 3 3 2 3" xfId="15732" xr:uid="{00000000-0005-0000-0000-000010130000}"/>
    <cellStyle name="Normal 11 3 2 3 3 3" xfId="9610" xr:uid="{00000000-0005-0000-0000-000011130000}"/>
    <cellStyle name="Normal 11 3 2 3 3 3 2" xfId="21958" xr:uid="{00000000-0005-0000-0000-000012130000}"/>
    <cellStyle name="Normal 11 3 2 3 3 4" xfId="15731" xr:uid="{00000000-0005-0000-0000-000013130000}"/>
    <cellStyle name="Normal 11 3 2 3 4" xfId="3320" xr:uid="{00000000-0005-0000-0000-000014130000}"/>
    <cellStyle name="Normal 11 3 2 3 4 2" xfId="9612" xr:uid="{00000000-0005-0000-0000-000015130000}"/>
    <cellStyle name="Normal 11 3 2 3 4 2 2" xfId="21960" xr:uid="{00000000-0005-0000-0000-000016130000}"/>
    <cellStyle name="Normal 11 3 2 3 4 3" xfId="15733" xr:uid="{00000000-0005-0000-0000-000017130000}"/>
    <cellStyle name="Normal 11 3 2 3 5" xfId="9607" xr:uid="{00000000-0005-0000-0000-000018130000}"/>
    <cellStyle name="Normal 11 3 2 3 5 2" xfId="21955" xr:uid="{00000000-0005-0000-0000-000019130000}"/>
    <cellStyle name="Normal 11 3 2 3 6" xfId="15728" xr:uid="{00000000-0005-0000-0000-00001A130000}"/>
    <cellStyle name="Normal 11 3 2 4" xfId="3321" xr:uid="{00000000-0005-0000-0000-00001B130000}"/>
    <cellStyle name="Normal 11 3 2 4 2" xfId="3322" xr:uid="{00000000-0005-0000-0000-00001C130000}"/>
    <cellStyle name="Normal 11 3 2 4 2 2" xfId="9614" xr:uid="{00000000-0005-0000-0000-00001D130000}"/>
    <cellStyle name="Normal 11 3 2 4 2 2 2" xfId="21962" xr:uid="{00000000-0005-0000-0000-00001E130000}"/>
    <cellStyle name="Normal 11 3 2 4 2 3" xfId="15735" xr:uid="{00000000-0005-0000-0000-00001F130000}"/>
    <cellStyle name="Normal 11 3 2 4 3" xfId="9613" xr:uid="{00000000-0005-0000-0000-000020130000}"/>
    <cellStyle name="Normal 11 3 2 4 3 2" xfId="21961" xr:uid="{00000000-0005-0000-0000-000021130000}"/>
    <cellStyle name="Normal 11 3 2 4 4" xfId="15734" xr:uid="{00000000-0005-0000-0000-000022130000}"/>
    <cellStyle name="Normal 11 3 2 5" xfId="3323" xr:uid="{00000000-0005-0000-0000-000023130000}"/>
    <cellStyle name="Normal 11 3 2 5 2" xfId="3324" xr:uid="{00000000-0005-0000-0000-000024130000}"/>
    <cellStyle name="Normal 11 3 2 5 2 2" xfId="9616" xr:uid="{00000000-0005-0000-0000-000025130000}"/>
    <cellStyle name="Normal 11 3 2 5 2 2 2" xfId="21964" xr:uid="{00000000-0005-0000-0000-000026130000}"/>
    <cellStyle name="Normal 11 3 2 5 2 3" xfId="15737" xr:uid="{00000000-0005-0000-0000-000027130000}"/>
    <cellStyle name="Normal 11 3 2 5 3" xfId="9615" xr:uid="{00000000-0005-0000-0000-000028130000}"/>
    <cellStyle name="Normal 11 3 2 5 3 2" xfId="21963" xr:uid="{00000000-0005-0000-0000-000029130000}"/>
    <cellStyle name="Normal 11 3 2 5 4" xfId="15736" xr:uid="{00000000-0005-0000-0000-00002A130000}"/>
    <cellStyle name="Normal 11 3 2 6" xfId="3325" xr:uid="{00000000-0005-0000-0000-00002B130000}"/>
    <cellStyle name="Normal 11 3 2 6 2" xfId="9617" xr:uid="{00000000-0005-0000-0000-00002C130000}"/>
    <cellStyle name="Normal 11 3 2 6 2 2" xfId="21965" xr:uid="{00000000-0005-0000-0000-00002D130000}"/>
    <cellStyle name="Normal 11 3 2 6 3" xfId="15738" xr:uid="{00000000-0005-0000-0000-00002E130000}"/>
    <cellStyle name="Normal 11 3 2 7" xfId="9594" xr:uid="{00000000-0005-0000-0000-00002F130000}"/>
    <cellStyle name="Normal 11 3 2 7 2" xfId="21942" xr:uid="{00000000-0005-0000-0000-000030130000}"/>
    <cellStyle name="Normal 11 3 2 8" xfId="15715" xr:uid="{00000000-0005-0000-0000-000031130000}"/>
    <cellStyle name="Normal 11 3 3" xfId="3326" xr:uid="{00000000-0005-0000-0000-000032130000}"/>
    <cellStyle name="Normal 11 3 3 2" xfId="3327" xr:uid="{00000000-0005-0000-0000-000033130000}"/>
    <cellStyle name="Normal 11 3 3 2 2" xfId="3328" xr:uid="{00000000-0005-0000-0000-000034130000}"/>
    <cellStyle name="Normal 11 3 3 2 2 2" xfId="3329" xr:uid="{00000000-0005-0000-0000-000035130000}"/>
    <cellStyle name="Normal 11 3 3 2 2 2 2" xfId="9621" xr:uid="{00000000-0005-0000-0000-000036130000}"/>
    <cellStyle name="Normal 11 3 3 2 2 2 2 2" xfId="21969" xr:uid="{00000000-0005-0000-0000-000037130000}"/>
    <cellStyle name="Normal 11 3 3 2 2 2 3" xfId="15742" xr:uid="{00000000-0005-0000-0000-000038130000}"/>
    <cellStyle name="Normal 11 3 3 2 2 3" xfId="9620" xr:uid="{00000000-0005-0000-0000-000039130000}"/>
    <cellStyle name="Normal 11 3 3 2 2 3 2" xfId="21968" xr:uid="{00000000-0005-0000-0000-00003A130000}"/>
    <cellStyle name="Normal 11 3 3 2 2 4" xfId="15741" xr:uid="{00000000-0005-0000-0000-00003B130000}"/>
    <cellStyle name="Normal 11 3 3 2 3" xfId="3330" xr:uid="{00000000-0005-0000-0000-00003C130000}"/>
    <cellStyle name="Normal 11 3 3 2 3 2" xfId="3331" xr:uid="{00000000-0005-0000-0000-00003D130000}"/>
    <cellStyle name="Normal 11 3 3 2 3 2 2" xfId="9623" xr:uid="{00000000-0005-0000-0000-00003E130000}"/>
    <cellStyle name="Normal 11 3 3 2 3 2 2 2" xfId="21971" xr:uid="{00000000-0005-0000-0000-00003F130000}"/>
    <cellStyle name="Normal 11 3 3 2 3 2 3" xfId="15744" xr:uid="{00000000-0005-0000-0000-000040130000}"/>
    <cellStyle name="Normal 11 3 3 2 3 3" xfId="9622" xr:uid="{00000000-0005-0000-0000-000041130000}"/>
    <cellStyle name="Normal 11 3 3 2 3 3 2" xfId="21970" xr:uid="{00000000-0005-0000-0000-000042130000}"/>
    <cellStyle name="Normal 11 3 3 2 3 4" xfId="15743" xr:uid="{00000000-0005-0000-0000-000043130000}"/>
    <cellStyle name="Normal 11 3 3 2 4" xfId="3332" xr:uid="{00000000-0005-0000-0000-000044130000}"/>
    <cellStyle name="Normal 11 3 3 2 4 2" xfId="9624" xr:uid="{00000000-0005-0000-0000-000045130000}"/>
    <cellStyle name="Normal 11 3 3 2 4 2 2" xfId="21972" xr:uid="{00000000-0005-0000-0000-000046130000}"/>
    <cellStyle name="Normal 11 3 3 2 4 3" xfId="15745" xr:uid="{00000000-0005-0000-0000-000047130000}"/>
    <cellStyle name="Normal 11 3 3 2 5" xfId="9619" xr:uid="{00000000-0005-0000-0000-000048130000}"/>
    <cellStyle name="Normal 11 3 3 2 5 2" xfId="21967" xr:uid="{00000000-0005-0000-0000-000049130000}"/>
    <cellStyle name="Normal 11 3 3 2 6" xfId="15740" xr:uid="{00000000-0005-0000-0000-00004A130000}"/>
    <cellStyle name="Normal 11 3 3 3" xfId="3333" xr:uid="{00000000-0005-0000-0000-00004B130000}"/>
    <cellStyle name="Normal 11 3 3 3 2" xfId="3334" xr:uid="{00000000-0005-0000-0000-00004C130000}"/>
    <cellStyle name="Normal 11 3 3 3 2 2" xfId="9626" xr:uid="{00000000-0005-0000-0000-00004D130000}"/>
    <cellStyle name="Normal 11 3 3 3 2 2 2" xfId="21974" xr:uid="{00000000-0005-0000-0000-00004E130000}"/>
    <cellStyle name="Normal 11 3 3 3 2 3" xfId="15747" xr:uid="{00000000-0005-0000-0000-00004F130000}"/>
    <cellStyle name="Normal 11 3 3 3 3" xfId="9625" xr:uid="{00000000-0005-0000-0000-000050130000}"/>
    <cellStyle name="Normal 11 3 3 3 3 2" xfId="21973" xr:uid="{00000000-0005-0000-0000-000051130000}"/>
    <cellStyle name="Normal 11 3 3 3 4" xfId="15746" xr:uid="{00000000-0005-0000-0000-000052130000}"/>
    <cellStyle name="Normal 11 3 3 4" xfId="3335" xr:uid="{00000000-0005-0000-0000-000053130000}"/>
    <cellStyle name="Normal 11 3 3 4 2" xfId="3336" xr:uid="{00000000-0005-0000-0000-000054130000}"/>
    <cellStyle name="Normal 11 3 3 4 2 2" xfId="9628" xr:uid="{00000000-0005-0000-0000-000055130000}"/>
    <cellStyle name="Normal 11 3 3 4 2 2 2" xfId="21976" xr:uid="{00000000-0005-0000-0000-000056130000}"/>
    <cellStyle name="Normal 11 3 3 4 2 3" xfId="15749" xr:uid="{00000000-0005-0000-0000-000057130000}"/>
    <cellStyle name="Normal 11 3 3 4 3" xfId="9627" xr:uid="{00000000-0005-0000-0000-000058130000}"/>
    <cellStyle name="Normal 11 3 3 4 3 2" xfId="21975" xr:uid="{00000000-0005-0000-0000-000059130000}"/>
    <cellStyle name="Normal 11 3 3 4 4" xfId="15748" xr:uid="{00000000-0005-0000-0000-00005A130000}"/>
    <cellStyle name="Normal 11 3 3 5" xfId="3337" xr:uid="{00000000-0005-0000-0000-00005B130000}"/>
    <cellStyle name="Normal 11 3 3 5 2" xfId="9629" xr:uid="{00000000-0005-0000-0000-00005C130000}"/>
    <cellStyle name="Normal 11 3 3 5 2 2" xfId="21977" xr:uid="{00000000-0005-0000-0000-00005D130000}"/>
    <cellStyle name="Normal 11 3 3 5 3" xfId="15750" xr:uid="{00000000-0005-0000-0000-00005E130000}"/>
    <cellStyle name="Normal 11 3 3 6" xfId="9618" xr:uid="{00000000-0005-0000-0000-00005F130000}"/>
    <cellStyle name="Normal 11 3 3 6 2" xfId="21966" xr:uid="{00000000-0005-0000-0000-000060130000}"/>
    <cellStyle name="Normal 11 3 3 7" xfId="15739" xr:uid="{00000000-0005-0000-0000-000061130000}"/>
    <cellStyle name="Normal 11 3 4" xfId="3338" xr:uid="{00000000-0005-0000-0000-000062130000}"/>
    <cellStyle name="Normal 11 3 4 2" xfId="3339" xr:uid="{00000000-0005-0000-0000-000063130000}"/>
    <cellStyle name="Normal 11 3 4 2 2" xfId="3340" xr:uid="{00000000-0005-0000-0000-000064130000}"/>
    <cellStyle name="Normal 11 3 4 2 2 2" xfId="9631" xr:uid="{00000000-0005-0000-0000-000065130000}"/>
    <cellStyle name="Normal 11 3 4 2 2 2 2" xfId="21979" xr:uid="{00000000-0005-0000-0000-000066130000}"/>
    <cellStyle name="Normal 11 3 4 2 2 3" xfId="15752" xr:uid="{00000000-0005-0000-0000-000067130000}"/>
    <cellStyle name="Normal 11 3 4 2 3" xfId="9630" xr:uid="{00000000-0005-0000-0000-000068130000}"/>
    <cellStyle name="Normal 11 3 4 2 3 2" xfId="21978" xr:uid="{00000000-0005-0000-0000-000069130000}"/>
    <cellStyle name="Normal 11 3 4 2 4" xfId="15751" xr:uid="{00000000-0005-0000-0000-00006A130000}"/>
    <cellStyle name="Normal 11 3 4 3" xfId="3341" xr:uid="{00000000-0005-0000-0000-00006B130000}"/>
    <cellStyle name="Normal 11 3 4 3 2" xfId="3342" xr:uid="{00000000-0005-0000-0000-00006C130000}"/>
    <cellStyle name="Normal 11 3 4 3 2 2" xfId="9633" xr:uid="{00000000-0005-0000-0000-00006D130000}"/>
    <cellStyle name="Normal 11 3 4 3 2 2 2" xfId="21981" xr:uid="{00000000-0005-0000-0000-00006E130000}"/>
    <cellStyle name="Normal 11 3 4 3 2 3" xfId="15754" xr:uid="{00000000-0005-0000-0000-00006F130000}"/>
    <cellStyle name="Normal 11 3 4 3 3" xfId="9632" xr:uid="{00000000-0005-0000-0000-000070130000}"/>
    <cellStyle name="Normal 11 3 4 3 3 2" xfId="21980" xr:uid="{00000000-0005-0000-0000-000071130000}"/>
    <cellStyle name="Normal 11 3 4 3 4" xfId="15753" xr:uid="{00000000-0005-0000-0000-000072130000}"/>
    <cellStyle name="Normal 11 3 4 4" xfId="3343" xr:uid="{00000000-0005-0000-0000-000073130000}"/>
    <cellStyle name="Normal 11 3 4 4 2" xfId="9634" xr:uid="{00000000-0005-0000-0000-000074130000}"/>
    <cellStyle name="Normal 11 3 4 4 2 2" xfId="21982" xr:uid="{00000000-0005-0000-0000-000075130000}"/>
    <cellStyle name="Normal 11 3 4 4 3" xfId="15755" xr:uid="{00000000-0005-0000-0000-000076130000}"/>
    <cellStyle name="Normal 11 3 5" xfId="3344" xr:uid="{00000000-0005-0000-0000-000077130000}"/>
    <cellStyle name="Normal 11 3 5 2" xfId="3345" xr:uid="{00000000-0005-0000-0000-000078130000}"/>
    <cellStyle name="Normal 11 3 5 2 2" xfId="9636" xr:uid="{00000000-0005-0000-0000-000079130000}"/>
    <cellStyle name="Normal 11 3 5 2 2 2" xfId="21984" xr:uid="{00000000-0005-0000-0000-00007A130000}"/>
    <cellStyle name="Normal 11 3 5 2 3" xfId="15757" xr:uid="{00000000-0005-0000-0000-00007B130000}"/>
    <cellStyle name="Normal 11 3 5 3" xfId="9635" xr:uid="{00000000-0005-0000-0000-00007C130000}"/>
    <cellStyle name="Normal 11 3 5 3 2" xfId="21983" xr:uid="{00000000-0005-0000-0000-00007D130000}"/>
    <cellStyle name="Normal 11 3 5 4" xfId="15756" xr:uid="{00000000-0005-0000-0000-00007E130000}"/>
    <cellStyle name="Normal 11 3 6" xfId="3346" xr:uid="{00000000-0005-0000-0000-00007F130000}"/>
    <cellStyle name="Normal 11 3 6 2" xfId="3347" xr:uid="{00000000-0005-0000-0000-000080130000}"/>
    <cellStyle name="Normal 11 3 6 2 2" xfId="9638" xr:uid="{00000000-0005-0000-0000-000081130000}"/>
    <cellStyle name="Normal 11 3 6 2 2 2" xfId="21986" xr:uid="{00000000-0005-0000-0000-000082130000}"/>
    <cellStyle name="Normal 11 3 6 2 3" xfId="15759" xr:uid="{00000000-0005-0000-0000-000083130000}"/>
    <cellStyle name="Normal 11 3 6 3" xfId="9637" xr:uid="{00000000-0005-0000-0000-000084130000}"/>
    <cellStyle name="Normal 11 3 6 3 2" xfId="21985" xr:uid="{00000000-0005-0000-0000-000085130000}"/>
    <cellStyle name="Normal 11 3 6 4" xfId="15758" xr:uid="{00000000-0005-0000-0000-000086130000}"/>
    <cellStyle name="Normal 11 3 7" xfId="3348" xr:uid="{00000000-0005-0000-0000-000087130000}"/>
    <cellStyle name="Normal 11 3 7 2" xfId="9639" xr:uid="{00000000-0005-0000-0000-000088130000}"/>
    <cellStyle name="Normal 11 3 7 2 2" xfId="21987" xr:uid="{00000000-0005-0000-0000-000089130000}"/>
    <cellStyle name="Normal 11 3 7 3" xfId="15760" xr:uid="{00000000-0005-0000-0000-00008A130000}"/>
    <cellStyle name="Normal 11 3 8" xfId="3349" xr:uid="{00000000-0005-0000-0000-00008B130000}"/>
    <cellStyle name="Normal 11 3 8 2" xfId="15761" xr:uid="{00000000-0005-0000-0000-00008C130000}"/>
    <cellStyle name="Normal 11 3 9" xfId="9593" xr:uid="{00000000-0005-0000-0000-00008D130000}"/>
    <cellStyle name="Normal 11 3 9 2" xfId="21941" xr:uid="{00000000-0005-0000-0000-00008E130000}"/>
    <cellStyle name="Normal 11 4" xfId="3350" xr:uid="{00000000-0005-0000-0000-00008F130000}"/>
    <cellStyle name="Normal 11 4 2" xfId="3351" xr:uid="{00000000-0005-0000-0000-000090130000}"/>
    <cellStyle name="Normal 11 4 2 2" xfId="3352" xr:uid="{00000000-0005-0000-0000-000091130000}"/>
    <cellStyle name="Normal 11 4 2 2 2" xfId="3353" xr:uid="{00000000-0005-0000-0000-000092130000}"/>
    <cellStyle name="Normal 11 4 2 2 2 2" xfId="3354" xr:uid="{00000000-0005-0000-0000-000093130000}"/>
    <cellStyle name="Normal 11 4 2 2 2 2 2" xfId="3355" xr:uid="{00000000-0005-0000-0000-000094130000}"/>
    <cellStyle name="Normal 11 4 2 2 2 2 2 2" xfId="9645" xr:uid="{00000000-0005-0000-0000-000095130000}"/>
    <cellStyle name="Normal 11 4 2 2 2 2 2 2 2" xfId="21993" xr:uid="{00000000-0005-0000-0000-000096130000}"/>
    <cellStyle name="Normal 11 4 2 2 2 2 2 3" xfId="15767" xr:uid="{00000000-0005-0000-0000-000097130000}"/>
    <cellStyle name="Normal 11 4 2 2 2 2 3" xfId="9644" xr:uid="{00000000-0005-0000-0000-000098130000}"/>
    <cellStyle name="Normal 11 4 2 2 2 2 3 2" xfId="21992" xr:uid="{00000000-0005-0000-0000-000099130000}"/>
    <cellStyle name="Normal 11 4 2 2 2 2 4" xfId="15766" xr:uid="{00000000-0005-0000-0000-00009A130000}"/>
    <cellStyle name="Normal 11 4 2 2 2 3" xfId="3356" xr:uid="{00000000-0005-0000-0000-00009B130000}"/>
    <cellStyle name="Normal 11 4 2 2 2 3 2" xfId="3357" xr:uid="{00000000-0005-0000-0000-00009C130000}"/>
    <cellStyle name="Normal 11 4 2 2 2 3 2 2" xfId="9647" xr:uid="{00000000-0005-0000-0000-00009D130000}"/>
    <cellStyle name="Normal 11 4 2 2 2 3 2 2 2" xfId="21995" xr:uid="{00000000-0005-0000-0000-00009E130000}"/>
    <cellStyle name="Normal 11 4 2 2 2 3 2 3" xfId="15769" xr:uid="{00000000-0005-0000-0000-00009F130000}"/>
    <cellStyle name="Normal 11 4 2 2 2 3 3" xfId="9646" xr:uid="{00000000-0005-0000-0000-0000A0130000}"/>
    <cellStyle name="Normal 11 4 2 2 2 3 3 2" xfId="21994" xr:uid="{00000000-0005-0000-0000-0000A1130000}"/>
    <cellStyle name="Normal 11 4 2 2 2 3 4" xfId="15768" xr:uid="{00000000-0005-0000-0000-0000A2130000}"/>
    <cellStyle name="Normal 11 4 2 2 2 4" xfId="3358" xr:uid="{00000000-0005-0000-0000-0000A3130000}"/>
    <cellStyle name="Normal 11 4 2 2 2 4 2" xfId="9648" xr:uid="{00000000-0005-0000-0000-0000A4130000}"/>
    <cellStyle name="Normal 11 4 2 2 2 4 2 2" xfId="21996" xr:uid="{00000000-0005-0000-0000-0000A5130000}"/>
    <cellStyle name="Normal 11 4 2 2 2 4 3" xfId="15770" xr:uid="{00000000-0005-0000-0000-0000A6130000}"/>
    <cellStyle name="Normal 11 4 2 2 2 5" xfId="9643" xr:uid="{00000000-0005-0000-0000-0000A7130000}"/>
    <cellStyle name="Normal 11 4 2 2 2 5 2" xfId="21991" xr:uid="{00000000-0005-0000-0000-0000A8130000}"/>
    <cellStyle name="Normal 11 4 2 2 2 6" xfId="15765" xr:uid="{00000000-0005-0000-0000-0000A9130000}"/>
    <cellStyle name="Normal 11 4 2 2 3" xfId="3359" xr:uid="{00000000-0005-0000-0000-0000AA130000}"/>
    <cellStyle name="Normal 11 4 2 2 3 2" xfId="3360" xr:uid="{00000000-0005-0000-0000-0000AB130000}"/>
    <cellStyle name="Normal 11 4 2 2 3 2 2" xfId="9650" xr:uid="{00000000-0005-0000-0000-0000AC130000}"/>
    <cellStyle name="Normal 11 4 2 2 3 2 2 2" xfId="21998" xr:uid="{00000000-0005-0000-0000-0000AD130000}"/>
    <cellStyle name="Normal 11 4 2 2 3 2 3" xfId="15772" xr:uid="{00000000-0005-0000-0000-0000AE130000}"/>
    <cellStyle name="Normal 11 4 2 2 3 3" xfId="9649" xr:uid="{00000000-0005-0000-0000-0000AF130000}"/>
    <cellStyle name="Normal 11 4 2 2 3 3 2" xfId="21997" xr:uid="{00000000-0005-0000-0000-0000B0130000}"/>
    <cellStyle name="Normal 11 4 2 2 3 4" xfId="15771" xr:uid="{00000000-0005-0000-0000-0000B1130000}"/>
    <cellStyle name="Normal 11 4 2 2 4" xfId="3361" xr:uid="{00000000-0005-0000-0000-0000B2130000}"/>
    <cellStyle name="Normal 11 4 2 2 4 2" xfId="3362" xr:uid="{00000000-0005-0000-0000-0000B3130000}"/>
    <cellStyle name="Normal 11 4 2 2 4 2 2" xfId="9652" xr:uid="{00000000-0005-0000-0000-0000B4130000}"/>
    <cellStyle name="Normal 11 4 2 2 4 2 2 2" xfId="22000" xr:uid="{00000000-0005-0000-0000-0000B5130000}"/>
    <cellStyle name="Normal 11 4 2 2 4 2 3" xfId="15774" xr:uid="{00000000-0005-0000-0000-0000B6130000}"/>
    <cellStyle name="Normal 11 4 2 2 4 3" xfId="9651" xr:uid="{00000000-0005-0000-0000-0000B7130000}"/>
    <cellStyle name="Normal 11 4 2 2 4 3 2" xfId="21999" xr:uid="{00000000-0005-0000-0000-0000B8130000}"/>
    <cellStyle name="Normal 11 4 2 2 4 4" xfId="15773" xr:uid="{00000000-0005-0000-0000-0000B9130000}"/>
    <cellStyle name="Normal 11 4 2 2 5" xfId="3363" xr:uid="{00000000-0005-0000-0000-0000BA130000}"/>
    <cellStyle name="Normal 11 4 2 2 5 2" xfId="9653" xr:uid="{00000000-0005-0000-0000-0000BB130000}"/>
    <cellStyle name="Normal 11 4 2 2 5 2 2" xfId="22001" xr:uid="{00000000-0005-0000-0000-0000BC130000}"/>
    <cellStyle name="Normal 11 4 2 2 5 3" xfId="15775" xr:uid="{00000000-0005-0000-0000-0000BD130000}"/>
    <cellStyle name="Normal 11 4 2 2 6" xfId="9642" xr:uid="{00000000-0005-0000-0000-0000BE130000}"/>
    <cellStyle name="Normal 11 4 2 2 6 2" xfId="21990" xr:uid="{00000000-0005-0000-0000-0000BF130000}"/>
    <cellStyle name="Normal 11 4 2 2 7" xfId="15764" xr:uid="{00000000-0005-0000-0000-0000C0130000}"/>
    <cellStyle name="Normal 11 4 2 3" xfId="3364" xr:uid="{00000000-0005-0000-0000-0000C1130000}"/>
    <cellStyle name="Normal 11 4 2 3 2" xfId="3365" xr:uid="{00000000-0005-0000-0000-0000C2130000}"/>
    <cellStyle name="Normal 11 4 2 3 2 2" xfId="3366" xr:uid="{00000000-0005-0000-0000-0000C3130000}"/>
    <cellStyle name="Normal 11 4 2 3 2 2 2" xfId="9656" xr:uid="{00000000-0005-0000-0000-0000C4130000}"/>
    <cellStyle name="Normal 11 4 2 3 2 2 2 2" xfId="22004" xr:uid="{00000000-0005-0000-0000-0000C5130000}"/>
    <cellStyle name="Normal 11 4 2 3 2 2 3" xfId="15778" xr:uid="{00000000-0005-0000-0000-0000C6130000}"/>
    <cellStyle name="Normal 11 4 2 3 2 3" xfId="9655" xr:uid="{00000000-0005-0000-0000-0000C7130000}"/>
    <cellStyle name="Normal 11 4 2 3 2 3 2" xfId="22003" xr:uid="{00000000-0005-0000-0000-0000C8130000}"/>
    <cellStyle name="Normal 11 4 2 3 2 4" xfId="15777" xr:uid="{00000000-0005-0000-0000-0000C9130000}"/>
    <cellStyle name="Normal 11 4 2 3 3" xfId="3367" xr:uid="{00000000-0005-0000-0000-0000CA130000}"/>
    <cellStyle name="Normal 11 4 2 3 3 2" xfId="3368" xr:uid="{00000000-0005-0000-0000-0000CB130000}"/>
    <cellStyle name="Normal 11 4 2 3 3 2 2" xfId="9658" xr:uid="{00000000-0005-0000-0000-0000CC130000}"/>
    <cellStyle name="Normal 11 4 2 3 3 2 2 2" xfId="22006" xr:uid="{00000000-0005-0000-0000-0000CD130000}"/>
    <cellStyle name="Normal 11 4 2 3 3 2 3" xfId="15780" xr:uid="{00000000-0005-0000-0000-0000CE130000}"/>
    <cellStyle name="Normal 11 4 2 3 3 3" xfId="9657" xr:uid="{00000000-0005-0000-0000-0000CF130000}"/>
    <cellStyle name="Normal 11 4 2 3 3 3 2" xfId="22005" xr:uid="{00000000-0005-0000-0000-0000D0130000}"/>
    <cellStyle name="Normal 11 4 2 3 3 4" xfId="15779" xr:uid="{00000000-0005-0000-0000-0000D1130000}"/>
    <cellStyle name="Normal 11 4 2 3 4" xfId="3369" xr:uid="{00000000-0005-0000-0000-0000D2130000}"/>
    <cellStyle name="Normal 11 4 2 3 4 2" xfId="9659" xr:uid="{00000000-0005-0000-0000-0000D3130000}"/>
    <cellStyle name="Normal 11 4 2 3 4 2 2" xfId="22007" xr:uid="{00000000-0005-0000-0000-0000D4130000}"/>
    <cellStyle name="Normal 11 4 2 3 4 3" xfId="15781" xr:uid="{00000000-0005-0000-0000-0000D5130000}"/>
    <cellStyle name="Normal 11 4 2 3 5" xfId="9654" xr:uid="{00000000-0005-0000-0000-0000D6130000}"/>
    <cellStyle name="Normal 11 4 2 3 5 2" xfId="22002" xr:uid="{00000000-0005-0000-0000-0000D7130000}"/>
    <cellStyle name="Normal 11 4 2 3 6" xfId="15776" xr:uid="{00000000-0005-0000-0000-0000D8130000}"/>
    <cellStyle name="Normal 11 4 2 4" xfId="3370" xr:uid="{00000000-0005-0000-0000-0000D9130000}"/>
    <cellStyle name="Normal 11 4 2 4 2" xfId="3371" xr:uid="{00000000-0005-0000-0000-0000DA130000}"/>
    <cellStyle name="Normal 11 4 2 4 2 2" xfId="9661" xr:uid="{00000000-0005-0000-0000-0000DB130000}"/>
    <cellStyle name="Normal 11 4 2 4 2 2 2" xfId="22009" xr:uid="{00000000-0005-0000-0000-0000DC130000}"/>
    <cellStyle name="Normal 11 4 2 4 2 3" xfId="15783" xr:uid="{00000000-0005-0000-0000-0000DD130000}"/>
    <cellStyle name="Normal 11 4 2 4 3" xfId="9660" xr:uid="{00000000-0005-0000-0000-0000DE130000}"/>
    <cellStyle name="Normal 11 4 2 4 3 2" xfId="22008" xr:uid="{00000000-0005-0000-0000-0000DF130000}"/>
    <cellStyle name="Normal 11 4 2 4 4" xfId="15782" xr:uid="{00000000-0005-0000-0000-0000E0130000}"/>
    <cellStyle name="Normal 11 4 2 5" xfId="3372" xr:uid="{00000000-0005-0000-0000-0000E1130000}"/>
    <cellStyle name="Normal 11 4 2 5 2" xfId="3373" xr:uid="{00000000-0005-0000-0000-0000E2130000}"/>
    <cellStyle name="Normal 11 4 2 5 2 2" xfId="9663" xr:uid="{00000000-0005-0000-0000-0000E3130000}"/>
    <cellStyle name="Normal 11 4 2 5 2 2 2" xfId="22011" xr:uid="{00000000-0005-0000-0000-0000E4130000}"/>
    <cellStyle name="Normal 11 4 2 5 2 3" xfId="15785" xr:uid="{00000000-0005-0000-0000-0000E5130000}"/>
    <cellStyle name="Normal 11 4 2 5 3" xfId="9662" xr:uid="{00000000-0005-0000-0000-0000E6130000}"/>
    <cellStyle name="Normal 11 4 2 5 3 2" xfId="22010" xr:uid="{00000000-0005-0000-0000-0000E7130000}"/>
    <cellStyle name="Normal 11 4 2 5 4" xfId="15784" xr:uid="{00000000-0005-0000-0000-0000E8130000}"/>
    <cellStyle name="Normal 11 4 2 6" xfId="3374" xr:uid="{00000000-0005-0000-0000-0000E9130000}"/>
    <cellStyle name="Normal 11 4 2 6 2" xfId="9664" xr:uid="{00000000-0005-0000-0000-0000EA130000}"/>
    <cellStyle name="Normal 11 4 2 6 2 2" xfId="22012" xr:uid="{00000000-0005-0000-0000-0000EB130000}"/>
    <cellStyle name="Normal 11 4 2 6 3" xfId="15786" xr:uid="{00000000-0005-0000-0000-0000EC130000}"/>
    <cellStyle name="Normal 11 4 2 7" xfId="9641" xr:uid="{00000000-0005-0000-0000-0000ED130000}"/>
    <cellStyle name="Normal 11 4 2 7 2" xfId="21989" xr:uid="{00000000-0005-0000-0000-0000EE130000}"/>
    <cellStyle name="Normal 11 4 2 8" xfId="15763" xr:uid="{00000000-0005-0000-0000-0000EF130000}"/>
    <cellStyle name="Normal 11 4 3" xfId="3375" xr:uid="{00000000-0005-0000-0000-0000F0130000}"/>
    <cellStyle name="Normal 11 4 3 2" xfId="3376" xr:uid="{00000000-0005-0000-0000-0000F1130000}"/>
    <cellStyle name="Normal 11 4 3 2 2" xfId="3377" xr:uid="{00000000-0005-0000-0000-0000F2130000}"/>
    <cellStyle name="Normal 11 4 3 2 2 2" xfId="3378" xr:uid="{00000000-0005-0000-0000-0000F3130000}"/>
    <cellStyle name="Normal 11 4 3 2 2 2 2" xfId="9668" xr:uid="{00000000-0005-0000-0000-0000F4130000}"/>
    <cellStyle name="Normal 11 4 3 2 2 2 2 2" xfId="22016" xr:uid="{00000000-0005-0000-0000-0000F5130000}"/>
    <cellStyle name="Normal 11 4 3 2 2 2 3" xfId="15790" xr:uid="{00000000-0005-0000-0000-0000F6130000}"/>
    <cellStyle name="Normal 11 4 3 2 2 3" xfId="9667" xr:uid="{00000000-0005-0000-0000-0000F7130000}"/>
    <cellStyle name="Normal 11 4 3 2 2 3 2" xfId="22015" xr:uid="{00000000-0005-0000-0000-0000F8130000}"/>
    <cellStyle name="Normal 11 4 3 2 2 4" xfId="15789" xr:uid="{00000000-0005-0000-0000-0000F9130000}"/>
    <cellStyle name="Normal 11 4 3 2 3" xfId="3379" xr:uid="{00000000-0005-0000-0000-0000FA130000}"/>
    <cellStyle name="Normal 11 4 3 2 3 2" xfId="3380" xr:uid="{00000000-0005-0000-0000-0000FB130000}"/>
    <cellStyle name="Normal 11 4 3 2 3 2 2" xfId="9670" xr:uid="{00000000-0005-0000-0000-0000FC130000}"/>
    <cellStyle name="Normal 11 4 3 2 3 2 2 2" xfId="22018" xr:uid="{00000000-0005-0000-0000-0000FD130000}"/>
    <cellStyle name="Normal 11 4 3 2 3 2 3" xfId="15792" xr:uid="{00000000-0005-0000-0000-0000FE130000}"/>
    <cellStyle name="Normal 11 4 3 2 3 3" xfId="9669" xr:uid="{00000000-0005-0000-0000-0000FF130000}"/>
    <cellStyle name="Normal 11 4 3 2 3 3 2" xfId="22017" xr:uid="{00000000-0005-0000-0000-000000140000}"/>
    <cellStyle name="Normal 11 4 3 2 3 4" xfId="15791" xr:uid="{00000000-0005-0000-0000-000001140000}"/>
    <cellStyle name="Normal 11 4 3 2 4" xfId="3381" xr:uid="{00000000-0005-0000-0000-000002140000}"/>
    <cellStyle name="Normal 11 4 3 2 4 2" xfId="9671" xr:uid="{00000000-0005-0000-0000-000003140000}"/>
    <cellStyle name="Normal 11 4 3 2 4 2 2" xfId="22019" xr:uid="{00000000-0005-0000-0000-000004140000}"/>
    <cellStyle name="Normal 11 4 3 2 4 3" xfId="15793" xr:uid="{00000000-0005-0000-0000-000005140000}"/>
    <cellStyle name="Normal 11 4 3 2 5" xfId="9666" xr:uid="{00000000-0005-0000-0000-000006140000}"/>
    <cellStyle name="Normal 11 4 3 2 5 2" xfId="22014" xr:uid="{00000000-0005-0000-0000-000007140000}"/>
    <cellStyle name="Normal 11 4 3 2 6" xfId="15788" xr:uid="{00000000-0005-0000-0000-000008140000}"/>
    <cellStyle name="Normal 11 4 3 3" xfId="3382" xr:uid="{00000000-0005-0000-0000-000009140000}"/>
    <cellStyle name="Normal 11 4 3 3 2" xfId="3383" xr:uid="{00000000-0005-0000-0000-00000A140000}"/>
    <cellStyle name="Normal 11 4 3 3 2 2" xfId="9673" xr:uid="{00000000-0005-0000-0000-00000B140000}"/>
    <cellStyle name="Normal 11 4 3 3 2 2 2" xfId="22021" xr:uid="{00000000-0005-0000-0000-00000C140000}"/>
    <cellStyle name="Normal 11 4 3 3 2 3" xfId="15795" xr:uid="{00000000-0005-0000-0000-00000D140000}"/>
    <cellStyle name="Normal 11 4 3 3 3" xfId="9672" xr:uid="{00000000-0005-0000-0000-00000E140000}"/>
    <cellStyle name="Normal 11 4 3 3 3 2" xfId="22020" xr:uid="{00000000-0005-0000-0000-00000F140000}"/>
    <cellStyle name="Normal 11 4 3 3 4" xfId="15794" xr:uid="{00000000-0005-0000-0000-000010140000}"/>
    <cellStyle name="Normal 11 4 3 4" xfId="3384" xr:uid="{00000000-0005-0000-0000-000011140000}"/>
    <cellStyle name="Normal 11 4 3 4 2" xfId="3385" xr:uid="{00000000-0005-0000-0000-000012140000}"/>
    <cellStyle name="Normal 11 4 3 4 2 2" xfId="9675" xr:uid="{00000000-0005-0000-0000-000013140000}"/>
    <cellStyle name="Normal 11 4 3 4 2 2 2" xfId="22023" xr:uid="{00000000-0005-0000-0000-000014140000}"/>
    <cellStyle name="Normal 11 4 3 4 2 3" xfId="15797" xr:uid="{00000000-0005-0000-0000-000015140000}"/>
    <cellStyle name="Normal 11 4 3 4 3" xfId="9674" xr:uid="{00000000-0005-0000-0000-000016140000}"/>
    <cellStyle name="Normal 11 4 3 4 3 2" xfId="22022" xr:uid="{00000000-0005-0000-0000-000017140000}"/>
    <cellStyle name="Normal 11 4 3 4 4" xfId="15796" xr:uid="{00000000-0005-0000-0000-000018140000}"/>
    <cellStyle name="Normal 11 4 3 5" xfId="3386" xr:uid="{00000000-0005-0000-0000-000019140000}"/>
    <cellStyle name="Normal 11 4 3 5 2" xfId="9676" xr:uid="{00000000-0005-0000-0000-00001A140000}"/>
    <cellStyle name="Normal 11 4 3 5 2 2" xfId="22024" xr:uid="{00000000-0005-0000-0000-00001B140000}"/>
    <cellStyle name="Normal 11 4 3 5 3" xfId="15798" xr:uid="{00000000-0005-0000-0000-00001C140000}"/>
    <cellStyle name="Normal 11 4 3 6" xfId="9665" xr:uid="{00000000-0005-0000-0000-00001D140000}"/>
    <cellStyle name="Normal 11 4 3 6 2" xfId="22013" xr:uid="{00000000-0005-0000-0000-00001E140000}"/>
    <cellStyle name="Normal 11 4 3 7" xfId="15787" xr:uid="{00000000-0005-0000-0000-00001F140000}"/>
    <cellStyle name="Normal 11 4 4" xfId="3387" xr:uid="{00000000-0005-0000-0000-000020140000}"/>
    <cellStyle name="Normal 11 4 4 2" xfId="3388" xr:uid="{00000000-0005-0000-0000-000021140000}"/>
    <cellStyle name="Normal 11 4 4 2 2" xfId="3389" xr:uid="{00000000-0005-0000-0000-000022140000}"/>
    <cellStyle name="Normal 11 4 4 2 2 2" xfId="9679" xr:uid="{00000000-0005-0000-0000-000023140000}"/>
    <cellStyle name="Normal 11 4 4 2 2 2 2" xfId="22027" xr:uid="{00000000-0005-0000-0000-000024140000}"/>
    <cellStyle name="Normal 11 4 4 2 2 3" xfId="15801" xr:uid="{00000000-0005-0000-0000-000025140000}"/>
    <cellStyle name="Normal 11 4 4 2 3" xfId="9678" xr:uid="{00000000-0005-0000-0000-000026140000}"/>
    <cellStyle name="Normal 11 4 4 2 3 2" xfId="22026" xr:uid="{00000000-0005-0000-0000-000027140000}"/>
    <cellStyle name="Normal 11 4 4 2 4" xfId="15800" xr:uid="{00000000-0005-0000-0000-000028140000}"/>
    <cellStyle name="Normal 11 4 4 3" xfId="3390" xr:uid="{00000000-0005-0000-0000-000029140000}"/>
    <cellStyle name="Normal 11 4 4 3 2" xfId="3391" xr:uid="{00000000-0005-0000-0000-00002A140000}"/>
    <cellStyle name="Normal 11 4 4 3 2 2" xfId="9681" xr:uid="{00000000-0005-0000-0000-00002B140000}"/>
    <cellStyle name="Normal 11 4 4 3 2 2 2" xfId="22029" xr:uid="{00000000-0005-0000-0000-00002C140000}"/>
    <cellStyle name="Normal 11 4 4 3 2 3" xfId="15803" xr:uid="{00000000-0005-0000-0000-00002D140000}"/>
    <cellStyle name="Normal 11 4 4 3 3" xfId="9680" xr:uid="{00000000-0005-0000-0000-00002E140000}"/>
    <cellStyle name="Normal 11 4 4 3 3 2" xfId="22028" xr:uid="{00000000-0005-0000-0000-00002F140000}"/>
    <cellStyle name="Normal 11 4 4 3 4" xfId="15802" xr:uid="{00000000-0005-0000-0000-000030140000}"/>
    <cellStyle name="Normal 11 4 4 4" xfId="3392" xr:uid="{00000000-0005-0000-0000-000031140000}"/>
    <cellStyle name="Normal 11 4 4 4 2" xfId="9682" xr:uid="{00000000-0005-0000-0000-000032140000}"/>
    <cellStyle name="Normal 11 4 4 4 2 2" xfId="22030" xr:uid="{00000000-0005-0000-0000-000033140000}"/>
    <cellStyle name="Normal 11 4 4 4 3" xfId="15804" xr:uid="{00000000-0005-0000-0000-000034140000}"/>
    <cellStyle name="Normal 11 4 4 5" xfId="9677" xr:uid="{00000000-0005-0000-0000-000035140000}"/>
    <cellStyle name="Normal 11 4 4 5 2" xfId="22025" xr:uid="{00000000-0005-0000-0000-000036140000}"/>
    <cellStyle name="Normal 11 4 4 6" xfId="15799" xr:uid="{00000000-0005-0000-0000-000037140000}"/>
    <cellStyle name="Normal 11 4 5" xfId="3393" xr:uid="{00000000-0005-0000-0000-000038140000}"/>
    <cellStyle name="Normal 11 4 5 2" xfId="3394" xr:uid="{00000000-0005-0000-0000-000039140000}"/>
    <cellStyle name="Normal 11 4 5 2 2" xfId="9684" xr:uid="{00000000-0005-0000-0000-00003A140000}"/>
    <cellStyle name="Normal 11 4 5 2 2 2" xfId="22032" xr:uid="{00000000-0005-0000-0000-00003B140000}"/>
    <cellStyle name="Normal 11 4 5 2 3" xfId="15806" xr:uid="{00000000-0005-0000-0000-00003C140000}"/>
    <cellStyle name="Normal 11 4 5 3" xfId="9683" xr:uid="{00000000-0005-0000-0000-00003D140000}"/>
    <cellStyle name="Normal 11 4 5 3 2" xfId="22031" xr:uid="{00000000-0005-0000-0000-00003E140000}"/>
    <cellStyle name="Normal 11 4 5 4" xfId="15805" xr:uid="{00000000-0005-0000-0000-00003F140000}"/>
    <cellStyle name="Normal 11 4 6" xfId="3395" xr:uid="{00000000-0005-0000-0000-000040140000}"/>
    <cellStyle name="Normal 11 4 6 2" xfId="3396" xr:uid="{00000000-0005-0000-0000-000041140000}"/>
    <cellStyle name="Normal 11 4 6 2 2" xfId="9686" xr:uid="{00000000-0005-0000-0000-000042140000}"/>
    <cellStyle name="Normal 11 4 6 2 2 2" xfId="22034" xr:uid="{00000000-0005-0000-0000-000043140000}"/>
    <cellStyle name="Normal 11 4 6 2 3" xfId="15808" xr:uid="{00000000-0005-0000-0000-000044140000}"/>
    <cellStyle name="Normal 11 4 6 3" xfId="9685" xr:uid="{00000000-0005-0000-0000-000045140000}"/>
    <cellStyle name="Normal 11 4 6 3 2" xfId="22033" xr:uid="{00000000-0005-0000-0000-000046140000}"/>
    <cellStyle name="Normal 11 4 6 4" xfId="15807" xr:uid="{00000000-0005-0000-0000-000047140000}"/>
    <cellStyle name="Normal 11 4 7" xfId="3397" xr:uid="{00000000-0005-0000-0000-000048140000}"/>
    <cellStyle name="Normal 11 4 7 2" xfId="9687" xr:uid="{00000000-0005-0000-0000-000049140000}"/>
    <cellStyle name="Normal 11 4 7 2 2" xfId="22035" xr:uid="{00000000-0005-0000-0000-00004A140000}"/>
    <cellStyle name="Normal 11 4 7 3" xfId="15809" xr:uid="{00000000-0005-0000-0000-00004B140000}"/>
    <cellStyle name="Normal 11 4 8" xfId="9640" xr:uid="{00000000-0005-0000-0000-00004C140000}"/>
    <cellStyle name="Normal 11 4 8 2" xfId="21988" xr:uid="{00000000-0005-0000-0000-00004D140000}"/>
    <cellStyle name="Normal 11 4 9" xfId="15762" xr:uid="{00000000-0005-0000-0000-00004E140000}"/>
    <cellStyle name="Normal 11 5" xfId="3398" xr:uid="{00000000-0005-0000-0000-00004F140000}"/>
    <cellStyle name="Normal 11 5 10" xfId="3399" xr:uid="{00000000-0005-0000-0000-000050140000}"/>
    <cellStyle name="Normal 11 5 10 2" xfId="3400" xr:uid="{00000000-0005-0000-0000-000051140000}"/>
    <cellStyle name="Normal 11 5 10 2 2" xfId="9690" xr:uid="{00000000-0005-0000-0000-000052140000}"/>
    <cellStyle name="Normal 11 5 10 2 2 2" xfId="22038" xr:uid="{00000000-0005-0000-0000-000053140000}"/>
    <cellStyle name="Normal 11 5 10 2 3" xfId="15812" xr:uid="{00000000-0005-0000-0000-000054140000}"/>
    <cellStyle name="Normal 11 5 10 3" xfId="3401" xr:uid="{00000000-0005-0000-0000-000055140000}"/>
    <cellStyle name="Normal 11 5 10 3 2" xfId="9691" xr:uid="{00000000-0005-0000-0000-000056140000}"/>
    <cellStyle name="Normal 11 5 10 3 2 2" xfId="22039" xr:uid="{00000000-0005-0000-0000-000057140000}"/>
    <cellStyle name="Normal 11 5 10 3 3" xfId="15813" xr:uid="{00000000-0005-0000-0000-000058140000}"/>
    <cellStyle name="Normal 11 5 10 4" xfId="9689" xr:uid="{00000000-0005-0000-0000-000059140000}"/>
    <cellStyle name="Normal 11 5 10 4 2" xfId="22037" xr:uid="{00000000-0005-0000-0000-00005A140000}"/>
    <cellStyle name="Normal 11 5 10 5" xfId="15811" xr:uid="{00000000-0005-0000-0000-00005B140000}"/>
    <cellStyle name="Normal 11 5 11" xfId="3402" xr:uid="{00000000-0005-0000-0000-00005C140000}"/>
    <cellStyle name="Normal 11 5 11 2" xfId="3403" xr:uid="{00000000-0005-0000-0000-00005D140000}"/>
    <cellStyle name="Normal 11 5 11 2 2" xfId="9693" xr:uid="{00000000-0005-0000-0000-00005E140000}"/>
    <cellStyle name="Normal 11 5 11 2 2 2" xfId="22041" xr:uid="{00000000-0005-0000-0000-00005F140000}"/>
    <cellStyle name="Normal 11 5 11 2 3" xfId="15815" xr:uid="{00000000-0005-0000-0000-000060140000}"/>
    <cellStyle name="Normal 11 5 11 3" xfId="9692" xr:uid="{00000000-0005-0000-0000-000061140000}"/>
    <cellStyle name="Normal 11 5 11 3 2" xfId="22040" xr:uid="{00000000-0005-0000-0000-000062140000}"/>
    <cellStyle name="Normal 11 5 11 4" xfId="15814" xr:uid="{00000000-0005-0000-0000-000063140000}"/>
    <cellStyle name="Normal 11 5 12" xfId="3404" xr:uid="{00000000-0005-0000-0000-000064140000}"/>
    <cellStyle name="Normal 11 5 12 2" xfId="3405" xr:uid="{00000000-0005-0000-0000-000065140000}"/>
    <cellStyle name="Normal 11 5 12 2 2" xfId="9695" xr:uid="{00000000-0005-0000-0000-000066140000}"/>
    <cellStyle name="Normal 11 5 12 2 2 2" xfId="22043" xr:uid="{00000000-0005-0000-0000-000067140000}"/>
    <cellStyle name="Normal 11 5 12 2 3" xfId="15817" xr:uid="{00000000-0005-0000-0000-000068140000}"/>
    <cellStyle name="Normal 11 5 12 3" xfId="9694" xr:uid="{00000000-0005-0000-0000-000069140000}"/>
    <cellStyle name="Normal 11 5 12 3 2" xfId="22042" xr:uid="{00000000-0005-0000-0000-00006A140000}"/>
    <cellStyle name="Normal 11 5 12 4" xfId="15816" xr:uid="{00000000-0005-0000-0000-00006B140000}"/>
    <cellStyle name="Normal 11 5 13" xfId="3406" xr:uid="{00000000-0005-0000-0000-00006C140000}"/>
    <cellStyle name="Normal 11 5 13 2" xfId="9696" xr:uid="{00000000-0005-0000-0000-00006D140000}"/>
    <cellStyle name="Normal 11 5 13 2 2" xfId="22044" xr:uid="{00000000-0005-0000-0000-00006E140000}"/>
    <cellStyle name="Normal 11 5 13 3" xfId="15818" xr:uid="{00000000-0005-0000-0000-00006F140000}"/>
    <cellStyle name="Normal 11 5 14" xfId="3407" xr:uid="{00000000-0005-0000-0000-000070140000}"/>
    <cellStyle name="Normal 11 5 14 2" xfId="9697" xr:uid="{00000000-0005-0000-0000-000071140000}"/>
    <cellStyle name="Normal 11 5 14 2 2" xfId="22045" xr:uid="{00000000-0005-0000-0000-000072140000}"/>
    <cellStyle name="Normal 11 5 14 3" xfId="15819" xr:uid="{00000000-0005-0000-0000-000073140000}"/>
    <cellStyle name="Normal 11 5 15" xfId="3408" xr:uid="{00000000-0005-0000-0000-000074140000}"/>
    <cellStyle name="Normal 11 5 15 2" xfId="9698" xr:uid="{00000000-0005-0000-0000-000075140000}"/>
    <cellStyle name="Normal 11 5 15 2 2" xfId="22046" xr:uid="{00000000-0005-0000-0000-000076140000}"/>
    <cellStyle name="Normal 11 5 15 3" xfId="15820" xr:uid="{00000000-0005-0000-0000-000077140000}"/>
    <cellStyle name="Normal 11 5 16" xfId="3409" xr:uid="{00000000-0005-0000-0000-000078140000}"/>
    <cellStyle name="Normal 11 5 16 2" xfId="9699" xr:uid="{00000000-0005-0000-0000-000079140000}"/>
    <cellStyle name="Normal 11 5 16 2 2" xfId="22047" xr:uid="{00000000-0005-0000-0000-00007A140000}"/>
    <cellStyle name="Normal 11 5 16 3" xfId="15821" xr:uid="{00000000-0005-0000-0000-00007B140000}"/>
    <cellStyle name="Normal 11 5 17" xfId="3410" xr:uid="{00000000-0005-0000-0000-00007C140000}"/>
    <cellStyle name="Normal 11 5 17 2" xfId="9700" xr:uid="{00000000-0005-0000-0000-00007D140000}"/>
    <cellStyle name="Normal 11 5 17 2 2" xfId="22048" xr:uid="{00000000-0005-0000-0000-00007E140000}"/>
    <cellStyle name="Normal 11 5 17 3" xfId="15822" xr:uid="{00000000-0005-0000-0000-00007F140000}"/>
    <cellStyle name="Normal 11 5 18" xfId="3411" xr:uid="{00000000-0005-0000-0000-000080140000}"/>
    <cellStyle name="Normal 11 5 18 2" xfId="9701" xr:uid="{00000000-0005-0000-0000-000081140000}"/>
    <cellStyle name="Normal 11 5 18 2 2" xfId="22049" xr:uid="{00000000-0005-0000-0000-000082140000}"/>
    <cellStyle name="Normal 11 5 18 3" xfId="15823" xr:uid="{00000000-0005-0000-0000-000083140000}"/>
    <cellStyle name="Normal 11 5 19" xfId="3412" xr:uid="{00000000-0005-0000-0000-000084140000}"/>
    <cellStyle name="Normal 11 5 19 2" xfId="3413" xr:uid="{00000000-0005-0000-0000-000085140000}"/>
    <cellStyle name="Normal 11 5 19 2 2" xfId="9703" xr:uid="{00000000-0005-0000-0000-000086140000}"/>
    <cellStyle name="Normal 11 5 19 2 2 2" xfId="22051" xr:uid="{00000000-0005-0000-0000-000087140000}"/>
    <cellStyle name="Normal 11 5 19 2 3" xfId="15825" xr:uid="{00000000-0005-0000-0000-000088140000}"/>
    <cellStyle name="Normal 11 5 19 3" xfId="3414" xr:uid="{00000000-0005-0000-0000-000089140000}"/>
    <cellStyle name="Normal 11 5 19 3 2" xfId="9704" xr:uid="{00000000-0005-0000-0000-00008A140000}"/>
    <cellStyle name="Normal 11 5 19 3 2 2" xfId="22052" xr:uid="{00000000-0005-0000-0000-00008B140000}"/>
    <cellStyle name="Normal 11 5 19 3 3" xfId="15826" xr:uid="{00000000-0005-0000-0000-00008C140000}"/>
    <cellStyle name="Normal 11 5 19 4" xfId="3415" xr:uid="{00000000-0005-0000-0000-00008D140000}"/>
    <cellStyle name="Normal 11 5 19 4 2" xfId="9705" xr:uid="{00000000-0005-0000-0000-00008E140000}"/>
    <cellStyle name="Normal 11 5 19 4 2 2" xfId="22053" xr:uid="{00000000-0005-0000-0000-00008F140000}"/>
    <cellStyle name="Normal 11 5 19 4 3" xfId="15827" xr:uid="{00000000-0005-0000-0000-000090140000}"/>
    <cellStyle name="Normal 11 5 19 5" xfId="3416" xr:uid="{00000000-0005-0000-0000-000091140000}"/>
    <cellStyle name="Normal 11 5 19 5 2" xfId="9706" xr:uid="{00000000-0005-0000-0000-000092140000}"/>
    <cellStyle name="Normal 11 5 19 5 2 2" xfId="22054" xr:uid="{00000000-0005-0000-0000-000093140000}"/>
    <cellStyle name="Normal 11 5 19 5 3" xfId="15828" xr:uid="{00000000-0005-0000-0000-000094140000}"/>
    <cellStyle name="Normal 11 5 19 6" xfId="3417" xr:uid="{00000000-0005-0000-0000-000095140000}"/>
    <cellStyle name="Normal 11 5 19 6 2" xfId="9707" xr:uid="{00000000-0005-0000-0000-000096140000}"/>
    <cellStyle name="Normal 11 5 19 6 2 2" xfId="22055" xr:uid="{00000000-0005-0000-0000-000097140000}"/>
    <cellStyle name="Normal 11 5 19 6 3" xfId="15829" xr:uid="{00000000-0005-0000-0000-000098140000}"/>
    <cellStyle name="Normal 11 5 19 7" xfId="9702" xr:uid="{00000000-0005-0000-0000-000099140000}"/>
    <cellStyle name="Normal 11 5 19 7 2" xfId="22050" xr:uid="{00000000-0005-0000-0000-00009A140000}"/>
    <cellStyle name="Normal 11 5 19 8" xfId="15824" xr:uid="{00000000-0005-0000-0000-00009B140000}"/>
    <cellStyle name="Normal 11 5 2" xfId="3418" xr:uid="{00000000-0005-0000-0000-00009C140000}"/>
    <cellStyle name="Normal 11 5 2 2" xfId="3419" xr:uid="{00000000-0005-0000-0000-00009D140000}"/>
    <cellStyle name="Normal 11 5 2 2 2" xfId="3420" xr:uid="{00000000-0005-0000-0000-00009E140000}"/>
    <cellStyle name="Normal 11 5 2 2 2 2" xfId="3421" xr:uid="{00000000-0005-0000-0000-00009F140000}"/>
    <cellStyle name="Normal 11 5 2 2 2 2 2" xfId="9711" xr:uid="{00000000-0005-0000-0000-0000A0140000}"/>
    <cellStyle name="Normal 11 5 2 2 2 2 2 2" xfId="22059" xr:uid="{00000000-0005-0000-0000-0000A1140000}"/>
    <cellStyle name="Normal 11 5 2 2 2 2 3" xfId="15833" xr:uid="{00000000-0005-0000-0000-0000A2140000}"/>
    <cellStyle name="Normal 11 5 2 2 2 3" xfId="9710" xr:uid="{00000000-0005-0000-0000-0000A3140000}"/>
    <cellStyle name="Normal 11 5 2 2 2 3 2" xfId="22058" xr:uid="{00000000-0005-0000-0000-0000A4140000}"/>
    <cellStyle name="Normal 11 5 2 2 2 4" xfId="15832" xr:uid="{00000000-0005-0000-0000-0000A5140000}"/>
    <cellStyle name="Normal 11 5 2 2 3" xfId="3422" xr:uid="{00000000-0005-0000-0000-0000A6140000}"/>
    <cellStyle name="Normal 11 5 2 2 3 2" xfId="3423" xr:uid="{00000000-0005-0000-0000-0000A7140000}"/>
    <cellStyle name="Normal 11 5 2 2 3 2 2" xfId="9713" xr:uid="{00000000-0005-0000-0000-0000A8140000}"/>
    <cellStyle name="Normal 11 5 2 2 3 2 2 2" xfId="22061" xr:uid="{00000000-0005-0000-0000-0000A9140000}"/>
    <cellStyle name="Normal 11 5 2 2 3 2 3" xfId="15835" xr:uid="{00000000-0005-0000-0000-0000AA140000}"/>
    <cellStyle name="Normal 11 5 2 2 3 3" xfId="9712" xr:uid="{00000000-0005-0000-0000-0000AB140000}"/>
    <cellStyle name="Normal 11 5 2 2 3 3 2" xfId="22060" xr:uid="{00000000-0005-0000-0000-0000AC140000}"/>
    <cellStyle name="Normal 11 5 2 2 3 4" xfId="15834" xr:uid="{00000000-0005-0000-0000-0000AD140000}"/>
    <cellStyle name="Normal 11 5 2 2 4" xfId="3424" xr:uid="{00000000-0005-0000-0000-0000AE140000}"/>
    <cellStyle name="Normal 11 5 2 2 4 2" xfId="9714" xr:uid="{00000000-0005-0000-0000-0000AF140000}"/>
    <cellStyle name="Normal 11 5 2 2 4 2 2" xfId="22062" xr:uid="{00000000-0005-0000-0000-0000B0140000}"/>
    <cellStyle name="Normal 11 5 2 2 4 3" xfId="15836" xr:uid="{00000000-0005-0000-0000-0000B1140000}"/>
    <cellStyle name="Normal 11 5 2 2 5" xfId="3425" xr:uid="{00000000-0005-0000-0000-0000B2140000}"/>
    <cellStyle name="Normal 11 5 2 2 5 2" xfId="9715" xr:uid="{00000000-0005-0000-0000-0000B3140000}"/>
    <cellStyle name="Normal 11 5 2 2 5 2 2" xfId="22063" xr:uid="{00000000-0005-0000-0000-0000B4140000}"/>
    <cellStyle name="Normal 11 5 2 2 5 3" xfId="15837" xr:uid="{00000000-0005-0000-0000-0000B5140000}"/>
    <cellStyle name="Normal 11 5 2 2 6" xfId="9709" xr:uid="{00000000-0005-0000-0000-0000B6140000}"/>
    <cellStyle name="Normal 11 5 2 2 6 2" xfId="22057" xr:uid="{00000000-0005-0000-0000-0000B7140000}"/>
    <cellStyle name="Normal 11 5 2 2 7" xfId="15831" xr:uid="{00000000-0005-0000-0000-0000B8140000}"/>
    <cellStyle name="Normal 11 5 2 3" xfId="3426" xr:uid="{00000000-0005-0000-0000-0000B9140000}"/>
    <cellStyle name="Normal 11 5 2 3 2" xfId="3427" xr:uid="{00000000-0005-0000-0000-0000BA140000}"/>
    <cellStyle name="Normal 11 5 2 3 2 2" xfId="9717" xr:uid="{00000000-0005-0000-0000-0000BB140000}"/>
    <cellStyle name="Normal 11 5 2 3 2 2 2" xfId="22065" xr:uid="{00000000-0005-0000-0000-0000BC140000}"/>
    <cellStyle name="Normal 11 5 2 3 2 3" xfId="15839" xr:uid="{00000000-0005-0000-0000-0000BD140000}"/>
    <cellStyle name="Normal 11 5 2 3 3" xfId="3428" xr:uid="{00000000-0005-0000-0000-0000BE140000}"/>
    <cellStyle name="Normal 11 5 2 3 3 2" xfId="9718" xr:uid="{00000000-0005-0000-0000-0000BF140000}"/>
    <cellStyle name="Normal 11 5 2 3 3 2 2" xfId="22066" xr:uid="{00000000-0005-0000-0000-0000C0140000}"/>
    <cellStyle name="Normal 11 5 2 3 3 3" xfId="15840" xr:uid="{00000000-0005-0000-0000-0000C1140000}"/>
    <cellStyle name="Normal 11 5 2 3 4" xfId="9716" xr:uid="{00000000-0005-0000-0000-0000C2140000}"/>
    <cellStyle name="Normal 11 5 2 3 4 2" xfId="22064" xr:uid="{00000000-0005-0000-0000-0000C3140000}"/>
    <cellStyle name="Normal 11 5 2 3 5" xfId="15838" xr:uid="{00000000-0005-0000-0000-0000C4140000}"/>
    <cellStyle name="Normal 11 5 2 4" xfId="3429" xr:uid="{00000000-0005-0000-0000-0000C5140000}"/>
    <cellStyle name="Normal 11 5 2 4 2" xfId="3430" xr:uid="{00000000-0005-0000-0000-0000C6140000}"/>
    <cellStyle name="Normal 11 5 2 4 2 2" xfId="9720" xr:uid="{00000000-0005-0000-0000-0000C7140000}"/>
    <cellStyle name="Normal 11 5 2 4 2 2 2" xfId="22068" xr:uid="{00000000-0005-0000-0000-0000C8140000}"/>
    <cellStyle name="Normal 11 5 2 4 2 3" xfId="15842" xr:uid="{00000000-0005-0000-0000-0000C9140000}"/>
    <cellStyle name="Normal 11 5 2 4 3" xfId="3431" xr:uid="{00000000-0005-0000-0000-0000CA140000}"/>
    <cellStyle name="Normal 11 5 2 4 3 2" xfId="9721" xr:uid="{00000000-0005-0000-0000-0000CB140000}"/>
    <cellStyle name="Normal 11 5 2 4 3 2 2" xfId="22069" xr:uid="{00000000-0005-0000-0000-0000CC140000}"/>
    <cellStyle name="Normal 11 5 2 4 3 3" xfId="15843" xr:uid="{00000000-0005-0000-0000-0000CD140000}"/>
    <cellStyle name="Normal 11 5 2 4 4" xfId="9719" xr:uid="{00000000-0005-0000-0000-0000CE140000}"/>
    <cellStyle name="Normal 11 5 2 4 4 2" xfId="22067" xr:uid="{00000000-0005-0000-0000-0000CF140000}"/>
    <cellStyle name="Normal 11 5 2 4 5" xfId="15841" xr:uid="{00000000-0005-0000-0000-0000D0140000}"/>
    <cellStyle name="Normal 11 5 2 5" xfId="3432" xr:uid="{00000000-0005-0000-0000-0000D1140000}"/>
    <cellStyle name="Normal 11 5 2 5 2" xfId="9722" xr:uid="{00000000-0005-0000-0000-0000D2140000}"/>
    <cellStyle name="Normal 11 5 2 5 2 2" xfId="22070" xr:uid="{00000000-0005-0000-0000-0000D3140000}"/>
    <cellStyle name="Normal 11 5 2 5 3" xfId="15844" xr:uid="{00000000-0005-0000-0000-0000D4140000}"/>
    <cellStyle name="Normal 11 5 2 6" xfId="3433" xr:uid="{00000000-0005-0000-0000-0000D5140000}"/>
    <cellStyle name="Normal 11 5 2 6 2" xfId="9723" xr:uid="{00000000-0005-0000-0000-0000D6140000}"/>
    <cellStyle name="Normal 11 5 2 6 2 2" xfId="22071" xr:uid="{00000000-0005-0000-0000-0000D7140000}"/>
    <cellStyle name="Normal 11 5 2 6 3" xfId="15845" xr:uid="{00000000-0005-0000-0000-0000D8140000}"/>
    <cellStyle name="Normal 11 5 2 7" xfId="9708" xr:uid="{00000000-0005-0000-0000-0000D9140000}"/>
    <cellStyle name="Normal 11 5 2 7 2" xfId="22056" xr:uid="{00000000-0005-0000-0000-0000DA140000}"/>
    <cellStyle name="Normal 11 5 2 8" xfId="15830" xr:uid="{00000000-0005-0000-0000-0000DB140000}"/>
    <cellStyle name="Normal 11 5 20" xfId="3434" xr:uid="{00000000-0005-0000-0000-0000DC140000}"/>
    <cellStyle name="Normal 11 5 20 2" xfId="9724" xr:uid="{00000000-0005-0000-0000-0000DD140000}"/>
    <cellStyle name="Normal 11 5 20 2 2" xfId="22072" xr:uid="{00000000-0005-0000-0000-0000DE140000}"/>
    <cellStyle name="Normal 11 5 20 3" xfId="15846" xr:uid="{00000000-0005-0000-0000-0000DF140000}"/>
    <cellStyle name="Normal 11 5 21" xfId="3435" xr:uid="{00000000-0005-0000-0000-0000E0140000}"/>
    <cellStyle name="Normal 11 5 21 2" xfId="9725" xr:uid="{00000000-0005-0000-0000-0000E1140000}"/>
    <cellStyle name="Normal 11 5 21 2 2" xfId="22073" xr:uid="{00000000-0005-0000-0000-0000E2140000}"/>
    <cellStyle name="Normal 11 5 21 3" xfId="15847" xr:uid="{00000000-0005-0000-0000-0000E3140000}"/>
    <cellStyle name="Normal 11 5 22" xfId="3436" xr:uid="{00000000-0005-0000-0000-0000E4140000}"/>
    <cellStyle name="Normal 11 5 22 2" xfId="9726" xr:uid="{00000000-0005-0000-0000-0000E5140000}"/>
    <cellStyle name="Normal 11 5 22 2 2" xfId="22074" xr:uid="{00000000-0005-0000-0000-0000E6140000}"/>
    <cellStyle name="Normal 11 5 22 3" xfId="15848" xr:uid="{00000000-0005-0000-0000-0000E7140000}"/>
    <cellStyle name="Normal 11 5 23" xfId="3437" xr:uid="{00000000-0005-0000-0000-0000E8140000}"/>
    <cellStyle name="Normal 11 5 23 2" xfId="9727" xr:uid="{00000000-0005-0000-0000-0000E9140000}"/>
    <cellStyle name="Normal 11 5 23 2 2" xfId="22075" xr:uid="{00000000-0005-0000-0000-0000EA140000}"/>
    <cellStyle name="Normal 11 5 23 3" xfId="15849" xr:uid="{00000000-0005-0000-0000-0000EB140000}"/>
    <cellStyle name="Normal 11 5 24" xfId="3438" xr:uid="{00000000-0005-0000-0000-0000EC140000}"/>
    <cellStyle name="Normal 11 5 24 2" xfId="9728" xr:uid="{00000000-0005-0000-0000-0000ED140000}"/>
    <cellStyle name="Normal 11 5 24 2 2" xfId="22076" xr:uid="{00000000-0005-0000-0000-0000EE140000}"/>
    <cellStyle name="Normal 11 5 24 3" xfId="15850" xr:uid="{00000000-0005-0000-0000-0000EF140000}"/>
    <cellStyle name="Normal 11 5 25" xfId="3439" xr:uid="{00000000-0005-0000-0000-0000F0140000}"/>
    <cellStyle name="Normal 11 5 25 2" xfId="9729" xr:uid="{00000000-0005-0000-0000-0000F1140000}"/>
    <cellStyle name="Normal 11 5 25 2 2" xfId="22077" xr:uid="{00000000-0005-0000-0000-0000F2140000}"/>
    <cellStyle name="Normal 11 5 25 3" xfId="15851" xr:uid="{00000000-0005-0000-0000-0000F3140000}"/>
    <cellStyle name="Normal 11 5 26" xfId="3440" xr:uid="{00000000-0005-0000-0000-0000F4140000}"/>
    <cellStyle name="Normal 11 5 26 2" xfId="9730" xr:uid="{00000000-0005-0000-0000-0000F5140000}"/>
    <cellStyle name="Normal 11 5 26 2 2" xfId="22078" xr:uid="{00000000-0005-0000-0000-0000F6140000}"/>
    <cellStyle name="Normal 11 5 26 3" xfId="15852" xr:uid="{00000000-0005-0000-0000-0000F7140000}"/>
    <cellStyle name="Normal 11 5 27" xfId="3441" xr:uid="{00000000-0005-0000-0000-0000F8140000}"/>
    <cellStyle name="Normal 11 5 27 2" xfId="9731" xr:uid="{00000000-0005-0000-0000-0000F9140000}"/>
    <cellStyle name="Normal 11 5 27 2 2" xfId="22079" xr:uid="{00000000-0005-0000-0000-0000FA140000}"/>
    <cellStyle name="Normal 11 5 27 3" xfId="15853" xr:uid="{00000000-0005-0000-0000-0000FB140000}"/>
    <cellStyle name="Normal 11 5 28" xfId="3442" xr:uid="{00000000-0005-0000-0000-0000FC140000}"/>
    <cellStyle name="Normal 11 5 28 2" xfId="9732" xr:uid="{00000000-0005-0000-0000-0000FD140000}"/>
    <cellStyle name="Normal 11 5 28 2 2" xfId="22080" xr:uid="{00000000-0005-0000-0000-0000FE140000}"/>
    <cellStyle name="Normal 11 5 28 3" xfId="15854" xr:uid="{00000000-0005-0000-0000-0000FF140000}"/>
    <cellStyle name="Normal 11 5 29" xfId="9688" xr:uid="{00000000-0005-0000-0000-000000150000}"/>
    <cellStyle name="Normal 11 5 29 2" xfId="22036" xr:uid="{00000000-0005-0000-0000-000001150000}"/>
    <cellStyle name="Normal 11 5 3" xfId="3443" xr:uid="{00000000-0005-0000-0000-000002150000}"/>
    <cellStyle name="Normal 11 5 3 2" xfId="3444" xr:uid="{00000000-0005-0000-0000-000003150000}"/>
    <cellStyle name="Normal 11 5 3 2 2" xfId="3445" xr:uid="{00000000-0005-0000-0000-000004150000}"/>
    <cellStyle name="Normal 11 5 3 2 2 2" xfId="3446" xr:uid="{00000000-0005-0000-0000-000005150000}"/>
    <cellStyle name="Normal 11 5 3 2 2 2 2" xfId="9736" xr:uid="{00000000-0005-0000-0000-000006150000}"/>
    <cellStyle name="Normal 11 5 3 2 2 2 2 2" xfId="22084" xr:uid="{00000000-0005-0000-0000-000007150000}"/>
    <cellStyle name="Normal 11 5 3 2 2 2 3" xfId="15858" xr:uid="{00000000-0005-0000-0000-000008150000}"/>
    <cellStyle name="Normal 11 5 3 2 2 3" xfId="3447" xr:uid="{00000000-0005-0000-0000-000009150000}"/>
    <cellStyle name="Normal 11 5 3 2 2 3 2" xfId="9737" xr:uid="{00000000-0005-0000-0000-00000A150000}"/>
    <cellStyle name="Normal 11 5 3 2 2 3 2 2" xfId="22085" xr:uid="{00000000-0005-0000-0000-00000B150000}"/>
    <cellStyle name="Normal 11 5 3 2 2 3 3" xfId="15859" xr:uid="{00000000-0005-0000-0000-00000C150000}"/>
    <cellStyle name="Normal 11 5 3 2 2 4" xfId="9735" xr:uid="{00000000-0005-0000-0000-00000D150000}"/>
    <cellStyle name="Normal 11 5 3 2 2 4 2" xfId="22083" xr:uid="{00000000-0005-0000-0000-00000E150000}"/>
    <cellStyle name="Normal 11 5 3 2 2 5" xfId="15857" xr:uid="{00000000-0005-0000-0000-00000F150000}"/>
    <cellStyle name="Normal 11 5 3 2 3" xfId="3448" xr:uid="{00000000-0005-0000-0000-000010150000}"/>
    <cellStyle name="Normal 11 5 3 2 3 2" xfId="3449" xr:uid="{00000000-0005-0000-0000-000011150000}"/>
    <cellStyle name="Normal 11 5 3 2 3 2 2" xfId="9739" xr:uid="{00000000-0005-0000-0000-000012150000}"/>
    <cellStyle name="Normal 11 5 3 2 3 2 2 2" xfId="22087" xr:uid="{00000000-0005-0000-0000-000013150000}"/>
    <cellStyle name="Normal 11 5 3 2 3 2 3" xfId="15861" xr:uid="{00000000-0005-0000-0000-000014150000}"/>
    <cellStyle name="Normal 11 5 3 2 3 3" xfId="3450" xr:uid="{00000000-0005-0000-0000-000015150000}"/>
    <cellStyle name="Normal 11 5 3 2 3 3 2" xfId="9740" xr:uid="{00000000-0005-0000-0000-000016150000}"/>
    <cellStyle name="Normal 11 5 3 2 3 3 2 2" xfId="22088" xr:uid="{00000000-0005-0000-0000-000017150000}"/>
    <cellStyle name="Normal 11 5 3 2 3 3 3" xfId="15862" xr:uid="{00000000-0005-0000-0000-000018150000}"/>
    <cellStyle name="Normal 11 5 3 2 3 4" xfId="9738" xr:uid="{00000000-0005-0000-0000-000019150000}"/>
    <cellStyle name="Normal 11 5 3 2 3 4 2" xfId="22086" xr:uid="{00000000-0005-0000-0000-00001A150000}"/>
    <cellStyle name="Normal 11 5 3 2 3 5" xfId="15860" xr:uid="{00000000-0005-0000-0000-00001B150000}"/>
    <cellStyle name="Normal 11 5 3 2 4" xfId="3451" xr:uid="{00000000-0005-0000-0000-00001C150000}"/>
    <cellStyle name="Normal 11 5 3 2 4 2" xfId="9741" xr:uid="{00000000-0005-0000-0000-00001D150000}"/>
    <cellStyle name="Normal 11 5 3 2 4 2 2" xfId="22089" xr:uid="{00000000-0005-0000-0000-00001E150000}"/>
    <cellStyle name="Normal 11 5 3 2 4 3" xfId="15863" xr:uid="{00000000-0005-0000-0000-00001F150000}"/>
    <cellStyle name="Normal 11 5 3 2 5" xfId="3452" xr:uid="{00000000-0005-0000-0000-000020150000}"/>
    <cellStyle name="Normal 11 5 3 2 5 2" xfId="9742" xr:uid="{00000000-0005-0000-0000-000021150000}"/>
    <cellStyle name="Normal 11 5 3 2 5 2 2" xfId="22090" xr:uid="{00000000-0005-0000-0000-000022150000}"/>
    <cellStyle name="Normal 11 5 3 2 5 3" xfId="15864" xr:uid="{00000000-0005-0000-0000-000023150000}"/>
    <cellStyle name="Normal 11 5 3 2 6" xfId="9734" xr:uid="{00000000-0005-0000-0000-000024150000}"/>
    <cellStyle name="Normal 11 5 3 2 6 2" xfId="22082" xr:uid="{00000000-0005-0000-0000-000025150000}"/>
    <cellStyle name="Normal 11 5 3 2 7" xfId="15856" xr:uid="{00000000-0005-0000-0000-000026150000}"/>
    <cellStyle name="Normal 11 5 3 3" xfId="3453" xr:uid="{00000000-0005-0000-0000-000027150000}"/>
    <cellStyle name="Normal 11 5 3 3 2" xfId="3454" xr:uid="{00000000-0005-0000-0000-000028150000}"/>
    <cellStyle name="Normal 11 5 3 3 2 2" xfId="9744" xr:uid="{00000000-0005-0000-0000-000029150000}"/>
    <cellStyle name="Normal 11 5 3 3 2 2 2" xfId="22092" xr:uid="{00000000-0005-0000-0000-00002A150000}"/>
    <cellStyle name="Normal 11 5 3 3 2 3" xfId="15866" xr:uid="{00000000-0005-0000-0000-00002B150000}"/>
    <cellStyle name="Normal 11 5 3 3 3" xfId="3455" xr:uid="{00000000-0005-0000-0000-00002C150000}"/>
    <cellStyle name="Normal 11 5 3 3 3 2" xfId="9745" xr:uid="{00000000-0005-0000-0000-00002D150000}"/>
    <cellStyle name="Normal 11 5 3 3 3 2 2" xfId="22093" xr:uid="{00000000-0005-0000-0000-00002E150000}"/>
    <cellStyle name="Normal 11 5 3 3 3 3" xfId="15867" xr:uid="{00000000-0005-0000-0000-00002F150000}"/>
    <cellStyle name="Normal 11 5 3 3 4" xfId="3456" xr:uid="{00000000-0005-0000-0000-000030150000}"/>
    <cellStyle name="Normal 11 5 3 3 4 2" xfId="9746" xr:uid="{00000000-0005-0000-0000-000031150000}"/>
    <cellStyle name="Normal 11 5 3 3 4 2 2" xfId="22094" xr:uid="{00000000-0005-0000-0000-000032150000}"/>
    <cellStyle name="Normal 11 5 3 3 4 3" xfId="15868" xr:uid="{00000000-0005-0000-0000-000033150000}"/>
    <cellStyle name="Normal 11 5 3 3 5" xfId="3457" xr:uid="{00000000-0005-0000-0000-000034150000}"/>
    <cellStyle name="Normal 11 5 3 3 5 2" xfId="9747" xr:uid="{00000000-0005-0000-0000-000035150000}"/>
    <cellStyle name="Normal 11 5 3 3 5 2 2" xfId="22095" xr:uid="{00000000-0005-0000-0000-000036150000}"/>
    <cellStyle name="Normal 11 5 3 3 5 3" xfId="15869" xr:uid="{00000000-0005-0000-0000-000037150000}"/>
    <cellStyle name="Normal 11 5 3 3 6" xfId="9743" xr:uid="{00000000-0005-0000-0000-000038150000}"/>
    <cellStyle name="Normal 11 5 3 3 6 2" xfId="22091" xr:uid="{00000000-0005-0000-0000-000039150000}"/>
    <cellStyle name="Normal 11 5 3 3 7" xfId="15865" xr:uid="{00000000-0005-0000-0000-00003A150000}"/>
    <cellStyle name="Normal 11 5 3 4" xfId="3458" xr:uid="{00000000-0005-0000-0000-00003B150000}"/>
    <cellStyle name="Normal 11 5 3 4 2" xfId="3459" xr:uid="{00000000-0005-0000-0000-00003C150000}"/>
    <cellStyle name="Normal 11 5 3 4 2 2" xfId="9749" xr:uid="{00000000-0005-0000-0000-00003D150000}"/>
    <cellStyle name="Normal 11 5 3 4 2 2 2" xfId="22097" xr:uid="{00000000-0005-0000-0000-00003E150000}"/>
    <cellStyle name="Normal 11 5 3 4 2 3" xfId="15871" xr:uid="{00000000-0005-0000-0000-00003F150000}"/>
    <cellStyle name="Normal 11 5 3 4 3" xfId="3460" xr:uid="{00000000-0005-0000-0000-000040150000}"/>
    <cellStyle name="Normal 11 5 3 4 3 2" xfId="9750" xr:uid="{00000000-0005-0000-0000-000041150000}"/>
    <cellStyle name="Normal 11 5 3 4 3 2 2" xfId="22098" xr:uid="{00000000-0005-0000-0000-000042150000}"/>
    <cellStyle name="Normal 11 5 3 4 3 3" xfId="15872" xr:uid="{00000000-0005-0000-0000-000043150000}"/>
    <cellStyle name="Normal 11 5 3 4 4" xfId="9748" xr:uid="{00000000-0005-0000-0000-000044150000}"/>
    <cellStyle name="Normal 11 5 3 4 4 2" xfId="22096" xr:uid="{00000000-0005-0000-0000-000045150000}"/>
    <cellStyle name="Normal 11 5 3 4 5" xfId="15870" xr:uid="{00000000-0005-0000-0000-000046150000}"/>
    <cellStyle name="Normal 11 5 3 5" xfId="3461" xr:uid="{00000000-0005-0000-0000-000047150000}"/>
    <cellStyle name="Normal 11 5 3 5 2" xfId="3462" xr:uid="{00000000-0005-0000-0000-000048150000}"/>
    <cellStyle name="Normal 11 5 3 5 2 2" xfId="9752" xr:uid="{00000000-0005-0000-0000-000049150000}"/>
    <cellStyle name="Normal 11 5 3 5 2 2 2" xfId="22100" xr:uid="{00000000-0005-0000-0000-00004A150000}"/>
    <cellStyle name="Normal 11 5 3 5 2 3" xfId="15874" xr:uid="{00000000-0005-0000-0000-00004B150000}"/>
    <cellStyle name="Normal 11 5 3 5 3" xfId="3463" xr:uid="{00000000-0005-0000-0000-00004C150000}"/>
    <cellStyle name="Normal 11 5 3 5 3 2" xfId="9753" xr:uid="{00000000-0005-0000-0000-00004D150000}"/>
    <cellStyle name="Normal 11 5 3 5 3 2 2" xfId="22101" xr:uid="{00000000-0005-0000-0000-00004E150000}"/>
    <cellStyle name="Normal 11 5 3 5 3 3" xfId="15875" xr:uid="{00000000-0005-0000-0000-00004F150000}"/>
    <cellStyle name="Normal 11 5 3 5 4" xfId="9751" xr:uid="{00000000-0005-0000-0000-000050150000}"/>
    <cellStyle name="Normal 11 5 3 5 4 2" xfId="22099" xr:uid="{00000000-0005-0000-0000-000051150000}"/>
    <cellStyle name="Normal 11 5 3 5 5" xfId="15873" xr:uid="{00000000-0005-0000-0000-000052150000}"/>
    <cellStyle name="Normal 11 5 3 6" xfId="3464" xr:uid="{00000000-0005-0000-0000-000053150000}"/>
    <cellStyle name="Normal 11 5 3 6 2" xfId="9754" xr:uid="{00000000-0005-0000-0000-000054150000}"/>
    <cellStyle name="Normal 11 5 3 6 2 2" xfId="22102" xr:uid="{00000000-0005-0000-0000-000055150000}"/>
    <cellStyle name="Normal 11 5 3 6 3" xfId="15876" xr:uid="{00000000-0005-0000-0000-000056150000}"/>
    <cellStyle name="Normal 11 5 3 7" xfId="3465" xr:uid="{00000000-0005-0000-0000-000057150000}"/>
    <cellStyle name="Normal 11 5 3 7 2" xfId="9755" xr:uid="{00000000-0005-0000-0000-000058150000}"/>
    <cellStyle name="Normal 11 5 3 7 2 2" xfId="22103" xr:uid="{00000000-0005-0000-0000-000059150000}"/>
    <cellStyle name="Normal 11 5 3 7 3" xfId="15877" xr:uid="{00000000-0005-0000-0000-00005A150000}"/>
    <cellStyle name="Normal 11 5 3 8" xfId="9733" xr:uid="{00000000-0005-0000-0000-00005B150000}"/>
    <cellStyle name="Normal 11 5 3 8 2" xfId="22081" xr:uid="{00000000-0005-0000-0000-00005C150000}"/>
    <cellStyle name="Normal 11 5 3 9" xfId="15855" xr:uid="{00000000-0005-0000-0000-00005D150000}"/>
    <cellStyle name="Normal 11 5 30" xfId="15810" xr:uid="{00000000-0005-0000-0000-00005E150000}"/>
    <cellStyle name="Normal 11 5 4" xfId="3466" xr:uid="{00000000-0005-0000-0000-00005F150000}"/>
    <cellStyle name="Normal 11 5 4 2" xfId="3467" xr:uid="{00000000-0005-0000-0000-000060150000}"/>
    <cellStyle name="Normal 11 5 4 2 2" xfId="3468" xr:uid="{00000000-0005-0000-0000-000061150000}"/>
    <cellStyle name="Normal 11 5 4 2 2 2" xfId="9758" xr:uid="{00000000-0005-0000-0000-000062150000}"/>
    <cellStyle name="Normal 11 5 4 2 2 2 2" xfId="22106" xr:uid="{00000000-0005-0000-0000-000063150000}"/>
    <cellStyle name="Normal 11 5 4 2 2 3" xfId="15880" xr:uid="{00000000-0005-0000-0000-000064150000}"/>
    <cellStyle name="Normal 11 5 4 2 3" xfId="3469" xr:uid="{00000000-0005-0000-0000-000065150000}"/>
    <cellStyle name="Normal 11 5 4 2 3 2" xfId="9759" xr:uid="{00000000-0005-0000-0000-000066150000}"/>
    <cellStyle name="Normal 11 5 4 2 3 2 2" xfId="22107" xr:uid="{00000000-0005-0000-0000-000067150000}"/>
    <cellStyle name="Normal 11 5 4 2 3 3" xfId="15881" xr:uid="{00000000-0005-0000-0000-000068150000}"/>
    <cellStyle name="Normal 11 5 4 2 4" xfId="3470" xr:uid="{00000000-0005-0000-0000-000069150000}"/>
    <cellStyle name="Normal 11 5 4 2 4 2" xfId="9760" xr:uid="{00000000-0005-0000-0000-00006A150000}"/>
    <cellStyle name="Normal 11 5 4 2 4 2 2" xfId="22108" xr:uid="{00000000-0005-0000-0000-00006B150000}"/>
    <cellStyle name="Normal 11 5 4 2 4 3" xfId="15882" xr:uid="{00000000-0005-0000-0000-00006C150000}"/>
    <cellStyle name="Normal 11 5 4 2 5" xfId="3471" xr:uid="{00000000-0005-0000-0000-00006D150000}"/>
    <cellStyle name="Normal 11 5 4 2 5 2" xfId="9761" xr:uid="{00000000-0005-0000-0000-00006E150000}"/>
    <cellStyle name="Normal 11 5 4 2 5 2 2" xfId="22109" xr:uid="{00000000-0005-0000-0000-00006F150000}"/>
    <cellStyle name="Normal 11 5 4 2 5 3" xfId="15883" xr:uid="{00000000-0005-0000-0000-000070150000}"/>
    <cellStyle name="Normal 11 5 4 2 6" xfId="9757" xr:uid="{00000000-0005-0000-0000-000071150000}"/>
    <cellStyle name="Normal 11 5 4 2 6 2" xfId="22105" xr:uid="{00000000-0005-0000-0000-000072150000}"/>
    <cellStyle name="Normal 11 5 4 2 7" xfId="15879" xr:uid="{00000000-0005-0000-0000-000073150000}"/>
    <cellStyle name="Normal 11 5 4 3" xfId="3472" xr:uid="{00000000-0005-0000-0000-000074150000}"/>
    <cellStyle name="Normal 11 5 4 3 2" xfId="3473" xr:uid="{00000000-0005-0000-0000-000075150000}"/>
    <cellStyle name="Normal 11 5 4 3 2 2" xfId="9763" xr:uid="{00000000-0005-0000-0000-000076150000}"/>
    <cellStyle name="Normal 11 5 4 3 2 2 2" xfId="22111" xr:uid="{00000000-0005-0000-0000-000077150000}"/>
    <cellStyle name="Normal 11 5 4 3 2 3" xfId="15885" xr:uid="{00000000-0005-0000-0000-000078150000}"/>
    <cellStyle name="Normal 11 5 4 3 3" xfId="3474" xr:uid="{00000000-0005-0000-0000-000079150000}"/>
    <cellStyle name="Normal 11 5 4 3 3 2" xfId="9764" xr:uid="{00000000-0005-0000-0000-00007A150000}"/>
    <cellStyle name="Normal 11 5 4 3 3 2 2" xfId="22112" xr:uid="{00000000-0005-0000-0000-00007B150000}"/>
    <cellStyle name="Normal 11 5 4 3 3 3" xfId="15886" xr:uid="{00000000-0005-0000-0000-00007C150000}"/>
    <cellStyle name="Normal 11 5 4 3 4" xfId="9762" xr:uid="{00000000-0005-0000-0000-00007D150000}"/>
    <cellStyle name="Normal 11 5 4 3 4 2" xfId="22110" xr:uid="{00000000-0005-0000-0000-00007E150000}"/>
    <cellStyle name="Normal 11 5 4 3 5" xfId="15884" xr:uid="{00000000-0005-0000-0000-00007F150000}"/>
    <cellStyle name="Normal 11 5 4 4" xfId="3475" xr:uid="{00000000-0005-0000-0000-000080150000}"/>
    <cellStyle name="Normal 11 5 4 4 2" xfId="3476" xr:uid="{00000000-0005-0000-0000-000081150000}"/>
    <cellStyle name="Normal 11 5 4 4 2 2" xfId="9766" xr:uid="{00000000-0005-0000-0000-000082150000}"/>
    <cellStyle name="Normal 11 5 4 4 2 2 2" xfId="22114" xr:uid="{00000000-0005-0000-0000-000083150000}"/>
    <cellStyle name="Normal 11 5 4 4 2 3" xfId="15888" xr:uid="{00000000-0005-0000-0000-000084150000}"/>
    <cellStyle name="Normal 11 5 4 4 3" xfId="3477" xr:uid="{00000000-0005-0000-0000-000085150000}"/>
    <cellStyle name="Normal 11 5 4 4 3 2" xfId="9767" xr:uid="{00000000-0005-0000-0000-000086150000}"/>
    <cellStyle name="Normal 11 5 4 4 3 2 2" xfId="22115" xr:uid="{00000000-0005-0000-0000-000087150000}"/>
    <cellStyle name="Normal 11 5 4 4 3 3" xfId="15889" xr:uid="{00000000-0005-0000-0000-000088150000}"/>
    <cellStyle name="Normal 11 5 4 4 4" xfId="9765" xr:uid="{00000000-0005-0000-0000-000089150000}"/>
    <cellStyle name="Normal 11 5 4 4 4 2" xfId="22113" xr:uid="{00000000-0005-0000-0000-00008A150000}"/>
    <cellStyle name="Normal 11 5 4 4 5" xfId="15887" xr:uid="{00000000-0005-0000-0000-00008B150000}"/>
    <cellStyle name="Normal 11 5 4 5" xfId="3478" xr:uid="{00000000-0005-0000-0000-00008C150000}"/>
    <cellStyle name="Normal 11 5 4 5 2" xfId="9768" xr:uid="{00000000-0005-0000-0000-00008D150000}"/>
    <cellStyle name="Normal 11 5 4 5 2 2" xfId="22116" xr:uid="{00000000-0005-0000-0000-00008E150000}"/>
    <cellStyle name="Normal 11 5 4 5 3" xfId="15890" xr:uid="{00000000-0005-0000-0000-00008F150000}"/>
    <cellStyle name="Normal 11 5 4 6" xfId="3479" xr:uid="{00000000-0005-0000-0000-000090150000}"/>
    <cellStyle name="Normal 11 5 4 6 2" xfId="9769" xr:uid="{00000000-0005-0000-0000-000091150000}"/>
    <cellStyle name="Normal 11 5 4 6 2 2" xfId="22117" xr:uid="{00000000-0005-0000-0000-000092150000}"/>
    <cellStyle name="Normal 11 5 4 6 3" xfId="15891" xr:uid="{00000000-0005-0000-0000-000093150000}"/>
    <cellStyle name="Normal 11 5 4 7" xfId="9756" xr:uid="{00000000-0005-0000-0000-000094150000}"/>
    <cellStyle name="Normal 11 5 4 7 2" xfId="22104" xr:uid="{00000000-0005-0000-0000-000095150000}"/>
    <cellStyle name="Normal 11 5 4 8" xfId="15878" xr:uid="{00000000-0005-0000-0000-000096150000}"/>
    <cellStyle name="Normal 11 5 5" xfId="3480" xr:uid="{00000000-0005-0000-0000-000097150000}"/>
    <cellStyle name="Normal 11 5 5 2" xfId="3481" xr:uid="{00000000-0005-0000-0000-000098150000}"/>
    <cellStyle name="Normal 11 5 5 2 2" xfId="3482" xr:uid="{00000000-0005-0000-0000-000099150000}"/>
    <cellStyle name="Normal 11 5 5 2 2 2" xfId="9772" xr:uid="{00000000-0005-0000-0000-00009A150000}"/>
    <cellStyle name="Normal 11 5 5 2 2 2 2" xfId="22120" xr:uid="{00000000-0005-0000-0000-00009B150000}"/>
    <cellStyle name="Normal 11 5 5 2 2 3" xfId="15894" xr:uid="{00000000-0005-0000-0000-00009C150000}"/>
    <cellStyle name="Normal 11 5 5 2 3" xfId="3483" xr:uid="{00000000-0005-0000-0000-00009D150000}"/>
    <cellStyle name="Normal 11 5 5 2 3 2" xfId="9773" xr:uid="{00000000-0005-0000-0000-00009E150000}"/>
    <cellStyle name="Normal 11 5 5 2 3 2 2" xfId="22121" xr:uid="{00000000-0005-0000-0000-00009F150000}"/>
    <cellStyle name="Normal 11 5 5 2 3 3" xfId="15895" xr:uid="{00000000-0005-0000-0000-0000A0150000}"/>
    <cellStyle name="Normal 11 5 5 2 4" xfId="3484" xr:uid="{00000000-0005-0000-0000-0000A1150000}"/>
    <cellStyle name="Normal 11 5 5 2 4 2" xfId="9774" xr:uid="{00000000-0005-0000-0000-0000A2150000}"/>
    <cellStyle name="Normal 11 5 5 2 4 2 2" xfId="22122" xr:uid="{00000000-0005-0000-0000-0000A3150000}"/>
    <cellStyle name="Normal 11 5 5 2 4 3" xfId="15896" xr:uid="{00000000-0005-0000-0000-0000A4150000}"/>
    <cellStyle name="Normal 11 5 5 2 5" xfId="3485" xr:uid="{00000000-0005-0000-0000-0000A5150000}"/>
    <cellStyle name="Normal 11 5 5 2 5 2" xfId="9775" xr:uid="{00000000-0005-0000-0000-0000A6150000}"/>
    <cellStyle name="Normal 11 5 5 2 5 2 2" xfId="22123" xr:uid="{00000000-0005-0000-0000-0000A7150000}"/>
    <cellStyle name="Normal 11 5 5 2 5 3" xfId="15897" xr:uid="{00000000-0005-0000-0000-0000A8150000}"/>
    <cellStyle name="Normal 11 5 5 2 6" xfId="9771" xr:uid="{00000000-0005-0000-0000-0000A9150000}"/>
    <cellStyle name="Normal 11 5 5 2 6 2" xfId="22119" xr:uid="{00000000-0005-0000-0000-0000AA150000}"/>
    <cellStyle name="Normal 11 5 5 2 7" xfId="15893" xr:uid="{00000000-0005-0000-0000-0000AB150000}"/>
    <cellStyle name="Normal 11 5 5 3" xfId="3486" xr:uid="{00000000-0005-0000-0000-0000AC150000}"/>
    <cellStyle name="Normal 11 5 5 3 2" xfId="3487" xr:uid="{00000000-0005-0000-0000-0000AD150000}"/>
    <cellStyle name="Normal 11 5 5 3 2 2" xfId="9777" xr:uid="{00000000-0005-0000-0000-0000AE150000}"/>
    <cellStyle name="Normal 11 5 5 3 2 2 2" xfId="22125" xr:uid="{00000000-0005-0000-0000-0000AF150000}"/>
    <cellStyle name="Normal 11 5 5 3 2 3" xfId="15899" xr:uid="{00000000-0005-0000-0000-0000B0150000}"/>
    <cellStyle name="Normal 11 5 5 3 3" xfId="3488" xr:uid="{00000000-0005-0000-0000-0000B1150000}"/>
    <cellStyle name="Normal 11 5 5 3 3 2" xfId="9778" xr:uid="{00000000-0005-0000-0000-0000B2150000}"/>
    <cellStyle name="Normal 11 5 5 3 3 2 2" xfId="22126" xr:uid="{00000000-0005-0000-0000-0000B3150000}"/>
    <cellStyle name="Normal 11 5 5 3 3 3" xfId="15900" xr:uid="{00000000-0005-0000-0000-0000B4150000}"/>
    <cellStyle name="Normal 11 5 5 3 4" xfId="9776" xr:uid="{00000000-0005-0000-0000-0000B5150000}"/>
    <cellStyle name="Normal 11 5 5 3 4 2" xfId="22124" xr:uid="{00000000-0005-0000-0000-0000B6150000}"/>
    <cellStyle name="Normal 11 5 5 3 5" xfId="15898" xr:uid="{00000000-0005-0000-0000-0000B7150000}"/>
    <cellStyle name="Normal 11 5 5 4" xfId="3489" xr:uid="{00000000-0005-0000-0000-0000B8150000}"/>
    <cellStyle name="Normal 11 5 5 4 2" xfId="3490" xr:uid="{00000000-0005-0000-0000-0000B9150000}"/>
    <cellStyle name="Normal 11 5 5 4 2 2" xfId="9780" xr:uid="{00000000-0005-0000-0000-0000BA150000}"/>
    <cellStyle name="Normal 11 5 5 4 2 2 2" xfId="22128" xr:uid="{00000000-0005-0000-0000-0000BB150000}"/>
    <cellStyle name="Normal 11 5 5 4 2 3" xfId="15902" xr:uid="{00000000-0005-0000-0000-0000BC150000}"/>
    <cellStyle name="Normal 11 5 5 4 3" xfId="3491" xr:uid="{00000000-0005-0000-0000-0000BD150000}"/>
    <cellStyle name="Normal 11 5 5 4 3 2" xfId="9781" xr:uid="{00000000-0005-0000-0000-0000BE150000}"/>
    <cellStyle name="Normal 11 5 5 4 3 2 2" xfId="22129" xr:uid="{00000000-0005-0000-0000-0000BF150000}"/>
    <cellStyle name="Normal 11 5 5 4 3 3" xfId="15903" xr:uid="{00000000-0005-0000-0000-0000C0150000}"/>
    <cellStyle name="Normal 11 5 5 4 4" xfId="9779" xr:uid="{00000000-0005-0000-0000-0000C1150000}"/>
    <cellStyle name="Normal 11 5 5 4 4 2" xfId="22127" xr:uid="{00000000-0005-0000-0000-0000C2150000}"/>
    <cellStyle name="Normal 11 5 5 4 5" xfId="15901" xr:uid="{00000000-0005-0000-0000-0000C3150000}"/>
    <cellStyle name="Normal 11 5 5 5" xfId="3492" xr:uid="{00000000-0005-0000-0000-0000C4150000}"/>
    <cellStyle name="Normal 11 5 5 5 2" xfId="9782" xr:uid="{00000000-0005-0000-0000-0000C5150000}"/>
    <cellStyle name="Normal 11 5 5 5 2 2" xfId="22130" xr:uid="{00000000-0005-0000-0000-0000C6150000}"/>
    <cellStyle name="Normal 11 5 5 5 3" xfId="15904" xr:uid="{00000000-0005-0000-0000-0000C7150000}"/>
    <cellStyle name="Normal 11 5 5 6" xfId="3493" xr:uid="{00000000-0005-0000-0000-0000C8150000}"/>
    <cellStyle name="Normal 11 5 5 6 2" xfId="9783" xr:uid="{00000000-0005-0000-0000-0000C9150000}"/>
    <cellStyle name="Normal 11 5 5 6 2 2" xfId="22131" xr:uid="{00000000-0005-0000-0000-0000CA150000}"/>
    <cellStyle name="Normal 11 5 5 6 3" xfId="15905" xr:uid="{00000000-0005-0000-0000-0000CB150000}"/>
    <cellStyle name="Normal 11 5 5 7" xfId="9770" xr:uid="{00000000-0005-0000-0000-0000CC150000}"/>
    <cellStyle name="Normal 11 5 5 7 2" xfId="22118" xr:uid="{00000000-0005-0000-0000-0000CD150000}"/>
    <cellStyle name="Normal 11 5 5 8" xfId="15892" xr:uid="{00000000-0005-0000-0000-0000CE150000}"/>
    <cellStyle name="Normal 11 5 6" xfId="3494" xr:uid="{00000000-0005-0000-0000-0000CF150000}"/>
    <cellStyle name="Normal 11 5 6 2" xfId="3495" xr:uid="{00000000-0005-0000-0000-0000D0150000}"/>
    <cellStyle name="Normal 11 5 6 2 2" xfId="3496" xr:uid="{00000000-0005-0000-0000-0000D1150000}"/>
    <cellStyle name="Normal 11 5 6 2 2 2" xfId="9786" xr:uid="{00000000-0005-0000-0000-0000D2150000}"/>
    <cellStyle name="Normal 11 5 6 2 2 2 2" xfId="22134" xr:uid="{00000000-0005-0000-0000-0000D3150000}"/>
    <cellStyle name="Normal 11 5 6 2 2 3" xfId="15908" xr:uid="{00000000-0005-0000-0000-0000D4150000}"/>
    <cellStyle name="Normal 11 5 6 2 3" xfId="3497" xr:uid="{00000000-0005-0000-0000-0000D5150000}"/>
    <cellStyle name="Normal 11 5 6 2 3 2" xfId="9787" xr:uid="{00000000-0005-0000-0000-0000D6150000}"/>
    <cellStyle name="Normal 11 5 6 2 3 2 2" xfId="22135" xr:uid="{00000000-0005-0000-0000-0000D7150000}"/>
    <cellStyle name="Normal 11 5 6 2 3 3" xfId="15909" xr:uid="{00000000-0005-0000-0000-0000D8150000}"/>
    <cellStyle name="Normal 11 5 6 2 4" xfId="3498" xr:uid="{00000000-0005-0000-0000-0000D9150000}"/>
    <cellStyle name="Normal 11 5 6 2 4 2" xfId="9788" xr:uid="{00000000-0005-0000-0000-0000DA150000}"/>
    <cellStyle name="Normal 11 5 6 2 4 2 2" xfId="22136" xr:uid="{00000000-0005-0000-0000-0000DB150000}"/>
    <cellStyle name="Normal 11 5 6 2 4 3" xfId="15910" xr:uid="{00000000-0005-0000-0000-0000DC150000}"/>
    <cellStyle name="Normal 11 5 6 2 5" xfId="3499" xr:uid="{00000000-0005-0000-0000-0000DD150000}"/>
    <cellStyle name="Normal 11 5 6 2 5 2" xfId="9789" xr:uid="{00000000-0005-0000-0000-0000DE150000}"/>
    <cellStyle name="Normal 11 5 6 2 5 2 2" xfId="22137" xr:uid="{00000000-0005-0000-0000-0000DF150000}"/>
    <cellStyle name="Normal 11 5 6 2 5 3" xfId="15911" xr:uid="{00000000-0005-0000-0000-0000E0150000}"/>
    <cellStyle name="Normal 11 5 6 2 6" xfId="9785" xr:uid="{00000000-0005-0000-0000-0000E1150000}"/>
    <cellStyle name="Normal 11 5 6 2 6 2" xfId="22133" xr:uid="{00000000-0005-0000-0000-0000E2150000}"/>
    <cellStyle name="Normal 11 5 6 2 7" xfId="15907" xr:uid="{00000000-0005-0000-0000-0000E3150000}"/>
    <cellStyle name="Normal 11 5 6 3" xfId="3500" xr:uid="{00000000-0005-0000-0000-0000E4150000}"/>
    <cellStyle name="Normal 11 5 6 3 2" xfId="3501" xr:uid="{00000000-0005-0000-0000-0000E5150000}"/>
    <cellStyle name="Normal 11 5 6 3 2 2" xfId="9791" xr:uid="{00000000-0005-0000-0000-0000E6150000}"/>
    <cellStyle name="Normal 11 5 6 3 2 2 2" xfId="22139" xr:uid="{00000000-0005-0000-0000-0000E7150000}"/>
    <cellStyle name="Normal 11 5 6 3 2 3" xfId="15913" xr:uid="{00000000-0005-0000-0000-0000E8150000}"/>
    <cellStyle name="Normal 11 5 6 3 3" xfId="3502" xr:uid="{00000000-0005-0000-0000-0000E9150000}"/>
    <cellStyle name="Normal 11 5 6 3 3 2" xfId="9792" xr:uid="{00000000-0005-0000-0000-0000EA150000}"/>
    <cellStyle name="Normal 11 5 6 3 3 2 2" xfId="22140" xr:uid="{00000000-0005-0000-0000-0000EB150000}"/>
    <cellStyle name="Normal 11 5 6 3 3 3" xfId="15914" xr:uid="{00000000-0005-0000-0000-0000EC150000}"/>
    <cellStyle name="Normal 11 5 6 3 4" xfId="9790" xr:uid="{00000000-0005-0000-0000-0000ED150000}"/>
    <cellStyle name="Normal 11 5 6 3 4 2" xfId="22138" xr:uid="{00000000-0005-0000-0000-0000EE150000}"/>
    <cellStyle name="Normal 11 5 6 3 5" xfId="15912" xr:uid="{00000000-0005-0000-0000-0000EF150000}"/>
    <cellStyle name="Normal 11 5 6 4" xfId="3503" xr:uid="{00000000-0005-0000-0000-0000F0150000}"/>
    <cellStyle name="Normal 11 5 6 4 2" xfId="3504" xr:uid="{00000000-0005-0000-0000-0000F1150000}"/>
    <cellStyle name="Normal 11 5 6 4 2 2" xfId="9794" xr:uid="{00000000-0005-0000-0000-0000F2150000}"/>
    <cellStyle name="Normal 11 5 6 4 2 2 2" xfId="22142" xr:uid="{00000000-0005-0000-0000-0000F3150000}"/>
    <cellStyle name="Normal 11 5 6 4 2 3" xfId="15916" xr:uid="{00000000-0005-0000-0000-0000F4150000}"/>
    <cellStyle name="Normal 11 5 6 4 3" xfId="3505" xr:uid="{00000000-0005-0000-0000-0000F5150000}"/>
    <cellStyle name="Normal 11 5 6 4 3 2" xfId="9795" xr:uid="{00000000-0005-0000-0000-0000F6150000}"/>
    <cellStyle name="Normal 11 5 6 4 3 2 2" xfId="22143" xr:uid="{00000000-0005-0000-0000-0000F7150000}"/>
    <cellStyle name="Normal 11 5 6 4 3 3" xfId="15917" xr:uid="{00000000-0005-0000-0000-0000F8150000}"/>
    <cellStyle name="Normal 11 5 6 4 4" xfId="9793" xr:uid="{00000000-0005-0000-0000-0000F9150000}"/>
    <cellStyle name="Normal 11 5 6 4 4 2" xfId="22141" xr:uid="{00000000-0005-0000-0000-0000FA150000}"/>
    <cellStyle name="Normal 11 5 6 4 5" xfId="15915" xr:uid="{00000000-0005-0000-0000-0000FB150000}"/>
    <cellStyle name="Normal 11 5 6 5" xfId="3506" xr:uid="{00000000-0005-0000-0000-0000FC150000}"/>
    <cellStyle name="Normal 11 5 6 5 2" xfId="3507" xr:uid="{00000000-0005-0000-0000-0000FD150000}"/>
    <cellStyle name="Normal 11 5 6 5 2 2" xfId="9797" xr:uid="{00000000-0005-0000-0000-0000FE150000}"/>
    <cellStyle name="Normal 11 5 6 5 2 2 2" xfId="22145" xr:uid="{00000000-0005-0000-0000-0000FF150000}"/>
    <cellStyle name="Normal 11 5 6 5 2 3" xfId="15919" xr:uid="{00000000-0005-0000-0000-000000160000}"/>
    <cellStyle name="Normal 11 5 6 5 3" xfId="9796" xr:uid="{00000000-0005-0000-0000-000001160000}"/>
    <cellStyle name="Normal 11 5 6 5 3 2" xfId="22144" xr:uid="{00000000-0005-0000-0000-000002160000}"/>
    <cellStyle name="Normal 11 5 6 5 4" xfId="15918" xr:uid="{00000000-0005-0000-0000-000003160000}"/>
    <cellStyle name="Normal 11 5 6 6" xfId="3508" xr:uid="{00000000-0005-0000-0000-000004160000}"/>
    <cellStyle name="Normal 11 5 6 6 2" xfId="9798" xr:uid="{00000000-0005-0000-0000-000005160000}"/>
    <cellStyle name="Normal 11 5 6 6 2 2" xfId="22146" xr:uid="{00000000-0005-0000-0000-000006160000}"/>
    <cellStyle name="Normal 11 5 6 6 3" xfId="15920" xr:uid="{00000000-0005-0000-0000-000007160000}"/>
    <cellStyle name="Normal 11 5 6 7" xfId="3509" xr:uid="{00000000-0005-0000-0000-000008160000}"/>
    <cellStyle name="Normal 11 5 6 7 2" xfId="9799" xr:uid="{00000000-0005-0000-0000-000009160000}"/>
    <cellStyle name="Normal 11 5 6 7 2 2" xfId="22147" xr:uid="{00000000-0005-0000-0000-00000A160000}"/>
    <cellStyle name="Normal 11 5 6 7 3" xfId="15921" xr:uid="{00000000-0005-0000-0000-00000B160000}"/>
    <cellStyle name="Normal 11 5 6 8" xfId="9784" xr:uid="{00000000-0005-0000-0000-00000C160000}"/>
    <cellStyle name="Normal 11 5 6 8 2" xfId="22132" xr:uid="{00000000-0005-0000-0000-00000D160000}"/>
    <cellStyle name="Normal 11 5 6 9" xfId="15906" xr:uid="{00000000-0005-0000-0000-00000E160000}"/>
    <cellStyle name="Normal 11 5 7" xfId="3510" xr:uid="{00000000-0005-0000-0000-00000F160000}"/>
    <cellStyle name="Normal 11 5 7 2" xfId="3511" xr:uid="{00000000-0005-0000-0000-000010160000}"/>
    <cellStyle name="Normal 11 5 7 2 2" xfId="3512" xr:uid="{00000000-0005-0000-0000-000011160000}"/>
    <cellStyle name="Normal 11 5 7 2 2 2" xfId="9802" xr:uid="{00000000-0005-0000-0000-000012160000}"/>
    <cellStyle name="Normal 11 5 7 2 2 2 2" xfId="22150" xr:uid="{00000000-0005-0000-0000-000013160000}"/>
    <cellStyle name="Normal 11 5 7 2 2 3" xfId="15924" xr:uid="{00000000-0005-0000-0000-000014160000}"/>
    <cellStyle name="Normal 11 5 7 2 3" xfId="3513" xr:uid="{00000000-0005-0000-0000-000015160000}"/>
    <cellStyle name="Normal 11 5 7 2 3 2" xfId="9803" xr:uid="{00000000-0005-0000-0000-000016160000}"/>
    <cellStyle name="Normal 11 5 7 2 3 2 2" xfId="22151" xr:uid="{00000000-0005-0000-0000-000017160000}"/>
    <cellStyle name="Normal 11 5 7 2 3 3" xfId="15925" xr:uid="{00000000-0005-0000-0000-000018160000}"/>
    <cellStyle name="Normal 11 5 7 2 4" xfId="9801" xr:uid="{00000000-0005-0000-0000-000019160000}"/>
    <cellStyle name="Normal 11 5 7 2 4 2" xfId="22149" xr:uid="{00000000-0005-0000-0000-00001A160000}"/>
    <cellStyle name="Normal 11 5 7 2 5" xfId="15923" xr:uid="{00000000-0005-0000-0000-00001B160000}"/>
    <cellStyle name="Normal 11 5 7 3" xfId="3514" xr:uid="{00000000-0005-0000-0000-00001C160000}"/>
    <cellStyle name="Normal 11 5 7 3 2" xfId="3515" xr:uid="{00000000-0005-0000-0000-00001D160000}"/>
    <cellStyle name="Normal 11 5 7 3 2 2" xfId="9805" xr:uid="{00000000-0005-0000-0000-00001E160000}"/>
    <cellStyle name="Normal 11 5 7 3 2 2 2" xfId="22153" xr:uid="{00000000-0005-0000-0000-00001F160000}"/>
    <cellStyle name="Normal 11 5 7 3 2 3" xfId="15927" xr:uid="{00000000-0005-0000-0000-000020160000}"/>
    <cellStyle name="Normal 11 5 7 3 3" xfId="3516" xr:uid="{00000000-0005-0000-0000-000021160000}"/>
    <cellStyle name="Normal 11 5 7 3 3 2" xfId="9806" xr:uid="{00000000-0005-0000-0000-000022160000}"/>
    <cellStyle name="Normal 11 5 7 3 3 2 2" xfId="22154" xr:uid="{00000000-0005-0000-0000-000023160000}"/>
    <cellStyle name="Normal 11 5 7 3 3 3" xfId="15928" xr:uid="{00000000-0005-0000-0000-000024160000}"/>
    <cellStyle name="Normal 11 5 7 3 4" xfId="9804" xr:uid="{00000000-0005-0000-0000-000025160000}"/>
    <cellStyle name="Normal 11 5 7 3 4 2" xfId="22152" xr:uid="{00000000-0005-0000-0000-000026160000}"/>
    <cellStyle name="Normal 11 5 7 3 5" xfId="15926" xr:uid="{00000000-0005-0000-0000-000027160000}"/>
    <cellStyle name="Normal 11 5 7 4" xfId="3517" xr:uid="{00000000-0005-0000-0000-000028160000}"/>
    <cellStyle name="Normal 11 5 7 4 2" xfId="3518" xr:uid="{00000000-0005-0000-0000-000029160000}"/>
    <cellStyle name="Normal 11 5 7 4 2 2" xfId="9808" xr:uid="{00000000-0005-0000-0000-00002A160000}"/>
    <cellStyle name="Normal 11 5 7 4 2 2 2" xfId="22156" xr:uid="{00000000-0005-0000-0000-00002B160000}"/>
    <cellStyle name="Normal 11 5 7 4 2 3" xfId="15930" xr:uid="{00000000-0005-0000-0000-00002C160000}"/>
    <cellStyle name="Normal 11 5 7 4 3" xfId="9807" xr:uid="{00000000-0005-0000-0000-00002D160000}"/>
    <cellStyle name="Normal 11 5 7 4 3 2" xfId="22155" xr:uid="{00000000-0005-0000-0000-00002E160000}"/>
    <cellStyle name="Normal 11 5 7 4 4" xfId="15929" xr:uid="{00000000-0005-0000-0000-00002F160000}"/>
    <cellStyle name="Normal 11 5 7 5" xfId="3519" xr:uid="{00000000-0005-0000-0000-000030160000}"/>
    <cellStyle name="Normal 11 5 7 5 2" xfId="9809" xr:uid="{00000000-0005-0000-0000-000031160000}"/>
    <cellStyle name="Normal 11 5 7 5 2 2" xfId="22157" xr:uid="{00000000-0005-0000-0000-000032160000}"/>
    <cellStyle name="Normal 11 5 7 5 3" xfId="15931" xr:uid="{00000000-0005-0000-0000-000033160000}"/>
    <cellStyle name="Normal 11 5 7 6" xfId="3520" xr:uid="{00000000-0005-0000-0000-000034160000}"/>
    <cellStyle name="Normal 11 5 7 6 2" xfId="9810" xr:uid="{00000000-0005-0000-0000-000035160000}"/>
    <cellStyle name="Normal 11 5 7 6 2 2" xfId="22158" xr:uid="{00000000-0005-0000-0000-000036160000}"/>
    <cellStyle name="Normal 11 5 7 6 3" xfId="15932" xr:uid="{00000000-0005-0000-0000-000037160000}"/>
    <cellStyle name="Normal 11 5 7 7" xfId="9800" xr:uid="{00000000-0005-0000-0000-000038160000}"/>
    <cellStyle name="Normal 11 5 7 7 2" xfId="22148" xr:uid="{00000000-0005-0000-0000-000039160000}"/>
    <cellStyle name="Normal 11 5 7 8" xfId="15922" xr:uid="{00000000-0005-0000-0000-00003A160000}"/>
    <cellStyle name="Normal 11 5 8" xfId="3521" xr:uid="{00000000-0005-0000-0000-00003B160000}"/>
    <cellStyle name="Normal 11 5 8 2" xfId="3522" xr:uid="{00000000-0005-0000-0000-00003C160000}"/>
    <cellStyle name="Normal 11 5 8 2 2" xfId="9812" xr:uid="{00000000-0005-0000-0000-00003D160000}"/>
    <cellStyle name="Normal 11 5 8 2 2 2" xfId="22160" xr:uid="{00000000-0005-0000-0000-00003E160000}"/>
    <cellStyle name="Normal 11 5 8 2 3" xfId="15934" xr:uid="{00000000-0005-0000-0000-00003F160000}"/>
    <cellStyle name="Normal 11 5 8 3" xfId="3523" xr:uid="{00000000-0005-0000-0000-000040160000}"/>
    <cellStyle name="Normal 11 5 8 3 2" xfId="9813" xr:uid="{00000000-0005-0000-0000-000041160000}"/>
    <cellStyle name="Normal 11 5 8 3 2 2" xfId="22161" xr:uid="{00000000-0005-0000-0000-000042160000}"/>
    <cellStyle name="Normal 11 5 8 3 3" xfId="15935" xr:uid="{00000000-0005-0000-0000-000043160000}"/>
    <cellStyle name="Normal 11 5 8 4" xfId="3524" xr:uid="{00000000-0005-0000-0000-000044160000}"/>
    <cellStyle name="Normal 11 5 8 4 2" xfId="9814" xr:uid="{00000000-0005-0000-0000-000045160000}"/>
    <cellStyle name="Normal 11 5 8 4 2 2" xfId="22162" xr:uid="{00000000-0005-0000-0000-000046160000}"/>
    <cellStyle name="Normal 11 5 8 4 3" xfId="15936" xr:uid="{00000000-0005-0000-0000-000047160000}"/>
    <cellStyle name="Normal 11 5 8 5" xfId="3525" xr:uid="{00000000-0005-0000-0000-000048160000}"/>
    <cellStyle name="Normal 11 5 8 5 2" xfId="9815" xr:uid="{00000000-0005-0000-0000-000049160000}"/>
    <cellStyle name="Normal 11 5 8 5 2 2" xfId="22163" xr:uid="{00000000-0005-0000-0000-00004A160000}"/>
    <cellStyle name="Normal 11 5 8 5 3" xfId="15937" xr:uid="{00000000-0005-0000-0000-00004B160000}"/>
    <cellStyle name="Normal 11 5 8 6" xfId="9811" xr:uid="{00000000-0005-0000-0000-00004C160000}"/>
    <cellStyle name="Normal 11 5 8 6 2" xfId="22159" xr:uid="{00000000-0005-0000-0000-00004D160000}"/>
    <cellStyle name="Normal 11 5 8 7" xfId="15933" xr:uid="{00000000-0005-0000-0000-00004E160000}"/>
    <cellStyle name="Normal 11 5 9" xfId="3526" xr:uid="{00000000-0005-0000-0000-00004F160000}"/>
    <cellStyle name="Normal 11 5 9 2" xfId="3527" xr:uid="{00000000-0005-0000-0000-000050160000}"/>
    <cellStyle name="Normal 11 5 9 2 2" xfId="9817" xr:uid="{00000000-0005-0000-0000-000051160000}"/>
    <cellStyle name="Normal 11 5 9 2 2 2" xfId="22165" xr:uid="{00000000-0005-0000-0000-000052160000}"/>
    <cellStyle name="Normal 11 5 9 2 3" xfId="15939" xr:uid="{00000000-0005-0000-0000-000053160000}"/>
    <cellStyle name="Normal 11 5 9 3" xfId="3528" xr:uid="{00000000-0005-0000-0000-000054160000}"/>
    <cellStyle name="Normal 11 5 9 3 2" xfId="9818" xr:uid="{00000000-0005-0000-0000-000055160000}"/>
    <cellStyle name="Normal 11 5 9 3 2 2" xfId="22166" xr:uid="{00000000-0005-0000-0000-000056160000}"/>
    <cellStyle name="Normal 11 5 9 3 3" xfId="15940" xr:uid="{00000000-0005-0000-0000-000057160000}"/>
    <cellStyle name="Normal 11 5 9 4" xfId="9816" xr:uid="{00000000-0005-0000-0000-000058160000}"/>
    <cellStyle name="Normal 11 5 9 4 2" xfId="22164" xr:uid="{00000000-0005-0000-0000-000059160000}"/>
    <cellStyle name="Normal 11 5 9 5" xfId="15938" xr:uid="{00000000-0005-0000-0000-00005A160000}"/>
    <cellStyle name="Normal 11 5_10070" xfId="3529" xr:uid="{00000000-0005-0000-0000-00005B160000}"/>
    <cellStyle name="Normal 11 6" xfId="3530" xr:uid="{00000000-0005-0000-0000-00005C160000}"/>
    <cellStyle name="Normal 11 6 2" xfId="3531" xr:uid="{00000000-0005-0000-0000-00005D160000}"/>
    <cellStyle name="Normal 11 6 2 2" xfId="3532" xr:uid="{00000000-0005-0000-0000-00005E160000}"/>
    <cellStyle name="Normal 11 6 2 2 2" xfId="3533" xr:uid="{00000000-0005-0000-0000-00005F160000}"/>
    <cellStyle name="Normal 11 6 2 2 2 2" xfId="9822" xr:uid="{00000000-0005-0000-0000-000060160000}"/>
    <cellStyle name="Normal 11 6 2 2 2 2 2" xfId="22170" xr:uid="{00000000-0005-0000-0000-000061160000}"/>
    <cellStyle name="Normal 11 6 2 2 2 3" xfId="15944" xr:uid="{00000000-0005-0000-0000-000062160000}"/>
    <cellStyle name="Normal 11 6 2 2 3" xfId="9821" xr:uid="{00000000-0005-0000-0000-000063160000}"/>
    <cellStyle name="Normal 11 6 2 2 3 2" xfId="22169" xr:uid="{00000000-0005-0000-0000-000064160000}"/>
    <cellStyle name="Normal 11 6 2 2 4" xfId="15943" xr:uid="{00000000-0005-0000-0000-000065160000}"/>
    <cellStyle name="Normal 11 6 2 3" xfId="3534" xr:uid="{00000000-0005-0000-0000-000066160000}"/>
    <cellStyle name="Normal 11 6 2 3 2" xfId="3535" xr:uid="{00000000-0005-0000-0000-000067160000}"/>
    <cellStyle name="Normal 11 6 2 3 2 2" xfId="9824" xr:uid="{00000000-0005-0000-0000-000068160000}"/>
    <cellStyle name="Normal 11 6 2 3 2 2 2" xfId="22172" xr:uid="{00000000-0005-0000-0000-000069160000}"/>
    <cellStyle name="Normal 11 6 2 3 2 3" xfId="15946" xr:uid="{00000000-0005-0000-0000-00006A160000}"/>
    <cellStyle name="Normal 11 6 2 3 3" xfId="9823" xr:uid="{00000000-0005-0000-0000-00006B160000}"/>
    <cellStyle name="Normal 11 6 2 3 3 2" xfId="22171" xr:uid="{00000000-0005-0000-0000-00006C160000}"/>
    <cellStyle name="Normal 11 6 2 3 4" xfId="15945" xr:uid="{00000000-0005-0000-0000-00006D160000}"/>
    <cellStyle name="Normal 11 6 2 4" xfId="3536" xr:uid="{00000000-0005-0000-0000-00006E160000}"/>
    <cellStyle name="Normal 11 6 2 4 2" xfId="9825" xr:uid="{00000000-0005-0000-0000-00006F160000}"/>
    <cellStyle name="Normal 11 6 2 4 2 2" xfId="22173" xr:uid="{00000000-0005-0000-0000-000070160000}"/>
    <cellStyle name="Normal 11 6 2 4 3" xfId="15947" xr:uid="{00000000-0005-0000-0000-000071160000}"/>
    <cellStyle name="Normal 11 6 2 5" xfId="9820" xr:uid="{00000000-0005-0000-0000-000072160000}"/>
    <cellStyle name="Normal 11 6 2 5 2" xfId="22168" xr:uid="{00000000-0005-0000-0000-000073160000}"/>
    <cellStyle name="Normal 11 6 2 6" xfId="15942" xr:uid="{00000000-0005-0000-0000-000074160000}"/>
    <cellStyle name="Normal 11 6 3" xfId="3537" xr:uid="{00000000-0005-0000-0000-000075160000}"/>
    <cellStyle name="Normal 11 6 3 2" xfId="3538" xr:uid="{00000000-0005-0000-0000-000076160000}"/>
    <cellStyle name="Normal 11 6 3 2 2" xfId="9827" xr:uid="{00000000-0005-0000-0000-000077160000}"/>
    <cellStyle name="Normal 11 6 3 2 2 2" xfId="22175" xr:uid="{00000000-0005-0000-0000-000078160000}"/>
    <cellStyle name="Normal 11 6 3 2 3" xfId="15949" xr:uid="{00000000-0005-0000-0000-000079160000}"/>
    <cellStyle name="Normal 11 6 3 3" xfId="3539" xr:uid="{00000000-0005-0000-0000-00007A160000}"/>
    <cellStyle name="Normal 11 6 3 3 2" xfId="9828" xr:uid="{00000000-0005-0000-0000-00007B160000}"/>
    <cellStyle name="Normal 11 6 3 3 2 2" xfId="22176" xr:uid="{00000000-0005-0000-0000-00007C160000}"/>
    <cellStyle name="Normal 11 6 3 3 3" xfId="15950" xr:uid="{00000000-0005-0000-0000-00007D160000}"/>
    <cellStyle name="Normal 11 6 3 4" xfId="9826" xr:uid="{00000000-0005-0000-0000-00007E160000}"/>
    <cellStyle name="Normal 11 6 3 4 2" xfId="22174" xr:uid="{00000000-0005-0000-0000-00007F160000}"/>
    <cellStyle name="Normal 11 6 3 5" xfId="15948" xr:uid="{00000000-0005-0000-0000-000080160000}"/>
    <cellStyle name="Normal 11 6 4" xfId="3540" xr:uid="{00000000-0005-0000-0000-000081160000}"/>
    <cellStyle name="Normal 11 6 4 2" xfId="3541" xr:uid="{00000000-0005-0000-0000-000082160000}"/>
    <cellStyle name="Normal 11 6 4 2 2" xfId="9830" xr:uid="{00000000-0005-0000-0000-000083160000}"/>
    <cellStyle name="Normal 11 6 4 2 2 2" xfId="22178" xr:uid="{00000000-0005-0000-0000-000084160000}"/>
    <cellStyle name="Normal 11 6 4 2 3" xfId="15952" xr:uid="{00000000-0005-0000-0000-000085160000}"/>
    <cellStyle name="Normal 11 6 4 3" xfId="9829" xr:uid="{00000000-0005-0000-0000-000086160000}"/>
    <cellStyle name="Normal 11 6 4 3 2" xfId="22177" xr:uid="{00000000-0005-0000-0000-000087160000}"/>
    <cellStyle name="Normal 11 6 4 4" xfId="15951" xr:uid="{00000000-0005-0000-0000-000088160000}"/>
    <cellStyle name="Normal 11 6 5" xfId="3542" xr:uid="{00000000-0005-0000-0000-000089160000}"/>
    <cellStyle name="Normal 11 6 5 2" xfId="9831" xr:uid="{00000000-0005-0000-0000-00008A160000}"/>
    <cellStyle name="Normal 11 6 5 2 2" xfId="22179" xr:uid="{00000000-0005-0000-0000-00008B160000}"/>
    <cellStyle name="Normal 11 6 5 3" xfId="15953" xr:uid="{00000000-0005-0000-0000-00008C160000}"/>
    <cellStyle name="Normal 11 6 6" xfId="9819" xr:uid="{00000000-0005-0000-0000-00008D160000}"/>
    <cellStyle name="Normal 11 6 6 2" xfId="22167" xr:uid="{00000000-0005-0000-0000-00008E160000}"/>
    <cellStyle name="Normal 11 6 7" xfId="15941" xr:uid="{00000000-0005-0000-0000-00008F160000}"/>
    <cellStyle name="Normal 11 7" xfId="3543" xr:uid="{00000000-0005-0000-0000-000090160000}"/>
    <cellStyle name="Normal 11 7 2" xfId="3544" xr:uid="{00000000-0005-0000-0000-000091160000}"/>
    <cellStyle name="Normal 11 7 2 2" xfId="3545" xr:uid="{00000000-0005-0000-0000-000092160000}"/>
    <cellStyle name="Normal 11 7 2 2 2" xfId="9834" xr:uid="{00000000-0005-0000-0000-000093160000}"/>
    <cellStyle name="Normal 11 7 2 2 2 2" xfId="22182" xr:uid="{00000000-0005-0000-0000-000094160000}"/>
    <cellStyle name="Normal 11 7 2 2 3" xfId="15956" xr:uid="{00000000-0005-0000-0000-000095160000}"/>
    <cellStyle name="Normal 11 7 2 3" xfId="9833" xr:uid="{00000000-0005-0000-0000-000096160000}"/>
    <cellStyle name="Normal 11 7 2 3 2" xfId="22181" xr:uid="{00000000-0005-0000-0000-000097160000}"/>
    <cellStyle name="Normal 11 7 2 4" xfId="15955" xr:uid="{00000000-0005-0000-0000-000098160000}"/>
    <cellStyle name="Normal 11 7 3" xfId="3546" xr:uid="{00000000-0005-0000-0000-000099160000}"/>
    <cellStyle name="Normal 11 7 3 2" xfId="3547" xr:uid="{00000000-0005-0000-0000-00009A160000}"/>
    <cellStyle name="Normal 11 7 3 2 2" xfId="9836" xr:uid="{00000000-0005-0000-0000-00009B160000}"/>
    <cellStyle name="Normal 11 7 3 2 2 2" xfId="22184" xr:uid="{00000000-0005-0000-0000-00009C160000}"/>
    <cellStyle name="Normal 11 7 3 2 3" xfId="15958" xr:uid="{00000000-0005-0000-0000-00009D160000}"/>
    <cellStyle name="Normal 11 7 3 3" xfId="9835" xr:uid="{00000000-0005-0000-0000-00009E160000}"/>
    <cellStyle name="Normal 11 7 3 3 2" xfId="22183" xr:uid="{00000000-0005-0000-0000-00009F160000}"/>
    <cellStyle name="Normal 11 7 3 4" xfId="15957" xr:uid="{00000000-0005-0000-0000-0000A0160000}"/>
    <cellStyle name="Normal 11 7 4" xfId="3548" xr:uid="{00000000-0005-0000-0000-0000A1160000}"/>
    <cellStyle name="Normal 11 7 4 2" xfId="9837" xr:uid="{00000000-0005-0000-0000-0000A2160000}"/>
    <cellStyle name="Normal 11 7 4 2 2" xfId="22185" xr:uid="{00000000-0005-0000-0000-0000A3160000}"/>
    <cellStyle name="Normal 11 7 4 3" xfId="15959" xr:uid="{00000000-0005-0000-0000-0000A4160000}"/>
    <cellStyle name="Normal 11 7 5" xfId="3549" xr:uid="{00000000-0005-0000-0000-0000A5160000}"/>
    <cellStyle name="Normal 11 7 5 2" xfId="9838" xr:uid="{00000000-0005-0000-0000-0000A6160000}"/>
    <cellStyle name="Normal 11 7 5 2 2" xfId="22186" xr:uid="{00000000-0005-0000-0000-0000A7160000}"/>
    <cellStyle name="Normal 11 7 5 3" xfId="15960" xr:uid="{00000000-0005-0000-0000-0000A8160000}"/>
    <cellStyle name="Normal 11 7 6" xfId="9832" xr:uid="{00000000-0005-0000-0000-0000A9160000}"/>
    <cellStyle name="Normal 11 7 6 2" xfId="22180" xr:uid="{00000000-0005-0000-0000-0000AA160000}"/>
    <cellStyle name="Normal 11 7 7" xfId="15954" xr:uid="{00000000-0005-0000-0000-0000AB160000}"/>
    <cellStyle name="Normal 11 8" xfId="3550" xr:uid="{00000000-0005-0000-0000-0000AC160000}"/>
    <cellStyle name="Normal 11 8 2" xfId="3551" xr:uid="{00000000-0005-0000-0000-0000AD160000}"/>
    <cellStyle name="Normal 11 8 2 2" xfId="9840" xr:uid="{00000000-0005-0000-0000-0000AE160000}"/>
    <cellStyle name="Normal 11 8 2 2 2" xfId="22188" xr:uid="{00000000-0005-0000-0000-0000AF160000}"/>
    <cellStyle name="Normal 11 8 2 3" xfId="15962" xr:uid="{00000000-0005-0000-0000-0000B0160000}"/>
    <cellStyle name="Normal 11 8 3" xfId="3552" xr:uid="{00000000-0005-0000-0000-0000B1160000}"/>
    <cellStyle name="Normal 11 8 3 2" xfId="9841" xr:uid="{00000000-0005-0000-0000-0000B2160000}"/>
    <cellStyle name="Normal 11 8 3 2 2" xfId="22189" xr:uid="{00000000-0005-0000-0000-0000B3160000}"/>
    <cellStyle name="Normal 11 8 3 3" xfId="15963" xr:uid="{00000000-0005-0000-0000-0000B4160000}"/>
    <cellStyle name="Normal 11 8 4" xfId="9839" xr:uid="{00000000-0005-0000-0000-0000B5160000}"/>
    <cellStyle name="Normal 11 8 4 2" xfId="22187" xr:uid="{00000000-0005-0000-0000-0000B6160000}"/>
    <cellStyle name="Normal 11 8 5" xfId="15961" xr:uid="{00000000-0005-0000-0000-0000B7160000}"/>
    <cellStyle name="Normal 11 9" xfId="3553" xr:uid="{00000000-0005-0000-0000-0000B8160000}"/>
    <cellStyle name="Normal 11 9 2" xfId="3554" xr:uid="{00000000-0005-0000-0000-0000B9160000}"/>
    <cellStyle name="Normal 11 9 2 2" xfId="9843" xr:uid="{00000000-0005-0000-0000-0000BA160000}"/>
    <cellStyle name="Normal 11 9 2 2 2" xfId="22191" xr:uid="{00000000-0005-0000-0000-0000BB160000}"/>
    <cellStyle name="Normal 11 9 2 3" xfId="15965" xr:uid="{00000000-0005-0000-0000-0000BC160000}"/>
    <cellStyle name="Normal 11 9 3" xfId="9842" xr:uid="{00000000-0005-0000-0000-0000BD160000}"/>
    <cellStyle name="Normal 11 9 3 2" xfId="22190" xr:uid="{00000000-0005-0000-0000-0000BE160000}"/>
    <cellStyle name="Normal 11 9 4" xfId="15964" xr:uid="{00000000-0005-0000-0000-0000BF160000}"/>
    <cellStyle name="Normal 11_2180" xfId="9844" xr:uid="{00000000-0005-0000-0000-0000C0160000}"/>
    <cellStyle name="Normal 110" xfId="3555" xr:uid="{00000000-0005-0000-0000-0000C1160000}"/>
    <cellStyle name="Normal 110 2" xfId="3556" xr:uid="{00000000-0005-0000-0000-0000C2160000}"/>
    <cellStyle name="Normal 110 2 2" xfId="9845" xr:uid="{00000000-0005-0000-0000-0000C3160000}"/>
    <cellStyle name="Normal 110 2 2 2" xfId="22192" xr:uid="{00000000-0005-0000-0000-0000C4160000}"/>
    <cellStyle name="Normal 110 2 3" xfId="15966" xr:uid="{00000000-0005-0000-0000-0000C5160000}"/>
    <cellStyle name="Normal 111" xfId="3557" xr:uid="{00000000-0005-0000-0000-0000C6160000}"/>
    <cellStyle name="Normal 111 2" xfId="3558" xr:uid="{00000000-0005-0000-0000-0000C7160000}"/>
    <cellStyle name="Normal 111 2 2" xfId="9846" xr:uid="{00000000-0005-0000-0000-0000C8160000}"/>
    <cellStyle name="Normal 111 2 2 2" xfId="22193" xr:uid="{00000000-0005-0000-0000-0000C9160000}"/>
    <cellStyle name="Normal 111 2 3" xfId="15967" xr:uid="{00000000-0005-0000-0000-0000CA160000}"/>
    <cellStyle name="Normal 111 3" xfId="3559" xr:uid="{00000000-0005-0000-0000-0000CB160000}"/>
    <cellStyle name="Normal 111 4" xfId="3560" xr:uid="{00000000-0005-0000-0000-0000CC160000}"/>
    <cellStyle name="Normal 112" xfId="3561" xr:uid="{00000000-0005-0000-0000-0000CD160000}"/>
    <cellStyle name="Normal 112 2" xfId="3562" xr:uid="{00000000-0005-0000-0000-0000CE160000}"/>
    <cellStyle name="Normal 112 2 2" xfId="9847" xr:uid="{00000000-0005-0000-0000-0000CF160000}"/>
    <cellStyle name="Normal 112 2 2 2" xfId="22194" xr:uid="{00000000-0005-0000-0000-0000D0160000}"/>
    <cellStyle name="Normal 112 2 3" xfId="15968" xr:uid="{00000000-0005-0000-0000-0000D1160000}"/>
    <cellStyle name="Normal 112 3" xfId="3563" xr:uid="{00000000-0005-0000-0000-0000D2160000}"/>
    <cellStyle name="Normal 112 4" xfId="3564" xr:uid="{00000000-0005-0000-0000-0000D3160000}"/>
    <cellStyle name="Normal 113" xfId="3565" xr:uid="{00000000-0005-0000-0000-0000D4160000}"/>
    <cellStyle name="Normal 113 2" xfId="3566" xr:uid="{00000000-0005-0000-0000-0000D5160000}"/>
    <cellStyle name="Normal 113 3" xfId="3567" xr:uid="{00000000-0005-0000-0000-0000D6160000}"/>
    <cellStyle name="Normal 113 3 2" xfId="9848" xr:uid="{00000000-0005-0000-0000-0000D7160000}"/>
    <cellStyle name="Normal 113 3 2 2" xfId="22195" xr:uid="{00000000-0005-0000-0000-0000D8160000}"/>
    <cellStyle name="Normal 113 3 3" xfId="15970" xr:uid="{00000000-0005-0000-0000-0000D9160000}"/>
    <cellStyle name="Normal 113 4" xfId="3568" xr:uid="{00000000-0005-0000-0000-0000DA160000}"/>
    <cellStyle name="Normal 113 5" xfId="3569" xr:uid="{00000000-0005-0000-0000-0000DB160000}"/>
    <cellStyle name="Normal 113 6" xfId="15969" xr:uid="{00000000-0005-0000-0000-0000DC160000}"/>
    <cellStyle name="Normal 114" xfId="3570" xr:uid="{00000000-0005-0000-0000-0000DD160000}"/>
    <cellStyle name="Normal 114 2" xfId="3571" xr:uid="{00000000-0005-0000-0000-0000DE160000}"/>
    <cellStyle name="Normal 114 2 2" xfId="9850" xr:uid="{00000000-0005-0000-0000-0000DF160000}"/>
    <cellStyle name="Normal 114 2 2 2" xfId="22197" xr:uid="{00000000-0005-0000-0000-0000E0160000}"/>
    <cellStyle name="Normal 114 2 3" xfId="15972" xr:uid="{00000000-0005-0000-0000-0000E1160000}"/>
    <cellStyle name="Normal 114 3" xfId="9849" xr:uid="{00000000-0005-0000-0000-0000E2160000}"/>
    <cellStyle name="Normal 114 3 2" xfId="22196" xr:uid="{00000000-0005-0000-0000-0000E3160000}"/>
    <cellStyle name="Normal 114 4" xfId="15971" xr:uid="{00000000-0005-0000-0000-0000E4160000}"/>
    <cellStyle name="Normal 115" xfId="3572" xr:uid="{00000000-0005-0000-0000-0000E5160000}"/>
    <cellStyle name="Normal 115 2" xfId="9851" xr:uid="{00000000-0005-0000-0000-0000E6160000}"/>
    <cellStyle name="Normal 115 2 2" xfId="22198" xr:uid="{00000000-0005-0000-0000-0000E7160000}"/>
    <cellStyle name="Normal 115 3" xfId="15973" xr:uid="{00000000-0005-0000-0000-0000E8160000}"/>
    <cellStyle name="Normal 116" xfId="3573" xr:uid="{00000000-0005-0000-0000-0000E9160000}"/>
    <cellStyle name="Normal 116 2" xfId="3574" xr:uid="{00000000-0005-0000-0000-0000EA160000}"/>
    <cellStyle name="Normal 116 3" xfId="15974" xr:uid="{00000000-0005-0000-0000-0000EB160000}"/>
    <cellStyle name="Normal 117" xfId="3575" xr:uid="{00000000-0005-0000-0000-0000EC160000}"/>
    <cellStyle name="Normal 117 2" xfId="3576" xr:uid="{00000000-0005-0000-0000-0000ED160000}"/>
    <cellStyle name="Normal 117 3" xfId="3577" xr:uid="{00000000-0005-0000-0000-0000EE160000}"/>
    <cellStyle name="Normal 117 4" xfId="15975" xr:uid="{00000000-0005-0000-0000-0000EF160000}"/>
    <cellStyle name="Normal 118" xfId="3578" xr:uid="{00000000-0005-0000-0000-0000F0160000}"/>
    <cellStyle name="Normal 118 2" xfId="3579" xr:uid="{00000000-0005-0000-0000-0000F1160000}"/>
    <cellStyle name="Normal 118 3" xfId="3580" xr:uid="{00000000-0005-0000-0000-0000F2160000}"/>
    <cellStyle name="Normal 118 4" xfId="15976" xr:uid="{00000000-0005-0000-0000-0000F3160000}"/>
    <cellStyle name="Normal 119" xfId="3581" xr:uid="{00000000-0005-0000-0000-0000F4160000}"/>
    <cellStyle name="Normal 119 2" xfId="9852" xr:uid="{00000000-0005-0000-0000-0000F5160000}"/>
    <cellStyle name="Normal 119 2 2" xfId="22199" xr:uid="{00000000-0005-0000-0000-0000F6160000}"/>
    <cellStyle name="Normal 119 3" xfId="15977" xr:uid="{00000000-0005-0000-0000-0000F7160000}"/>
    <cellStyle name="Normal 12" xfId="3582" xr:uid="{00000000-0005-0000-0000-0000F8160000}"/>
    <cellStyle name="Normal 12 10" xfId="3583" xr:uid="{00000000-0005-0000-0000-0000F9160000}"/>
    <cellStyle name="Normal 12 10 2" xfId="9854" xr:uid="{00000000-0005-0000-0000-0000FA160000}"/>
    <cellStyle name="Normal 12 10 2 2" xfId="22201" xr:uid="{00000000-0005-0000-0000-0000FB160000}"/>
    <cellStyle name="Normal 12 10 3" xfId="15979" xr:uid="{00000000-0005-0000-0000-0000FC160000}"/>
    <cellStyle name="Normal 12 11" xfId="9853" xr:uid="{00000000-0005-0000-0000-0000FD160000}"/>
    <cellStyle name="Normal 12 11 2" xfId="22200" xr:uid="{00000000-0005-0000-0000-0000FE160000}"/>
    <cellStyle name="Normal 12 12" xfId="15978" xr:uid="{00000000-0005-0000-0000-0000FF160000}"/>
    <cellStyle name="Normal 12 2" xfId="3584" xr:uid="{00000000-0005-0000-0000-000000170000}"/>
    <cellStyle name="Normal 12 2 2" xfId="3585" xr:uid="{00000000-0005-0000-0000-000001170000}"/>
    <cellStyle name="Normal 12 2 2 2" xfId="3586" xr:uid="{00000000-0005-0000-0000-000002170000}"/>
    <cellStyle name="Normal 12 2 2 2 2" xfId="3587" xr:uid="{00000000-0005-0000-0000-000003170000}"/>
    <cellStyle name="Normal 12 2 2 2 2 2" xfId="3588" xr:uid="{00000000-0005-0000-0000-000004170000}"/>
    <cellStyle name="Normal 12 2 2 2 2 2 2" xfId="3589" xr:uid="{00000000-0005-0000-0000-000005170000}"/>
    <cellStyle name="Normal 12 2 2 2 2 2 2 2" xfId="3590" xr:uid="{00000000-0005-0000-0000-000006170000}"/>
    <cellStyle name="Normal 12 2 2 2 2 2 2 2 2" xfId="9859" xr:uid="{00000000-0005-0000-0000-000007170000}"/>
    <cellStyle name="Normal 12 2 2 2 2 2 2 2 2 2" xfId="22206" xr:uid="{00000000-0005-0000-0000-000008170000}"/>
    <cellStyle name="Normal 12 2 2 2 2 2 2 2 3" xfId="15984" xr:uid="{00000000-0005-0000-0000-000009170000}"/>
    <cellStyle name="Normal 12 2 2 2 2 2 2 3" xfId="9858" xr:uid="{00000000-0005-0000-0000-00000A170000}"/>
    <cellStyle name="Normal 12 2 2 2 2 2 2 3 2" xfId="22205" xr:uid="{00000000-0005-0000-0000-00000B170000}"/>
    <cellStyle name="Normal 12 2 2 2 2 2 2 4" xfId="15983" xr:uid="{00000000-0005-0000-0000-00000C170000}"/>
    <cellStyle name="Normal 12 2 2 2 2 2 3" xfId="3591" xr:uid="{00000000-0005-0000-0000-00000D170000}"/>
    <cellStyle name="Normal 12 2 2 2 2 2 3 2" xfId="3592" xr:uid="{00000000-0005-0000-0000-00000E170000}"/>
    <cellStyle name="Normal 12 2 2 2 2 2 3 2 2" xfId="9861" xr:uid="{00000000-0005-0000-0000-00000F170000}"/>
    <cellStyle name="Normal 12 2 2 2 2 2 3 2 2 2" xfId="22208" xr:uid="{00000000-0005-0000-0000-000010170000}"/>
    <cellStyle name="Normal 12 2 2 2 2 2 3 2 3" xfId="15986" xr:uid="{00000000-0005-0000-0000-000011170000}"/>
    <cellStyle name="Normal 12 2 2 2 2 2 3 3" xfId="9860" xr:uid="{00000000-0005-0000-0000-000012170000}"/>
    <cellStyle name="Normal 12 2 2 2 2 2 3 3 2" xfId="22207" xr:uid="{00000000-0005-0000-0000-000013170000}"/>
    <cellStyle name="Normal 12 2 2 2 2 2 3 4" xfId="15985" xr:uid="{00000000-0005-0000-0000-000014170000}"/>
    <cellStyle name="Normal 12 2 2 2 2 2 4" xfId="3593" xr:uid="{00000000-0005-0000-0000-000015170000}"/>
    <cellStyle name="Normal 12 2 2 2 2 2 4 2" xfId="9862" xr:uid="{00000000-0005-0000-0000-000016170000}"/>
    <cellStyle name="Normal 12 2 2 2 2 2 4 2 2" xfId="22209" xr:uid="{00000000-0005-0000-0000-000017170000}"/>
    <cellStyle name="Normal 12 2 2 2 2 2 4 3" xfId="15987" xr:uid="{00000000-0005-0000-0000-000018170000}"/>
    <cellStyle name="Normal 12 2 2 2 2 2 5" xfId="9857" xr:uid="{00000000-0005-0000-0000-000019170000}"/>
    <cellStyle name="Normal 12 2 2 2 2 2 5 2" xfId="22204" xr:uid="{00000000-0005-0000-0000-00001A170000}"/>
    <cellStyle name="Normal 12 2 2 2 2 2 6" xfId="15982" xr:uid="{00000000-0005-0000-0000-00001B170000}"/>
    <cellStyle name="Normal 12 2 2 2 2 3" xfId="3594" xr:uid="{00000000-0005-0000-0000-00001C170000}"/>
    <cellStyle name="Normal 12 2 2 2 2 3 2" xfId="3595" xr:uid="{00000000-0005-0000-0000-00001D170000}"/>
    <cellStyle name="Normal 12 2 2 2 2 3 2 2" xfId="9864" xr:uid="{00000000-0005-0000-0000-00001E170000}"/>
    <cellStyle name="Normal 12 2 2 2 2 3 2 2 2" xfId="22211" xr:uid="{00000000-0005-0000-0000-00001F170000}"/>
    <cellStyle name="Normal 12 2 2 2 2 3 2 3" xfId="15989" xr:uid="{00000000-0005-0000-0000-000020170000}"/>
    <cellStyle name="Normal 12 2 2 2 2 3 3" xfId="9863" xr:uid="{00000000-0005-0000-0000-000021170000}"/>
    <cellStyle name="Normal 12 2 2 2 2 3 3 2" xfId="22210" xr:uid="{00000000-0005-0000-0000-000022170000}"/>
    <cellStyle name="Normal 12 2 2 2 2 3 4" xfId="15988" xr:uid="{00000000-0005-0000-0000-000023170000}"/>
    <cellStyle name="Normal 12 2 2 2 2 4" xfId="3596" xr:uid="{00000000-0005-0000-0000-000024170000}"/>
    <cellStyle name="Normal 12 2 2 2 2 4 2" xfId="3597" xr:uid="{00000000-0005-0000-0000-000025170000}"/>
    <cellStyle name="Normal 12 2 2 2 2 4 2 2" xfId="9866" xr:uid="{00000000-0005-0000-0000-000026170000}"/>
    <cellStyle name="Normal 12 2 2 2 2 4 2 2 2" xfId="22213" xr:uid="{00000000-0005-0000-0000-000027170000}"/>
    <cellStyle name="Normal 12 2 2 2 2 4 2 3" xfId="15991" xr:uid="{00000000-0005-0000-0000-000028170000}"/>
    <cellStyle name="Normal 12 2 2 2 2 4 3" xfId="9865" xr:uid="{00000000-0005-0000-0000-000029170000}"/>
    <cellStyle name="Normal 12 2 2 2 2 4 3 2" xfId="22212" xr:uid="{00000000-0005-0000-0000-00002A170000}"/>
    <cellStyle name="Normal 12 2 2 2 2 4 4" xfId="15990" xr:uid="{00000000-0005-0000-0000-00002B170000}"/>
    <cellStyle name="Normal 12 2 2 2 2 5" xfId="3598" xr:uid="{00000000-0005-0000-0000-00002C170000}"/>
    <cellStyle name="Normal 12 2 2 2 2 5 2" xfId="9867" xr:uid="{00000000-0005-0000-0000-00002D170000}"/>
    <cellStyle name="Normal 12 2 2 2 2 5 2 2" xfId="22214" xr:uid="{00000000-0005-0000-0000-00002E170000}"/>
    <cellStyle name="Normal 12 2 2 2 2 5 3" xfId="15992" xr:uid="{00000000-0005-0000-0000-00002F170000}"/>
    <cellStyle name="Normal 12 2 2 2 2 6" xfId="9856" xr:uid="{00000000-0005-0000-0000-000030170000}"/>
    <cellStyle name="Normal 12 2 2 2 2 6 2" xfId="22203" xr:uid="{00000000-0005-0000-0000-000031170000}"/>
    <cellStyle name="Normal 12 2 2 2 2 7" xfId="15981" xr:uid="{00000000-0005-0000-0000-000032170000}"/>
    <cellStyle name="Normal 12 2 2 2 3" xfId="3599" xr:uid="{00000000-0005-0000-0000-000033170000}"/>
    <cellStyle name="Normal 12 2 2 2 3 2" xfId="3600" xr:uid="{00000000-0005-0000-0000-000034170000}"/>
    <cellStyle name="Normal 12 2 2 2 3 2 2" xfId="3601" xr:uid="{00000000-0005-0000-0000-000035170000}"/>
    <cellStyle name="Normal 12 2 2 2 3 2 2 2" xfId="9870" xr:uid="{00000000-0005-0000-0000-000036170000}"/>
    <cellStyle name="Normal 12 2 2 2 3 2 2 2 2" xfId="22217" xr:uid="{00000000-0005-0000-0000-000037170000}"/>
    <cellStyle name="Normal 12 2 2 2 3 2 2 3" xfId="15995" xr:uid="{00000000-0005-0000-0000-000038170000}"/>
    <cellStyle name="Normal 12 2 2 2 3 2 3" xfId="9869" xr:uid="{00000000-0005-0000-0000-000039170000}"/>
    <cellStyle name="Normal 12 2 2 2 3 2 3 2" xfId="22216" xr:uid="{00000000-0005-0000-0000-00003A170000}"/>
    <cellStyle name="Normal 12 2 2 2 3 2 4" xfId="15994" xr:uid="{00000000-0005-0000-0000-00003B170000}"/>
    <cellStyle name="Normal 12 2 2 2 3 3" xfId="3602" xr:uid="{00000000-0005-0000-0000-00003C170000}"/>
    <cellStyle name="Normal 12 2 2 2 3 3 2" xfId="3603" xr:uid="{00000000-0005-0000-0000-00003D170000}"/>
    <cellStyle name="Normal 12 2 2 2 3 3 2 2" xfId="9872" xr:uid="{00000000-0005-0000-0000-00003E170000}"/>
    <cellStyle name="Normal 12 2 2 2 3 3 2 2 2" xfId="22219" xr:uid="{00000000-0005-0000-0000-00003F170000}"/>
    <cellStyle name="Normal 12 2 2 2 3 3 2 3" xfId="15997" xr:uid="{00000000-0005-0000-0000-000040170000}"/>
    <cellStyle name="Normal 12 2 2 2 3 3 3" xfId="9871" xr:uid="{00000000-0005-0000-0000-000041170000}"/>
    <cellStyle name="Normal 12 2 2 2 3 3 3 2" xfId="22218" xr:uid="{00000000-0005-0000-0000-000042170000}"/>
    <cellStyle name="Normal 12 2 2 2 3 3 4" xfId="15996" xr:uid="{00000000-0005-0000-0000-000043170000}"/>
    <cellStyle name="Normal 12 2 2 2 3 4" xfId="3604" xr:uid="{00000000-0005-0000-0000-000044170000}"/>
    <cellStyle name="Normal 12 2 2 2 3 4 2" xfId="9873" xr:uid="{00000000-0005-0000-0000-000045170000}"/>
    <cellStyle name="Normal 12 2 2 2 3 4 2 2" xfId="22220" xr:uid="{00000000-0005-0000-0000-000046170000}"/>
    <cellStyle name="Normal 12 2 2 2 3 4 3" xfId="15998" xr:uid="{00000000-0005-0000-0000-000047170000}"/>
    <cellStyle name="Normal 12 2 2 2 3 5" xfId="9868" xr:uid="{00000000-0005-0000-0000-000048170000}"/>
    <cellStyle name="Normal 12 2 2 2 3 5 2" xfId="22215" xr:uid="{00000000-0005-0000-0000-000049170000}"/>
    <cellStyle name="Normal 12 2 2 2 3 6" xfId="15993" xr:uid="{00000000-0005-0000-0000-00004A170000}"/>
    <cellStyle name="Normal 12 2 2 2 4" xfId="3605" xr:uid="{00000000-0005-0000-0000-00004B170000}"/>
    <cellStyle name="Normal 12 2 2 2 4 2" xfId="3606" xr:uid="{00000000-0005-0000-0000-00004C170000}"/>
    <cellStyle name="Normal 12 2 2 2 4 2 2" xfId="9875" xr:uid="{00000000-0005-0000-0000-00004D170000}"/>
    <cellStyle name="Normal 12 2 2 2 4 2 2 2" xfId="22222" xr:uid="{00000000-0005-0000-0000-00004E170000}"/>
    <cellStyle name="Normal 12 2 2 2 4 2 3" xfId="16000" xr:uid="{00000000-0005-0000-0000-00004F170000}"/>
    <cellStyle name="Normal 12 2 2 2 4 3" xfId="9874" xr:uid="{00000000-0005-0000-0000-000050170000}"/>
    <cellStyle name="Normal 12 2 2 2 4 3 2" xfId="22221" xr:uid="{00000000-0005-0000-0000-000051170000}"/>
    <cellStyle name="Normal 12 2 2 2 4 4" xfId="15999" xr:uid="{00000000-0005-0000-0000-000052170000}"/>
    <cellStyle name="Normal 12 2 2 2 5" xfId="3607" xr:uid="{00000000-0005-0000-0000-000053170000}"/>
    <cellStyle name="Normal 12 2 2 2 5 2" xfId="3608" xr:uid="{00000000-0005-0000-0000-000054170000}"/>
    <cellStyle name="Normal 12 2 2 2 5 2 2" xfId="9877" xr:uid="{00000000-0005-0000-0000-000055170000}"/>
    <cellStyle name="Normal 12 2 2 2 5 2 2 2" xfId="22224" xr:uid="{00000000-0005-0000-0000-000056170000}"/>
    <cellStyle name="Normal 12 2 2 2 5 2 3" xfId="16002" xr:uid="{00000000-0005-0000-0000-000057170000}"/>
    <cellStyle name="Normal 12 2 2 2 5 3" xfId="9876" xr:uid="{00000000-0005-0000-0000-000058170000}"/>
    <cellStyle name="Normal 12 2 2 2 5 3 2" xfId="22223" xr:uid="{00000000-0005-0000-0000-000059170000}"/>
    <cellStyle name="Normal 12 2 2 2 5 4" xfId="16001" xr:uid="{00000000-0005-0000-0000-00005A170000}"/>
    <cellStyle name="Normal 12 2 2 2 6" xfId="3609" xr:uid="{00000000-0005-0000-0000-00005B170000}"/>
    <cellStyle name="Normal 12 2 2 2 6 2" xfId="9878" xr:uid="{00000000-0005-0000-0000-00005C170000}"/>
    <cellStyle name="Normal 12 2 2 2 6 2 2" xfId="22225" xr:uid="{00000000-0005-0000-0000-00005D170000}"/>
    <cellStyle name="Normal 12 2 2 2 6 3" xfId="16003" xr:uid="{00000000-0005-0000-0000-00005E170000}"/>
    <cellStyle name="Normal 12 2 2 3" xfId="3610" xr:uid="{00000000-0005-0000-0000-00005F170000}"/>
    <cellStyle name="Normal 12 2 2 3 2" xfId="3611" xr:uid="{00000000-0005-0000-0000-000060170000}"/>
    <cellStyle name="Normal 12 2 2 3 2 2" xfId="3612" xr:uid="{00000000-0005-0000-0000-000061170000}"/>
    <cellStyle name="Normal 12 2 2 3 2 2 2" xfId="3613" xr:uid="{00000000-0005-0000-0000-000062170000}"/>
    <cellStyle name="Normal 12 2 2 3 2 2 2 2" xfId="9882" xr:uid="{00000000-0005-0000-0000-000063170000}"/>
    <cellStyle name="Normal 12 2 2 3 2 2 2 2 2" xfId="22229" xr:uid="{00000000-0005-0000-0000-000064170000}"/>
    <cellStyle name="Normal 12 2 2 3 2 2 2 3" xfId="16007" xr:uid="{00000000-0005-0000-0000-000065170000}"/>
    <cellStyle name="Normal 12 2 2 3 2 2 3" xfId="9881" xr:uid="{00000000-0005-0000-0000-000066170000}"/>
    <cellStyle name="Normal 12 2 2 3 2 2 3 2" xfId="22228" xr:uid="{00000000-0005-0000-0000-000067170000}"/>
    <cellStyle name="Normal 12 2 2 3 2 2 4" xfId="16006" xr:uid="{00000000-0005-0000-0000-000068170000}"/>
    <cellStyle name="Normal 12 2 2 3 2 3" xfId="3614" xr:uid="{00000000-0005-0000-0000-000069170000}"/>
    <cellStyle name="Normal 12 2 2 3 2 3 2" xfId="3615" xr:uid="{00000000-0005-0000-0000-00006A170000}"/>
    <cellStyle name="Normal 12 2 2 3 2 3 2 2" xfId="9884" xr:uid="{00000000-0005-0000-0000-00006B170000}"/>
    <cellStyle name="Normal 12 2 2 3 2 3 2 2 2" xfId="22231" xr:uid="{00000000-0005-0000-0000-00006C170000}"/>
    <cellStyle name="Normal 12 2 2 3 2 3 2 3" xfId="16009" xr:uid="{00000000-0005-0000-0000-00006D170000}"/>
    <cellStyle name="Normal 12 2 2 3 2 3 3" xfId="9883" xr:uid="{00000000-0005-0000-0000-00006E170000}"/>
    <cellStyle name="Normal 12 2 2 3 2 3 3 2" xfId="22230" xr:uid="{00000000-0005-0000-0000-00006F170000}"/>
    <cellStyle name="Normal 12 2 2 3 2 3 4" xfId="16008" xr:uid="{00000000-0005-0000-0000-000070170000}"/>
    <cellStyle name="Normal 12 2 2 3 2 4" xfId="3616" xr:uid="{00000000-0005-0000-0000-000071170000}"/>
    <cellStyle name="Normal 12 2 2 3 2 4 2" xfId="9885" xr:uid="{00000000-0005-0000-0000-000072170000}"/>
    <cellStyle name="Normal 12 2 2 3 2 4 2 2" xfId="22232" xr:uid="{00000000-0005-0000-0000-000073170000}"/>
    <cellStyle name="Normal 12 2 2 3 2 4 3" xfId="16010" xr:uid="{00000000-0005-0000-0000-000074170000}"/>
    <cellStyle name="Normal 12 2 2 3 2 5" xfId="9880" xr:uid="{00000000-0005-0000-0000-000075170000}"/>
    <cellStyle name="Normal 12 2 2 3 2 5 2" xfId="22227" xr:uid="{00000000-0005-0000-0000-000076170000}"/>
    <cellStyle name="Normal 12 2 2 3 2 6" xfId="16005" xr:uid="{00000000-0005-0000-0000-000077170000}"/>
    <cellStyle name="Normal 12 2 2 3 3" xfId="3617" xr:uid="{00000000-0005-0000-0000-000078170000}"/>
    <cellStyle name="Normal 12 2 2 3 3 2" xfId="3618" xr:uid="{00000000-0005-0000-0000-000079170000}"/>
    <cellStyle name="Normal 12 2 2 3 3 2 2" xfId="9887" xr:uid="{00000000-0005-0000-0000-00007A170000}"/>
    <cellStyle name="Normal 12 2 2 3 3 2 2 2" xfId="22234" xr:uid="{00000000-0005-0000-0000-00007B170000}"/>
    <cellStyle name="Normal 12 2 2 3 3 2 3" xfId="16012" xr:uid="{00000000-0005-0000-0000-00007C170000}"/>
    <cellStyle name="Normal 12 2 2 3 3 3" xfId="9886" xr:uid="{00000000-0005-0000-0000-00007D170000}"/>
    <cellStyle name="Normal 12 2 2 3 3 3 2" xfId="22233" xr:uid="{00000000-0005-0000-0000-00007E170000}"/>
    <cellStyle name="Normal 12 2 2 3 3 4" xfId="16011" xr:uid="{00000000-0005-0000-0000-00007F170000}"/>
    <cellStyle name="Normal 12 2 2 3 4" xfId="3619" xr:uid="{00000000-0005-0000-0000-000080170000}"/>
    <cellStyle name="Normal 12 2 2 3 4 2" xfId="3620" xr:uid="{00000000-0005-0000-0000-000081170000}"/>
    <cellStyle name="Normal 12 2 2 3 4 2 2" xfId="9889" xr:uid="{00000000-0005-0000-0000-000082170000}"/>
    <cellStyle name="Normal 12 2 2 3 4 2 2 2" xfId="22236" xr:uid="{00000000-0005-0000-0000-000083170000}"/>
    <cellStyle name="Normal 12 2 2 3 4 2 3" xfId="16014" xr:uid="{00000000-0005-0000-0000-000084170000}"/>
    <cellStyle name="Normal 12 2 2 3 4 3" xfId="9888" xr:uid="{00000000-0005-0000-0000-000085170000}"/>
    <cellStyle name="Normal 12 2 2 3 4 3 2" xfId="22235" xr:uid="{00000000-0005-0000-0000-000086170000}"/>
    <cellStyle name="Normal 12 2 2 3 4 4" xfId="16013" xr:uid="{00000000-0005-0000-0000-000087170000}"/>
    <cellStyle name="Normal 12 2 2 3 5" xfId="3621" xr:uid="{00000000-0005-0000-0000-000088170000}"/>
    <cellStyle name="Normal 12 2 2 3 5 2" xfId="9890" xr:uid="{00000000-0005-0000-0000-000089170000}"/>
    <cellStyle name="Normal 12 2 2 3 5 2 2" xfId="22237" xr:uid="{00000000-0005-0000-0000-00008A170000}"/>
    <cellStyle name="Normal 12 2 2 3 5 3" xfId="16015" xr:uid="{00000000-0005-0000-0000-00008B170000}"/>
    <cellStyle name="Normal 12 2 2 3 6" xfId="9879" xr:uid="{00000000-0005-0000-0000-00008C170000}"/>
    <cellStyle name="Normal 12 2 2 3 6 2" xfId="22226" xr:uid="{00000000-0005-0000-0000-00008D170000}"/>
    <cellStyle name="Normal 12 2 2 3 7" xfId="16004" xr:uid="{00000000-0005-0000-0000-00008E170000}"/>
    <cellStyle name="Normal 12 2 2 4" xfId="3622" xr:uid="{00000000-0005-0000-0000-00008F170000}"/>
    <cellStyle name="Normal 12 2 2 4 2" xfId="3623" xr:uid="{00000000-0005-0000-0000-000090170000}"/>
    <cellStyle name="Normal 12 2 2 4 2 2" xfId="3624" xr:uid="{00000000-0005-0000-0000-000091170000}"/>
    <cellStyle name="Normal 12 2 2 4 2 2 2" xfId="9893" xr:uid="{00000000-0005-0000-0000-000092170000}"/>
    <cellStyle name="Normal 12 2 2 4 2 2 2 2" xfId="22240" xr:uid="{00000000-0005-0000-0000-000093170000}"/>
    <cellStyle name="Normal 12 2 2 4 2 2 3" xfId="16018" xr:uid="{00000000-0005-0000-0000-000094170000}"/>
    <cellStyle name="Normal 12 2 2 4 2 3" xfId="9892" xr:uid="{00000000-0005-0000-0000-000095170000}"/>
    <cellStyle name="Normal 12 2 2 4 2 3 2" xfId="22239" xr:uid="{00000000-0005-0000-0000-000096170000}"/>
    <cellStyle name="Normal 12 2 2 4 2 4" xfId="16017" xr:uid="{00000000-0005-0000-0000-000097170000}"/>
    <cellStyle name="Normal 12 2 2 4 3" xfId="3625" xr:uid="{00000000-0005-0000-0000-000098170000}"/>
    <cellStyle name="Normal 12 2 2 4 3 2" xfId="3626" xr:uid="{00000000-0005-0000-0000-000099170000}"/>
    <cellStyle name="Normal 12 2 2 4 3 2 2" xfId="9895" xr:uid="{00000000-0005-0000-0000-00009A170000}"/>
    <cellStyle name="Normal 12 2 2 4 3 2 2 2" xfId="22242" xr:uid="{00000000-0005-0000-0000-00009B170000}"/>
    <cellStyle name="Normal 12 2 2 4 3 2 3" xfId="16020" xr:uid="{00000000-0005-0000-0000-00009C170000}"/>
    <cellStyle name="Normal 12 2 2 4 3 3" xfId="9894" xr:uid="{00000000-0005-0000-0000-00009D170000}"/>
    <cellStyle name="Normal 12 2 2 4 3 3 2" xfId="22241" xr:uid="{00000000-0005-0000-0000-00009E170000}"/>
    <cellStyle name="Normal 12 2 2 4 3 4" xfId="16019" xr:uid="{00000000-0005-0000-0000-00009F170000}"/>
    <cellStyle name="Normal 12 2 2 4 4" xfId="3627" xr:uid="{00000000-0005-0000-0000-0000A0170000}"/>
    <cellStyle name="Normal 12 2 2 4 4 2" xfId="9896" xr:uid="{00000000-0005-0000-0000-0000A1170000}"/>
    <cellStyle name="Normal 12 2 2 4 4 2 2" xfId="22243" xr:uid="{00000000-0005-0000-0000-0000A2170000}"/>
    <cellStyle name="Normal 12 2 2 4 4 3" xfId="16021" xr:uid="{00000000-0005-0000-0000-0000A3170000}"/>
    <cellStyle name="Normal 12 2 2 4 5" xfId="9891" xr:uid="{00000000-0005-0000-0000-0000A4170000}"/>
    <cellStyle name="Normal 12 2 2 4 5 2" xfId="22238" xr:uid="{00000000-0005-0000-0000-0000A5170000}"/>
    <cellStyle name="Normal 12 2 2 4 6" xfId="16016" xr:uid="{00000000-0005-0000-0000-0000A6170000}"/>
    <cellStyle name="Normal 12 2 2 5" xfId="3628" xr:uid="{00000000-0005-0000-0000-0000A7170000}"/>
    <cellStyle name="Normal 12 2 2 5 2" xfId="3629" xr:uid="{00000000-0005-0000-0000-0000A8170000}"/>
    <cellStyle name="Normal 12 2 2 5 2 2" xfId="9898" xr:uid="{00000000-0005-0000-0000-0000A9170000}"/>
    <cellStyle name="Normal 12 2 2 5 2 2 2" xfId="22245" xr:uid="{00000000-0005-0000-0000-0000AA170000}"/>
    <cellStyle name="Normal 12 2 2 5 2 3" xfId="16023" xr:uid="{00000000-0005-0000-0000-0000AB170000}"/>
    <cellStyle name="Normal 12 2 2 5 3" xfId="9897" xr:uid="{00000000-0005-0000-0000-0000AC170000}"/>
    <cellStyle name="Normal 12 2 2 5 3 2" xfId="22244" xr:uid="{00000000-0005-0000-0000-0000AD170000}"/>
    <cellStyle name="Normal 12 2 2 5 4" xfId="16022" xr:uid="{00000000-0005-0000-0000-0000AE170000}"/>
    <cellStyle name="Normal 12 2 2 6" xfId="3630" xr:uid="{00000000-0005-0000-0000-0000AF170000}"/>
    <cellStyle name="Normal 12 2 2 6 2" xfId="3631" xr:uid="{00000000-0005-0000-0000-0000B0170000}"/>
    <cellStyle name="Normal 12 2 2 6 2 2" xfId="9900" xr:uid="{00000000-0005-0000-0000-0000B1170000}"/>
    <cellStyle name="Normal 12 2 2 6 2 2 2" xfId="22247" xr:uid="{00000000-0005-0000-0000-0000B2170000}"/>
    <cellStyle name="Normal 12 2 2 6 2 3" xfId="16025" xr:uid="{00000000-0005-0000-0000-0000B3170000}"/>
    <cellStyle name="Normal 12 2 2 6 3" xfId="9899" xr:uid="{00000000-0005-0000-0000-0000B4170000}"/>
    <cellStyle name="Normal 12 2 2 6 3 2" xfId="22246" xr:uid="{00000000-0005-0000-0000-0000B5170000}"/>
    <cellStyle name="Normal 12 2 2 6 4" xfId="16024" xr:uid="{00000000-0005-0000-0000-0000B6170000}"/>
    <cellStyle name="Normal 12 2 2 7" xfId="3632" xr:uid="{00000000-0005-0000-0000-0000B7170000}"/>
    <cellStyle name="Normal 12 2 2 7 2" xfId="9901" xr:uid="{00000000-0005-0000-0000-0000B8170000}"/>
    <cellStyle name="Normal 12 2 2 7 2 2" xfId="22248" xr:uid="{00000000-0005-0000-0000-0000B9170000}"/>
    <cellStyle name="Normal 12 2 2 7 3" xfId="16026" xr:uid="{00000000-0005-0000-0000-0000BA170000}"/>
    <cellStyle name="Normal 12 2 2 8" xfId="9855" xr:uid="{00000000-0005-0000-0000-0000BB170000}"/>
    <cellStyle name="Normal 12 2 2 8 2" xfId="22202" xr:uid="{00000000-0005-0000-0000-0000BC170000}"/>
    <cellStyle name="Normal 12 2 2 9" xfId="15980" xr:uid="{00000000-0005-0000-0000-0000BD170000}"/>
    <cellStyle name="Normal 12 2 3" xfId="3633" xr:uid="{00000000-0005-0000-0000-0000BE170000}"/>
    <cellStyle name="Normal 12 2 3 2" xfId="3634" xr:uid="{00000000-0005-0000-0000-0000BF170000}"/>
    <cellStyle name="Normal 12 2 3 2 2" xfId="3635" xr:uid="{00000000-0005-0000-0000-0000C0170000}"/>
    <cellStyle name="Normal 12 2 3 2 2 2" xfId="3636" xr:uid="{00000000-0005-0000-0000-0000C1170000}"/>
    <cellStyle name="Normal 12 2 3 2 2 2 2" xfId="3637" xr:uid="{00000000-0005-0000-0000-0000C2170000}"/>
    <cellStyle name="Normal 12 2 3 2 2 2 2 2" xfId="9906" xr:uid="{00000000-0005-0000-0000-0000C3170000}"/>
    <cellStyle name="Normal 12 2 3 2 2 2 2 2 2" xfId="22253" xr:uid="{00000000-0005-0000-0000-0000C4170000}"/>
    <cellStyle name="Normal 12 2 3 2 2 2 2 3" xfId="16031" xr:uid="{00000000-0005-0000-0000-0000C5170000}"/>
    <cellStyle name="Normal 12 2 3 2 2 2 3" xfId="9905" xr:uid="{00000000-0005-0000-0000-0000C6170000}"/>
    <cellStyle name="Normal 12 2 3 2 2 2 3 2" xfId="22252" xr:uid="{00000000-0005-0000-0000-0000C7170000}"/>
    <cellStyle name="Normal 12 2 3 2 2 2 4" xfId="16030" xr:uid="{00000000-0005-0000-0000-0000C8170000}"/>
    <cellStyle name="Normal 12 2 3 2 2 3" xfId="3638" xr:uid="{00000000-0005-0000-0000-0000C9170000}"/>
    <cellStyle name="Normal 12 2 3 2 2 3 2" xfId="3639" xr:uid="{00000000-0005-0000-0000-0000CA170000}"/>
    <cellStyle name="Normal 12 2 3 2 2 3 2 2" xfId="9908" xr:uid="{00000000-0005-0000-0000-0000CB170000}"/>
    <cellStyle name="Normal 12 2 3 2 2 3 2 2 2" xfId="22255" xr:uid="{00000000-0005-0000-0000-0000CC170000}"/>
    <cellStyle name="Normal 12 2 3 2 2 3 2 3" xfId="16033" xr:uid="{00000000-0005-0000-0000-0000CD170000}"/>
    <cellStyle name="Normal 12 2 3 2 2 3 3" xfId="9907" xr:uid="{00000000-0005-0000-0000-0000CE170000}"/>
    <cellStyle name="Normal 12 2 3 2 2 3 3 2" xfId="22254" xr:uid="{00000000-0005-0000-0000-0000CF170000}"/>
    <cellStyle name="Normal 12 2 3 2 2 3 4" xfId="16032" xr:uid="{00000000-0005-0000-0000-0000D0170000}"/>
    <cellStyle name="Normal 12 2 3 2 2 4" xfId="3640" xr:uid="{00000000-0005-0000-0000-0000D1170000}"/>
    <cellStyle name="Normal 12 2 3 2 2 4 2" xfId="9909" xr:uid="{00000000-0005-0000-0000-0000D2170000}"/>
    <cellStyle name="Normal 12 2 3 2 2 4 2 2" xfId="22256" xr:uid="{00000000-0005-0000-0000-0000D3170000}"/>
    <cellStyle name="Normal 12 2 3 2 2 4 3" xfId="16034" xr:uid="{00000000-0005-0000-0000-0000D4170000}"/>
    <cellStyle name="Normal 12 2 3 2 2 5" xfId="9904" xr:uid="{00000000-0005-0000-0000-0000D5170000}"/>
    <cellStyle name="Normal 12 2 3 2 2 5 2" xfId="22251" xr:uid="{00000000-0005-0000-0000-0000D6170000}"/>
    <cellStyle name="Normal 12 2 3 2 2 6" xfId="16029" xr:uid="{00000000-0005-0000-0000-0000D7170000}"/>
    <cellStyle name="Normal 12 2 3 2 3" xfId="3641" xr:uid="{00000000-0005-0000-0000-0000D8170000}"/>
    <cellStyle name="Normal 12 2 3 2 3 2" xfId="3642" xr:uid="{00000000-0005-0000-0000-0000D9170000}"/>
    <cellStyle name="Normal 12 2 3 2 3 2 2" xfId="9911" xr:uid="{00000000-0005-0000-0000-0000DA170000}"/>
    <cellStyle name="Normal 12 2 3 2 3 2 2 2" xfId="22258" xr:uid="{00000000-0005-0000-0000-0000DB170000}"/>
    <cellStyle name="Normal 12 2 3 2 3 2 3" xfId="16036" xr:uid="{00000000-0005-0000-0000-0000DC170000}"/>
    <cellStyle name="Normal 12 2 3 2 3 3" xfId="9910" xr:uid="{00000000-0005-0000-0000-0000DD170000}"/>
    <cellStyle name="Normal 12 2 3 2 3 3 2" xfId="22257" xr:uid="{00000000-0005-0000-0000-0000DE170000}"/>
    <cellStyle name="Normal 12 2 3 2 3 4" xfId="16035" xr:uid="{00000000-0005-0000-0000-0000DF170000}"/>
    <cellStyle name="Normal 12 2 3 2 4" xfId="3643" xr:uid="{00000000-0005-0000-0000-0000E0170000}"/>
    <cellStyle name="Normal 12 2 3 2 4 2" xfId="3644" xr:uid="{00000000-0005-0000-0000-0000E1170000}"/>
    <cellStyle name="Normal 12 2 3 2 4 2 2" xfId="9913" xr:uid="{00000000-0005-0000-0000-0000E2170000}"/>
    <cellStyle name="Normal 12 2 3 2 4 2 2 2" xfId="22260" xr:uid="{00000000-0005-0000-0000-0000E3170000}"/>
    <cellStyle name="Normal 12 2 3 2 4 2 3" xfId="16038" xr:uid="{00000000-0005-0000-0000-0000E4170000}"/>
    <cellStyle name="Normal 12 2 3 2 4 3" xfId="9912" xr:uid="{00000000-0005-0000-0000-0000E5170000}"/>
    <cellStyle name="Normal 12 2 3 2 4 3 2" xfId="22259" xr:uid="{00000000-0005-0000-0000-0000E6170000}"/>
    <cellStyle name="Normal 12 2 3 2 4 4" xfId="16037" xr:uid="{00000000-0005-0000-0000-0000E7170000}"/>
    <cellStyle name="Normal 12 2 3 2 5" xfId="3645" xr:uid="{00000000-0005-0000-0000-0000E8170000}"/>
    <cellStyle name="Normal 12 2 3 2 5 2" xfId="9914" xr:uid="{00000000-0005-0000-0000-0000E9170000}"/>
    <cellStyle name="Normal 12 2 3 2 5 2 2" xfId="22261" xr:uid="{00000000-0005-0000-0000-0000EA170000}"/>
    <cellStyle name="Normal 12 2 3 2 5 3" xfId="16039" xr:uid="{00000000-0005-0000-0000-0000EB170000}"/>
    <cellStyle name="Normal 12 2 3 2 6" xfId="9903" xr:uid="{00000000-0005-0000-0000-0000EC170000}"/>
    <cellStyle name="Normal 12 2 3 2 6 2" xfId="22250" xr:uid="{00000000-0005-0000-0000-0000ED170000}"/>
    <cellStyle name="Normal 12 2 3 2 7" xfId="16028" xr:uid="{00000000-0005-0000-0000-0000EE170000}"/>
    <cellStyle name="Normal 12 2 3 3" xfId="3646" xr:uid="{00000000-0005-0000-0000-0000EF170000}"/>
    <cellStyle name="Normal 12 2 3 3 2" xfId="3647" xr:uid="{00000000-0005-0000-0000-0000F0170000}"/>
    <cellStyle name="Normal 12 2 3 3 2 2" xfId="3648" xr:uid="{00000000-0005-0000-0000-0000F1170000}"/>
    <cellStyle name="Normal 12 2 3 3 2 2 2" xfId="9917" xr:uid="{00000000-0005-0000-0000-0000F2170000}"/>
    <cellStyle name="Normal 12 2 3 3 2 2 2 2" xfId="22264" xr:uid="{00000000-0005-0000-0000-0000F3170000}"/>
    <cellStyle name="Normal 12 2 3 3 2 2 3" xfId="16042" xr:uid="{00000000-0005-0000-0000-0000F4170000}"/>
    <cellStyle name="Normal 12 2 3 3 2 3" xfId="9916" xr:uid="{00000000-0005-0000-0000-0000F5170000}"/>
    <cellStyle name="Normal 12 2 3 3 2 3 2" xfId="22263" xr:uid="{00000000-0005-0000-0000-0000F6170000}"/>
    <cellStyle name="Normal 12 2 3 3 2 4" xfId="16041" xr:uid="{00000000-0005-0000-0000-0000F7170000}"/>
    <cellStyle name="Normal 12 2 3 3 3" xfId="3649" xr:uid="{00000000-0005-0000-0000-0000F8170000}"/>
    <cellStyle name="Normal 12 2 3 3 3 2" xfId="3650" xr:uid="{00000000-0005-0000-0000-0000F9170000}"/>
    <cellStyle name="Normal 12 2 3 3 3 2 2" xfId="9919" xr:uid="{00000000-0005-0000-0000-0000FA170000}"/>
    <cellStyle name="Normal 12 2 3 3 3 2 2 2" xfId="22266" xr:uid="{00000000-0005-0000-0000-0000FB170000}"/>
    <cellStyle name="Normal 12 2 3 3 3 2 3" xfId="16044" xr:uid="{00000000-0005-0000-0000-0000FC170000}"/>
    <cellStyle name="Normal 12 2 3 3 3 3" xfId="9918" xr:uid="{00000000-0005-0000-0000-0000FD170000}"/>
    <cellStyle name="Normal 12 2 3 3 3 3 2" xfId="22265" xr:uid="{00000000-0005-0000-0000-0000FE170000}"/>
    <cellStyle name="Normal 12 2 3 3 3 4" xfId="16043" xr:uid="{00000000-0005-0000-0000-0000FF170000}"/>
    <cellStyle name="Normal 12 2 3 3 4" xfId="3651" xr:uid="{00000000-0005-0000-0000-000000180000}"/>
    <cellStyle name="Normal 12 2 3 3 4 2" xfId="9920" xr:uid="{00000000-0005-0000-0000-000001180000}"/>
    <cellStyle name="Normal 12 2 3 3 4 2 2" xfId="22267" xr:uid="{00000000-0005-0000-0000-000002180000}"/>
    <cellStyle name="Normal 12 2 3 3 4 3" xfId="16045" xr:uid="{00000000-0005-0000-0000-000003180000}"/>
    <cellStyle name="Normal 12 2 3 3 5" xfId="9915" xr:uid="{00000000-0005-0000-0000-000004180000}"/>
    <cellStyle name="Normal 12 2 3 3 5 2" xfId="22262" xr:uid="{00000000-0005-0000-0000-000005180000}"/>
    <cellStyle name="Normal 12 2 3 3 6" xfId="16040" xr:uid="{00000000-0005-0000-0000-000006180000}"/>
    <cellStyle name="Normal 12 2 3 4" xfId="3652" xr:uid="{00000000-0005-0000-0000-000007180000}"/>
    <cellStyle name="Normal 12 2 3 4 2" xfId="3653" xr:uid="{00000000-0005-0000-0000-000008180000}"/>
    <cellStyle name="Normal 12 2 3 4 2 2" xfId="9922" xr:uid="{00000000-0005-0000-0000-000009180000}"/>
    <cellStyle name="Normal 12 2 3 4 2 2 2" xfId="22269" xr:uid="{00000000-0005-0000-0000-00000A180000}"/>
    <cellStyle name="Normal 12 2 3 4 2 3" xfId="16047" xr:uid="{00000000-0005-0000-0000-00000B180000}"/>
    <cellStyle name="Normal 12 2 3 4 3" xfId="9921" xr:uid="{00000000-0005-0000-0000-00000C180000}"/>
    <cellStyle name="Normal 12 2 3 4 3 2" xfId="22268" xr:uid="{00000000-0005-0000-0000-00000D180000}"/>
    <cellStyle name="Normal 12 2 3 4 4" xfId="16046" xr:uid="{00000000-0005-0000-0000-00000E180000}"/>
    <cellStyle name="Normal 12 2 3 5" xfId="3654" xr:uid="{00000000-0005-0000-0000-00000F180000}"/>
    <cellStyle name="Normal 12 2 3 5 2" xfId="3655" xr:uid="{00000000-0005-0000-0000-000010180000}"/>
    <cellStyle name="Normal 12 2 3 5 2 2" xfId="9924" xr:uid="{00000000-0005-0000-0000-000011180000}"/>
    <cellStyle name="Normal 12 2 3 5 2 2 2" xfId="22271" xr:uid="{00000000-0005-0000-0000-000012180000}"/>
    <cellStyle name="Normal 12 2 3 5 2 3" xfId="16049" xr:uid="{00000000-0005-0000-0000-000013180000}"/>
    <cellStyle name="Normal 12 2 3 5 3" xfId="9923" xr:uid="{00000000-0005-0000-0000-000014180000}"/>
    <cellStyle name="Normal 12 2 3 5 3 2" xfId="22270" xr:uid="{00000000-0005-0000-0000-000015180000}"/>
    <cellStyle name="Normal 12 2 3 5 4" xfId="16048" xr:uid="{00000000-0005-0000-0000-000016180000}"/>
    <cellStyle name="Normal 12 2 3 6" xfId="3656" xr:uid="{00000000-0005-0000-0000-000017180000}"/>
    <cellStyle name="Normal 12 2 3 6 2" xfId="9925" xr:uid="{00000000-0005-0000-0000-000018180000}"/>
    <cellStyle name="Normal 12 2 3 6 2 2" xfId="22272" xr:uid="{00000000-0005-0000-0000-000019180000}"/>
    <cellStyle name="Normal 12 2 3 6 3" xfId="16050" xr:uid="{00000000-0005-0000-0000-00001A180000}"/>
    <cellStyle name="Normal 12 2 3 7" xfId="9902" xr:uid="{00000000-0005-0000-0000-00001B180000}"/>
    <cellStyle name="Normal 12 2 3 7 2" xfId="22249" xr:uid="{00000000-0005-0000-0000-00001C180000}"/>
    <cellStyle name="Normal 12 2 3 8" xfId="16027" xr:uid="{00000000-0005-0000-0000-00001D180000}"/>
    <cellStyle name="Normal 12 2 4" xfId="3657" xr:uid="{00000000-0005-0000-0000-00001E180000}"/>
    <cellStyle name="Normal 12 2 4 2" xfId="3658" xr:uid="{00000000-0005-0000-0000-00001F180000}"/>
    <cellStyle name="Normal 12 2 4 2 2" xfId="3659" xr:uid="{00000000-0005-0000-0000-000020180000}"/>
    <cellStyle name="Normal 12 2 4 2 2 2" xfId="3660" xr:uid="{00000000-0005-0000-0000-000021180000}"/>
    <cellStyle name="Normal 12 2 4 2 2 2 2" xfId="9929" xr:uid="{00000000-0005-0000-0000-000022180000}"/>
    <cellStyle name="Normal 12 2 4 2 2 2 2 2" xfId="22276" xr:uid="{00000000-0005-0000-0000-000023180000}"/>
    <cellStyle name="Normal 12 2 4 2 2 2 3" xfId="16054" xr:uid="{00000000-0005-0000-0000-000024180000}"/>
    <cellStyle name="Normal 12 2 4 2 2 3" xfId="9928" xr:uid="{00000000-0005-0000-0000-000025180000}"/>
    <cellStyle name="Normal 12 2 4 2 2 3 2" xfId="22275" xr:uid="{00000000-0005-0000-0000-000026180000}"/>
    <cellStyle name="Normal 12 2 4 2 2 4" xfId="16053" xr:uid="{00000000-0005-0000-0000-000027180000}"/>
    <cellStyle name="Normal 12 2 4 2 3" xfId="3661" xr:uid="{00000000-0005-0000-0000-000028180000}"/>
    <cellStyle name="Normal 12 2 4 2 3 2" xfId="3662" xr:uid="{00000000-0005-0000-0000-000029180000}"/>
    <cellStyle name="Normal 12 2 4 2 3 2 2" xfId="9931" xr:uid="{00000000-0005-0000-0000-00002A180000}"/>
    <cellStyle name="Normal 12 2 4 2 3 2 2 2" xfId="22278" xr:uid="{00000000-0005-0000-0000-00002B180000}"/>
    <cellStyle name="Normal 12 2 4 2 3 2 3" xfId="16056" xr:uid="{00000000-0005-0000-0000-00002C180000}"/>
    <cellStyle name="Normal 12 2 4 2 3 3" xfId="9930" xr:uid="{00000000-0005-0000-0000-00002D180000}"/>
    <cellStyle name="Normal 12 2 4 2 3 3 2" xfId="22277" xr:uid="{00000000-0005-0000-0000-00002E180000}"/>
    <cellStyle name="Normal 12 2 4 2 3 4" xfId="16055" xr:uid="{00000000-0005-0000-0000-00002F180000}"/>
    <cellStyle name="Normal 12 2 4 2 4" xfId="3663" xr:uid="{00000000-0005-0000-0000-000030180000}"/>
    <cellStyle name="Normal 12 2 4 2 4 2" xfId="9932" xr:uid="{00000000-0005-0000-0000-000031180000}"/>
    <cellStyle name="Normal 12 2 4 2 4 2 2" xfId="22279" xr:uid="{00000000-0005-0000-0000-000032180000}"/>
    <cellStyle name="Normal 12 2 4 2 4 3" xfId="16057" xr:uid="{00000000-0005-0000-0000-000033180000}"/>
    <cellStyle name="Normal 12 2 4 2 5" xfId="9927" xr:uid="{00000000-0005-0000-0000-000034180000}"/>
    <cellStyle name="Normal 12 2 4 2 5 2" xfId="22274" xr:uid="{00000000-0005-0000-0000-000035180000}"/>
    <cellStyle name="Normal 12 2 4 2 6" xfId="16052" xr:uid="{00000000-0005-0000-0000-000036180000}"/>
    <cellStyle name="Normal 12 2 4 3" xfId="3664" xr:uid="{00000000-0005-0000-0000-000037180000}"/>
    <cellStyle name="Normal 12 2 4 3 2" xfId="3665" xr:uid="{00000000-0005-0000-0000-000038180000}"/>
    <cellStyle name="Normal 12 2 4 3 2 2" xfId="9934" xr:uid="{00000000-0005-0000-0000-000039180000}"/>
    <cellStyle name="Normal 12 2 4 3 2 2 2" xfId="22281" xr:uid="{00000000-0005-0000-0000-00003A180000}"/>
    <cellStyle name="Normal 12 2 4 3 2 3" xfId="16059" xr:uid="{00000000-0005-0000-0000-00003B180000}"/>
    <cellStyle name="Normal 12 2 4 3 3" xfId="9933" xr:uid="{00000000-0005-0000-0000-00003C180000}"/>
    <cellStyle name="Normal 12 2 4 3 3 2" xfId="22280" xr:uid="{00000000-0005-0000-0000-00003D180000}"/>
    <cellStyle name="Normal 12 2 4 3 4" xfId="16058" xr:uid="{00000000-0005-0000-0000-00003E180000}"/>
    <cellStyle name="Normal 12 2 4 4" xfId="3666" xr:uid="{00000000-0005-0000-0000-00003F180000}"/>
    <cellStyle name="Normal 12 2 4 4 2" xfId="3667" xr:uid="{00000000-0005-0000-0000-000040180000}"/>
    <cellStyle name="Normal 12 2 4 4 2 2" xfId="9936" xr:uid="{00000000-0005-0000-0000-000041180000}"/>
    <cellStyle name="Normal 12 2 4 4 2 2 2" xfId="22283" xr:uid="{00000000-0005-0000-0000-000042180000}"/>
    <cellStyle name="Normal 12 2 4 4 2 3" xfId="16061" xr:uid="{00000000-0005-0000-0000-000043180000}"/>
    <cellStyle name="Normal 12 2 4 4 3" xfId="9935" xr:uid="{00000000-0005-0000-0000-000044180000}"/>
    <cellStyle name="Normal 12 2 4 4 3 2" xfId="22282" xr:uid="{00000000-0005-0000-0000-000045180000}"/>
    <cellStyle name="Normal 12 2 4 4 4" xfId="16060" xr:uid="{00000000-0005-0000-0000-000046180000}"/>
    <cellStyle name="Normal 12 2 4 5" xfId="3668" xr:uid="{00000000-0005-0000-0000-000047180000}"/>
    <cellStyle name="Normal 12 2 4 5 2" xfId="9937" xr:uid="{00000000-0005-0000-0000-000048180000}"/>
    <cellStyle name="Normal 12 2 4 5 2 2" xfId="22284" xr:uid="{00000000-0005-0000-0000-000049180000}"/>
    <cellStyle name="Normal 12 2 4 5 3" xfId="16062" xr:uid="{00000000-0005-0000-0000-00004A180000}"/>
    <cellStyle name="Normal 12 2 4 6" xfId="9926" xr:uid="{00000000-0005-0000-0000-00004B180000}"/>
    <cellStyle name="Normal 12 2 4 6 2" xfId="22273" xr:uid="{00000000-0005-0000-0000-00004C180000}"/>
    <cellStyle name="Normal 12 2 4 7" xfId="16051" xr:uid="{00000000-0005-0000-0000-00004D180000}"/>
    <cellStyle name="Normal 12 2 5" xfId="3669" xr:uid="{00000000-0005-0000-0000-00004E180000}"/>
    <cellStyle name="Normal 12 2 5 2" xfId="3670" xr:uid="{00000000-0005-0000-0000-00004F180000}"/>
    <cellStyle name="Normal 12 2 5 2 2" xfId="3671" xr:uid="{00000000-0005-0000-0000-000050180000}"/>
    <cellStyle name="Normal 12 2 5 2 2 2" xfId="9940" xr:uid="{00000000-0005-0000-0000-000051180000}"/>
    <cellStyle name="Normal 12 2 5 2 2 2 2" xfId="22287" xr:uid="{00000000-0005-0000-0000-000052180000}"/>
    <cellStyle name="Normal 12 2 5 2 2 3" xfId="16065" xr:uid="{00000000-0005-0000-0000-000053180000}"/>
    <cellStyle name="Normal 12 2 5 2 3" xfId="9939" xr:uid="{00000000-0005-0000-0000-000054180000}"/>
    <cellStyle name="Normal 12 2 5 2 3 2" xfId="22286" xr:uid="{00000000-0005-0000-0000-000055180000}"/>
    <cellStyle name="Normal 12 2 5 2 4" xfId="16064" xr:uid="{00000000-0005-0000-0000-000056180000}"/>
    <cellStyle name="Normal 12 2 5 3" xfId="3672" xr:uid="{00000000-0005-0000-0000-000057180000}"/>
    <cellStyle name="Normal 12 2 5 3 2" xfId="3673" xr:uid="{00000000-0005-0000-0000-000058180000}"/>
    <cellStyle name="Normal 12 2 5 3 2 2" xfId="9942" xr:uid="{00000000-0005-0000-0000-000059180000}"/>
    <cellStyle name="Normal 12 2 5 3 2 2 2" xfId="22289" xr:uid="{00000000-0005-0000-0000-00005A180000}"/>
    <cellStyle name="Normal 12 2 5 3 2 3" xfId="16067" xr:uid="{00000000-0005-0000-0000-00005B180000}"/>
    <cellStyle name="Normal 12 2 5 3 3" xfId="9941" xr:uid="{00000000-0005-0000-0000-00005C180000}"/>
    <cellStyle name="Normal 12 2 5 3 3 2" xfId="22288" xr:uid="{00000000-0005-0000-0000-00005D180000}"/>
    <cellStyle name="Normal 12 2 5 3 4" xfId="16066" xr:uid="{00000000-0005-0000-0000-00005E180000}"/>
    <cellStyle name="Normal 12 2 5 4" xfId="3674" xr:uid="{00000000-0005-0000-0000-00005F180000}"/>
    <cellStyle name="Normal 12 2 5 4 2" xfId="9943" xr:uid="{00000000-0005-0000-0000-000060180000}"/>
    <cellStyle name="Normal 12 2 5 4 2 2" xfId="22290" xr:uid="{00000000-0005-0000-0000-000061180000}"/>
    <cellStyle name="Normal 12 2 5 4 3" xfId="16068" xr:uid="{00000000-0005-0000-0000-000062180000}"/>
    <cellStyle name="Normal 12 2 5 5" xfId="9938" xr:uid="{00000000-0005-0000-0000-000063180000}"/>
    <cellStyle name="Normal 12 2 5 5 2" xfId="22285" xr:uid="{00000000-0005-0000-0000-000064180000}"/>
    <cellStyle name="Normal 12 2 5 6" xfId="16063" xr:uid="{00000000-0005-0000-0000-000065180000}"/>
    <cellStyle name="Normal 12 2 6" xfId="3675" xr:uid="{00000000-0005-0000-0000-000066180000}"/>
    <cellStyle name="Normal 12 2 6 2" xfId="3676" xr:uid="{00000000-0005-0000-0000-000067180000}"/>
    <cellStyle name="Normal 12 2 6 2 2" xfId="9945" xr:uid="{00000000-0005-0000-0000-000068180000}"/>
    <cellStyle name="Normal 12 2 6 2 2 2" xfId="22292" xr:uid="{00000000-0005-0000-0000-000069180000}"/>
    <cellStyle name="Normal 12 2 6 2 3" xfId="16070" xr:uid="{00000000-0005-0000-0000-00006A180000}"/>
    <cellStyle name="Normal 12 2 6 3" xfId="9944" xr:uid="{00000000-0005-0000-0000-00006B180000}"/>
    <cellStyle name="Normal 12 2 6 3 2" xfId="22291" xr:uid="{00000000-0005-0000-0000-00006C180000}"/>
    <cellStyle name="Normal 12 2 6 4" xfId="16069" xr:uid="{00000000-0005-0000-0000-00006D180000}"/>
    <cellStyle name="Normal 12 2 7" xfId="3677" xr:uid="{00000000-0005-0000-0000-00006E180000}"/>
    <cellStyle name="Normal 12 2 7 2" xfId="3678" xr:uid="{00000000-0005-0000-0000-00006F180000}"/>
    <cellStyle name="Normal 12 2 7 2 2" xfId="9947" xr:uid="{00000000-0005-0000-0000-000070180000}"/>
    <cellStyle name="Normal 12 2 7 2 2 2" xfId="22294" xr:uid="{00000000-0005-0000-0000-000071180000}"/>
    <cellStyle name="Normal 12 2 7 2 3" xfId="16072" xr:uid="{00000000-0005-0000-0000-000072180000}"/>
    <cellStyle name="Normal 12 2 7 3" xfId="9946" xr:uid="{00000000-0005-0000-0000-000073180000}"/>
    <cellStyle name="Normal 12 2 7 3 2" xfId="22293" xr:uid="{00000000-0005-0000-0000-000074180000}"/>
    <cellStyle name="Normal 12 2 7 4" xfId="16071" xr:uid="{00000000-0005-0000-0000-000075180000}"/>
    <cellStyle name="Normal 12 2 8" xfId="3679" xr:uid="{00000000-0005-0000-0000-000076180000}"/>
    <cellStyle name="Normal 12 2 8 2" xfId="9948" xr:uid="{00000000-0005-0000-0000-000077180000}"/>
    <cellStyle name="Normal 12 2 8 2 2" xfId="22295" xr:uid="{00000000-0005-0000-0000-000078180000}"/>
    <cellStyle name="Normal 12 2 8 3" xfId="16073" xr:uid="{00000000-0005-0000-0000-000079180000}"/>
    <cellStyle name="Normal 12 3" xfId="3680" xr:uid="{00000000-0005-0000-0000-00007A180000}"/>
    <cellStyle name="Normal 12 3 2" xfId="3681" xr:uid="{00000000-0005-0000-0000-00007B180000}"/>
    <cellStyle name="Normal 12 3 2 2" xfId="3682" xr:uid="{00000000-0005-0000-0000-00007C180000}"/>
    <cellStyle name="Normal 12 3 2 2 2" xfId="3683" xr:uid="{00000000-0005-0000-0000-00007D180000}"/>
    <cellStyle name="Normal 12 3 2 2 2 2" xfId="3684" xr:uid="{00000000-0005-0000-0000-00007E180000}"/>
    <cellStyle name="Normal 12 3 2 2 2 2 2" xfId="3685" xr:uid="{00000000-0005-0000-0000-00007F180000}"/>
    <cellStyle name="Normal 12 3 2 2 2 2 2 2" xfId="9952" xr:uid="{00000000-0005-0000-0000-000080180000}"/>
    <cellStyle name="Normal 12 3 2 2 2 2 2 2 2" xfId="22299" xr:uid="{00000000-0005-0000-0000-000081180000}"/>
    <cellStyle name="Normal 12 3 2 2 2 2 2 3" xfId="16077" xr:uid="{00000000-0005-0000-0000-000082180000}"/>
    <cellStyle name="Normal 12 3 2 2 2 2 3" xfId="9951" xr:uid="{00000000-0005-0000-0000-000083180000}"/>
    <cellStyle name="Normal 12 3 2 2 2 2 3 2" xfId="22298" xr:uid="{00000000-0005-0000-0000-000084180000}"/>
    <cellStyle name="Normal 12 3 2 2 2 2 4" xfId="16076" xr:uid="{00000000-0005-0000-0000-000085180000}"/>
    <cellStyle name="Normal 12 3 2 2 2 3" xfId="3686" xr:uid="{00000000-0005-0000-0000-000086180000}"/>
    <cellStyle name="Normal 12 3 2 2 2 3 2" xfId="3687" xr:uid="{00000000-0005-0000-0000-000087180000}"/>
    <cellStyle name="Normal 12 3 2 2 2 3 2 2" xfId="9954" xr:uid="{00000000-0005-0000-0000-000088180000}"/>
    <cellStyle name="Normal 12 3 2 2 2 3 2 2 2" xfId="22301" xr:uid="{00000000-0005-0000-0000-000089180000}"/>
    <cellStyle name="Normal 12 3 2 2 2 3 2 3" xfId="16079" xr:uid="{00000000-0005-0000-0000-00008A180000}"/>
    <cellStyle name="Normal 12 3 2 2 2 3 3" xfId="9953" xr:uid="{00000000-0005-0000-0000-00008B180000}"/>
    <cellStyle name="Normal 12 3 2 2 2 3 3 2" xfId="22300" xr:uid="{00000000-0005-0000-0000-00008C180000}"/>
    <cellStyle name="Normal 12 3 2 2 2 3 4" xfId="16078" xr:uid="{00000000-0005-0000-0000-00008D180000}"/>
    <cellStyle name="Normal 12 3 2 2 2 4" xfId="3688" xr:uid="{00000000-0005-0000-0000-00008E180000}"/>
    <cellStyle name="Normal 12 3 2 2 2 4 2" xfId="9955" xr:uid="{00000000-0005-0000-0000-00008F180000}"/>
    <cellStyle name="Normal 12 3 2 2 2 4 2 2" xfId="22302" xr:uid="{00000000-0005-0000-0000-000090180000}"/>
    <cellStyle name="Normal 12 3 2 2 2 4 3" xfId="16080" xr:uid="{00000000-0005-0000-0000-000091180000}"/>
    <cellStyle name="Normal 12 3 2 2 2 5" xfId="9950" xr:uid="{00000000-0005-0000-0000-000092180000}"/>
    <cellStyle name="Normal 12 3 2 2 2 5 2" xfId="22297" xr:uid="{00000000-0005-0000-0000-000093180000}"/>
    <cellStyle name="Normal 12 3 2 2 2 6" xfId="16075" xr:uid="{00000000-0005-0000-0000-000094180000}"/>
    <cellStyle name="Normal 12 3 2 2 3" xfId="3689" xr:uid="{00000000-0005-0000-0000-000095180000}"/>
    <cellStyle name="Normal 12 3 2 2 3 2" xfId="3690" xr:uid="{00000000-0005-0000-0000-000096180000}"/>
    <cellStyle name="Normal 12 3 2 2 3 2 2" xfId="9957" xr:uid="{00000000-0005-0000-0000-000097180000}"/>
    <cellStyle name="Normal 12 3 2 2 3 2 2 2" xfId="22304" xr:uid="{00000000-0005-0000-0000-000098180000}"/>
    <cellStyle name="Normal 12 3 2 2 3 2 3" xfId="16082" xr:uid="{00000000-0005-0000-0000-000099180000}"/>
    <cellStyle name="Normal 12 3 2 2 3 3" xfId="9956" xr:uid="{00000000-0005-0000-0000-00009A180000}"/>
    <cellStyle name="Normal 12 3 2 2 3 3 2" xfId="22303" xr:uid="{00000000-0005-0000-0000-00009B180000}"/>
    <cellStyle name="Normal 12 3 2 2 3 4" xfId="16081" xr:uid="{00000000-0005-0000-0000-00009C180000}"/>
    <cellStyle name="Normal 12 3 2 2 4" xfId="3691" xr:uid="{00000000-0005-0000-0000-00009D180000}"/>
    <cellStyle name="Normal 12 3 2 2 4 2" xfId="3692" xr:uid="{00000000-0005-0000-0000-00009E180000}"/>
    <cellStyle name="Normal 12 3 2 2 4 2 2" xfId="9959" xr:uid="{00000000-0005-0000-0000-00009F180000}"/>
    <cellStyle name="Normal 12 3 2 2 4 2 2 2" xfId="22306" xr:uid="{00000000-0005-0000-0000-0000A0180000}"/>
    <cellStyle name="Normal 12 3 2 2 4 2 3" xfId="16084" xr:uid="{00000000-0005-0000-0000-0000A1180000}"/>
    <cellStyle name="Normal 12 3 2 2 4 3" xfId="9958" xr:uid="{00000000-0005-0000-0000-0000A2180000}"/>
    <cellStyle name="Normal 12 3 2 2 4 3 2" xfId="22305" xr:uid="{00000000-0005-0000-0000-0000A3180000}"/>
    <cellStyle name="Normal 12 3 2 2 4 4" xfId="16083" xr:uid="{00000000-0005-0000-0000-0000A4180000}"/>
    <cellStyle name="Normal 12 3 2 2 5" xfId="3693" xr:uid="{00000000-0005-0000-0000-0000A5180000}"/>
    <cellStyle name="Normal 12 3 2 2 5 2" xfId="9960" xr:uid="{00000000-0005-0000-0000-0000A6180000}"/>
    <cellStyle name="Normal 12 3 2 2 5 2 2" xfId="22307" xr:uid="{00000000-0005-0000-0000-0000A7180000}"/>
    <cellStyle name="Normal 12 3 2 2 5 3" xfId="16085" xr:uid="{00000000-0005-0000-0000-0000A8180000}"/>
    <cellStyle name="Normal 12 3 2 3" xfId="3694" xr:uid="{00000000-0005-0000-0000-0000A9180000}"/>
    <cellStyle name="Normal 12 3 2 3 2" xfId="3695" xr:uid="{00000000-0005-0000-0000-0000AA180000}"/>
    <cellStyle name="Normal 12 3 2 3 2 2" xfId="3696" xr:uid="{00000000-0005-0000-0000-0000AB180000}"/>
    <cellStyle name="Normal 12 3 2 3 2 2 2" xfId="9963" xr:uid="{00000000-0005-0000-0000-0000AC180000}"/>
    <cellStyle name="Normal 12 3 2 3 2 2 2 2" xfId="22310" xr:uid="{00000000-0005-0000-0000-0000AD180000}"/>
    <cellStyle name="Normal 12 3 2 3 2 2 3" xfId="16088" xr:uid="{00000000-0005-0000-0000-0000AE180000}"/>
    <cellStyle name="Normal 12 3 2 3 2 3" xfId="9962" xr:uid="{00000000-0005-0000-0000-0000AF180000}"/>
    <cellStyle name="Normal 12 3 2 3 2 3 2" xfId="22309" xr:uid="{00000000-0005-0000-0000-0000B0180000}"/>
    <cellStyle name="Normal 12 3 2 3 2 4" xfId="16087" xr:uid="{00000000-0005-0000-0000-0000B1180000}"/>
    <cellStyle name="Normal 12 3 2 3 3" xfId="3697" xr:uid="{00000000-0005-0000-0000-0000B2180000}"/>
    <cellStyle name="Normal 12 3 2 3 3 2" xfId="3698" xr:uid="{00000000-0005-0000-0000-0000B3180000}"/>
    <cellStyle name="Normal 12 3 2 3 3 2 2" xfId="9965" xr:uid="{00000000-0005-0000-0000-0000B4180000}"/>
    <cellStyle name="Normal 12 3 2 3 3 2 2 2" xfId="22312" xr:uid="{00000000-0005-0000-0000-0000B5180000}"/>
    <cellStyle name="Normal 12 3 2 3 3 2 3" xfId="16090" xr:uid="{00000000-0005-0000-0000-0000B6180000}"/>
    <cellStyle name="Normal 12 3 2 3 3 3" xfId="9964" xr:uid="{00000000-0005-0000-0000-0000B7180000}"/>
    <cellStyle name="Normal 12 3 2 3 3 3 2" xfId="22311" xr:uid="{00000000-0005-0000-0000-0000B8180000}"/>
    <cellStyle name="Normal 12 3 2 3 3 4" xfId="16089" xr:uid="{00000000-0005-0000-0000-0000B9180000}"/>
    <cellStyle name="Normal 12 3 2 3 4" xfId="3699" xr:uid="{00000000-0005-0000-0000-0000BA180000}"/>
    <cellStyle name="Normal 12 3 2 3 4 2" xfId="9966" xr:uid="{00000000-0005-0000-0000-0000BB180000}"/>
    <cellStyle name="Normal 12 3 2 3 4 2 2" xfId="22313" xr:uid="{00000000-0005-0000-0000-0000BC180000}"/>
    <cellStyle name="Normal 12 3 2 3 4 3" xfId="16091" xr:uid="{00000000-0005-0000-0000-0000BD180000}"/>
    <cellStyle name="Normal 12 3 2 3 5" xfId="9961" xr:uid="{00000000-0005-0000-0000-0000BE180000}"/>
    <cellStyle name="Normal 12 3 2 3 5 2" xfId="22308" xr:uid="{00000000-0005-0000-0000-0000BF180000}"/>
    <cellStyle name="Normal 12 3 2 3 6" xfId="16086" xr:uid="{00000000-0005-0000-0000-0000C0180000}"/>
    <cellStyle name="Normal 12 3 2 4" xfId="3700" xr:uid="{00000000-0005-0000-0000-0000C1180000}"/>
    <cellStyle name="Normal 12 3 2 4 2" xfId="3701" xr:uid="{00000000-0005-0000-0000-0000C2180000}"/>
    <cellStyle name="Normal 12 3 2 4 2 2" xfId="9968" xr:uid="{00000000-0005-0000-0000-0000C3180000}"/>
    <cellStyle name="Normal 12 3 2 4 2 2 2" xfId="22315" xr:uid="{00000000-0005-0000-0000-0000C4180000}"/>
    <cellStyle name="Normal 12 3 2 4 2 3" xfId="16093" xr:uid="{00000000-0005-0000-0000-0000C5180000}"/>
    <cellStyle name="Normal 12 3 2 4 3" xfId="9967" xr:uid="{00000000-0005-0000-0000-0000C6180000}"/>
    <cellStyle name="Normal 12 3 2 4 3 2" xfId="22314" xr:uid="{00000000-0005-0000-0000-0000C7180000}"/>
    <cellStyle name="Normal 12 3 2 4 4" xfId="16092" xr:uid="{00000000-0005-0000-0000-0000C8180000}"/>
    <cellStyle name="Normal 12 3 2 5" xfId="3702" xr:uid="{00000000-0005-0000-0000-0000C9180000}"/>
    <cellStyle name="Normal 12 3 2 5 2" xfId="3703" xr:uid="{00000000-0005-0000-0000-0000CA180000}"/>
    <cellStyle name="Normal 12 3 2 5 2 2" xfId="9970" xr:uid="{00000000-0005-0000-0000-0000CB180000}"/>
    <cellStyle name="Normal 12 3 2 5 2 2 2" xfId="22317" xr:uid="{00000000-0005-0000-0000-0000CC180000}"/>
    <cellStyle name="Normal 12 3 2 5 2 3" xfId="16095" xr:uid="{00000000-0005-0000-0000-0000CD180000}"/>
    <cellStyle name="Normal 12 3 2 5 3" xfId="9969" xr:uid="{00000000-0005-0000-0000-0000CE180000}"/>
    <cellStyle name="Normal 12 3 2 5 3 2" xfId="22316" xr:uid="{00000000-0005-0000-0000-0000CF180000}"/>
    <cellStyle name="Normal 12 3 2 5 4" xfId="16094" xr:uid="{00000000-0005-0000-0000-0000D0180000}"/>
    <cellStyle name="Normal 12 3 2 6" xfId="3704" xr:uid="{00000000-0005-0000-0000-0000D1180000}"/>
    <cellStyle name="Normal 12 3 2 6 2" xfId="9971" xr:uid="{00000000-0005-0000-0000-0000D2180000}"/>
    <cellStyle name="Normal 12 3 2 6 2 2" xfId="22318" xr:uid="{00000000-0005-0000-0000-0000D3180000}"/>
    <cellStyle name="Normal 12 3 2 6 3" xfId="16096" xr:uid="{00000000-0005-0000-0000-0000D4180000}"/>
    <cellStyle name="Normal 12 3 2 7" xfId="9949" xr:uid="{00000000-0005-0000-0000-0000D5180000}"/>
    <cellStyle name="Normal 12 3 2 7 2" xfId="22296" xr:uid="{00000000-0005-0000-0000-0000D6180000}"/>
    <cellStyle name="Normal 12 3 2 8" xfId="16074" xr:uid="{00000000-0005-0000-0000-0000D7180000}"/>
    <cellStyle name="Normal 12 3 3" xfId="3705" xr:uid="{00000000-0005-0000-0000-0000D8180000}"/>
    <cellStyle name="Normal 12 3 3 2" xfId="3706" xr:uid="{00000000-0005-0000-0000-0000D9180000}"/>
    <cellStyle name="Normal 12 3 3 2 2" xfId="3707" xr:uid="{00000000-0005-0000-0000-0000DA180000}"/>
    <cellStyle name="Normal 12 3 3 2 2 2" xfId="3708" xr:uid="{00000000-0005-0000-0000-0000DB180000}"/>
    <cellStyle name="Normal 12 3 3 2 2 2 2" xfId="9975" xr:uid="{00000000-0005-0000-0000-0000DC180000}"/>
    <cellStyle name="Normal 12 3 3 2 2 2 2 2" xfId="22322" xr:uid="{00000000-0005-0000-0000-0000DD180000}"/>
    <cellStyle name="Normal 12 3 3 2 2 2 3" xfId="16100" xr:uid="{00000000-0005-0000-0000-0000DE180000}"/>
    <cellStyle name="Normal 12 3 3 2 2 3" xfId="9974" xr:uid="{00000000-0005-0000-0000-0000DF180000}"/>
    <cellStyle name="Normal 12 3 3 2 2 3 2" xfId="22321" xr:uid="{00000000-0005-0000-0000-0000E0180000}"/>
    <cellStyle name="Normal 12 3 3 2 2 4" xfId="16099" xr:uid="{00000000-0005-0000-0000-0000E1180000}"/>
    <cellStyle name="Normal 12 3 3 2 3" xfId="3709" xr:uid="{00000000-0005-0000-0000-0000E2180000}"/>
    <cellStyle name="Normal 12 3 3 2 3 2" xfId="3710" xr:uid="{00000000-0005-0000-0000-0000E3180000}"/>
    <cellStyle name="Normal 12 3 3 2 3 2 2" xfId="9977" xr:uid="{00000000-0005-0000-0000-0000E4180000}"/>
    <cellStyle name="Normal 12 3 3 2 3 2 2 2" xfId="22324" xr:uid="{00000000-0005-0000-0000-0000E5180000}"/>
    <cellStyle name="Normal 12 3 3 2 3 2 3" xfId="16102" xr:uid="{00000000-0005-0000-0000-0000E6180000}"/>
    <cellStyle name="Normal 12 3 3 2 3 3" xfId="9976" xr:uid="{00000000-0005-0000-0000-0000E7180000}"/>
    <cellStyle name="Normal 12 3 3 2 3 3 2" xfId="22323" xr:uid="{00000000-0005-0000-0000-0000E8180000}"/>
    <cellStyle name="Normal 12 3 3 2 3 4" xfId="16101" xr:uid="{00000000-0005-0000-0000-0000E9180000}"/>
    <cellStyle name="Normal 12 3 3 2 4" xfId="3711" xr:uid="{00000000-0005-0000-0000-0000EA180000}"/>
    <cellStyle name="Normal 12 3 3 2 4 2" xfId="9978" xr:uid="{00000000-0005-0000-0000-0000EB180000}"/>
    <cellStyle name="Normal 12 3 3 2 4 2 2" xfId="22325" xr:uid="{00000000-0005-0000-0000-0000EC180000}"/>
    <cellStyle name="Normal 12 3 3 2 4 3" xfId="16103" xr:uid="{00000000-0005-0000-0000-0000ED180000}"/>
    <cellStyle name="Normal 12 3 3 2 5" xfId="9973" xr:uid="{00000000-0005-0000-0000-0000EE180000}"/>
    <cellStyle name="Normal 12 3 3 2 5 2" xfId="22320" xr:uid="{00000000-0005-0000-0000-0000EF180000}"/>
    <cellStyle name="Normal 12 3 3 2 6" xfId="16098" xr:uid="{00000000-0005-0000-0000-0000F0180000}"/>
    <cellStyle name="Normal 12 3 3 3" xfId="3712" xr:uid="{00000000-0005-0000-0000-0000F1180000}"/>
    <cellStyle name="Normal 12 3 3 3 2" xfId="3713" xr:uid="{00000000-0005-0000-0000-0000F2180000}"/>
    <cellStyle name="Normal 12 3 3 3 2 2" xfId="9980" xr:uid="{00000000-0005-0000-0000-0000F3180000}"/>
    <cellStyle name="Normal 12 3 3 3 2 2 2" xfId="22327" xr:uid="{00000000-0005-0000-0000-0000F4180000}"/>
    <cellStyle name="Normal 12 3 3 3 2 3" xfId="16105" xr:uid="{00000000-0005-0000-0000-0000F5180000}"/>
    <cellStyle name="Normal 12 3 3 3 3" xfId="9979" xr:uid="{00000000-0005-0000-0000-0000F6180000}"/>
    <cellStyle name="Normal 12 3 3 3 3 2" xfId="22326" xr:uid="{00000000-0005-0000-0000-0000F7180000}"/>
    <cellStyle name="Normal 12 3 3 3 4" xfId="16104" xr:uid="{00000000-0005-0000-0000-0000F8180000}"/>
    <cellStyle name="Normal 12 3 3 4" xfId="3714" xr:uid="{00000000-0005-0000-0000-0000F9180000}"/>
    <cellStyle name="Normal 12 3 3 4 2" xfId="3715" xr:uid="{00000000-0005-0000-0000-0000FA180000}"/>
    <cellStyle name="Normal 12 3 3 4 2 2" xfId="9982" xr:uid="{00000000-0005-0000-0000-0000FB180000}"/>
    <cellStyle name="Normal 12 3 3 4 2 2 2" xfId="22329" xr:uid="{00000000-0005-0000-0000-0000FC180000}"/>
    <cellStyle name="Normal 12 3 3 4 2 3" xfId="16107" xr:uid="{00000000-0005-0000-0000-0000FD180000}"/>
    <cellStyle name="Normal 12 3 3 4 3" xfId="9981" xr:uid="{00000000-0005-0000-0000-0000FE180000}"/>
    <cellStyle name="Normal 12 3 3 4 3 2" xfId="22328" xr:uid="{00000000-0005-0000-0000-0000FF180000}"/>
    <cellStyle name="Normal 12 3 3 4 4" xfId="16106" xr:uid="{00000000-0005-0000-0000-000000190000}"/>
    <cellStyle name="Normal 12 3 3 5" xfId="3716" xr:uid="{00000000-0005-0000-0000-000001190000}"/>
    <cellStyle name="Normal 12 3 3 5 2" xfId="9983" xr:uid="{00000000-0005-0000-0000-000002190000}"/>
    <cellStyle name="Normal 12 3 3 5 2 2" xfId="22330" xr:uid="{00000000-0005-0000-0000-000003190000}"/>
    <cellStyle name="Normal 12 3 3 5 3" xfId="16108" xr:uid="{00000000-0005-0000-0000-000004190000}"/>
    <cellStyle name="Normal 12 3 3 6" xfId="9972" xr:uid="{00000000-0005-0000-0000-000005190000}"/>
    <cellStyle name="Normal 12 3 3 6 2" xfId="22319" xr:uid="{00000000-0005-0000-0000-000006190000}"/>
    <cellStyle name="Normal 12 3 3 7" xfId="16097" xr:uid="{00000000-0005-0000-0000-000007190000}"/>
    <cellStyle name="Normal 12 3 4" xfId="3717" xr:uid="{00000000-0005-0000-0000-000008190000}"/>
    <cellStyle name="Normal 12 3 4 2" xfId="3718" xr:uid="{00000000-0005-0000-0000-000009190000}"/>
    <cellStyle name="Normal 12 3 4 2 2" xfId="3719" xr:uid="{00000000-0005-0000-0000-00000A190000}"/>
    <cellStyle name="Normal 12 3 4 2 2 2" xfId="9986" xr:uid="{00000000-0005-0000-0000-00000B190000}"/>
    <cellStyle name="Normal 12 3 4 2 2 2 2" xfId="22333" xr:uid="{00000000-0005-0000-0000-00000C190000}"/>
    <cellStyle name="Normal 12 3 4 2 2 3" xfId="16111" xr:uid="{00000000-0005-0000-0000-00000D190000}"/>
    <cellStyle name="Normal 12 3 4 2 3" xfId="9985" xr:uid="{00000000-0005-0000-0000-00000E190000}"/>
    <cellStyle name="Normal 12 3 4 2 3 2" xfId="22332" xr:uid="{00000000-0005-0000-0000-00000F190000}"/>
    <cellStyle name="Normal 12 3 4 2 4" xfId="16110" xr:uid="{00000000-0005-0000-0000-000010190000}"/>
    <cellStyle name="Normal 12 3 4 3" xfId="3720" xr:uid="{00000000-0005-0000-0000-000011190000}"/>
    <cellStyle name="Normal 12 3 4 3 2" xfId="3721" xr:uid="{00000000-0005-0000-0000-000012190000}"/>
    <cellStyle name="Normal 12 3 4 3 2 2" xfId="9988" xr:uid="{00000000-0005-0000-0000-000013190000}"/>
    <cellStyle name="Normal 12 3 4 3 2 2 2" xfId="22335" xr:uid="{00000000-0005-0000-0000-000014190000}"/>
    <cellStyle name="Normal 12 3 4 3 2 3" xfId="16113" xr:uid="{00000000-0005-0000-0000-000015190000}"/>
    <cellStyle name="Normal 12 3 4 3 3" xfId="9987" xr:uid="{00000000-0005-0000-0000-000016190000}"/>
    <cellStyle name="Normal 12 3 4 3 3 2" xfId="22334" xr:uid="{00000000-0005-0000-0000-000017190000}"/>
    <cellStyle name="Normal 12 3 4 3 4" xfId="16112" xr:uid="{00000000-0005-0000-0000-000018190000}"/>
    <cellStyle name="Normal 12 3 4 4" xfId="3722" xr:uid="{00000000-0005-0000-0000-000019190000}"/>
    <cellStyle name="Normal 12 3 4 4 2" xfId="9989" xr:uid="{00000000-0005-0000-0000-00001A190000}"/>
    <cellStyle name="Normal 12 3 4 4 2 2" xfId="22336" xr:uid="{00000000-0005-0000-0000-00001B190000}"/>
    <cellStyle name="Normal 12 3 4 4 3" xfId="16114" xr:uid="{00000000-0005-0000-0000-00001C190000}"/>
    <cellStyle name="Normal 12 3 4 5" xfId="9984" xr:uid="{00000000-0005-0000-0000-00001D190000}"/>
    <cellStyle name="Normal 12 3 4 5 2" xfId="22331" xr:uid="{00000000-0005-0000-0000-00001E190000}"/>
    <cellStyle name="Normal 12 3 4 6" xfId="16109" xr:uid="{00000000-0005-0000-0000-00001F190000}"/>
    <cellStyle name="Normal 12 3 5" xfId="3723" xr:uid="{00000000-0005-0000-0000-000020190000}"/>
    <cellStyle name="Normal 12 3 5 2" xfId="3724" xr:uid="{00000000-0005-0000-0000-000021190000}"/>
    <cellStyle name="Normal 12 3 5 2 2" xfId="9991" xr:uid="{00000000-0005-0000-0000-000022190000}"/>
    <cellStyle name="Normal 12 3 5 2 2 2" xfId="22338" xr:uid="{00000000-0005-0000-0000-000023190000}"/>
    <cellStyle name="Normal 12 3 5 2 3" xfId="16116" xr:uid="{00000000-0005-0000-0000-000024190000}"/>
    <cellStyle name="Normal 12 3 5 3" xfId="9990" xr:uid="{00000000-0005-0000-0000-000025190000}"/>
    <cellStyle name="Normal 12 3 5 3 2" xfId="22337" xr:uid="{00000000-0005-0000-0000-000026190000}"/>
    <cellStyle name="Normal 12 3 5 4" xfId="16115" xr:uid="{00000000-0005-0000-0000-000027190000}"/>
    <cellStyle name="Normal 12 3 6" xfId="3725" xr:uid="{00000000-0005-0000-0000-000028190000}"/>
    <cellStyle name="Normal 12 3 6 2" xfId="3726" xr:uid="{00000000-0005-0000-0000-000029190000}"/>
    <cellStyle name="Normal 12 3 6 2 2" xfId="9993" xr:uid="{00000000-0005-0000-0000-00002A190000}"/>
    <cellStyle name="Normal 12 3 6 2 2 2" xfId="22340" xr:uid="{00000000-0005-0000-0000-00002B190000}"/>
    <cellStyle name="Normal 12 3 6 2 3" xfId="16118" xr:uid="{00000000-0005-0000-0000-00002C190000}"/>
    <cellStyle name="Normal 12 3 6 3" xfId="9992" xr:uid="{00000000-0005-0000-0000-00002D190000}"/>
    <cellStyle name="Normal 12 3 6 3 2" xfId="22339" xr:uid="{00000000-0005-0000-0000-00002E190000}"/>
    <cellStyle name="Normal 12 3 6 4" xfId="16117" xr:uid="{00000000-0005-0000-0000-00002F190000}"/>
    <cellStyle name="Normal 12 3 7" xfId="3727" xr:uid="{00000000-0005-0000-0000-000030190000}"/>
    <cellStyle name="Normal 12 3 7 2" xfId="9994" xr:uid="{00000000-0005-0000-0000-000031190000}"/>
    <cellStyle name="Normal 12 3 7 2 2" xfId="22341" xr:uid="{00000000-0005-0000-0000-000032190000}"/>
    <cellStyle name="Normal 12 3 7 3" xfId="16119" xr:uid="{00000000-0005-0000-0000-000033190000}"/>
    <cellStyle name="Normal 12 3 8" xfId="3728" xr:uid="{00000000-0005-0000-0000-000034190000}"/>
    <cellStyle name="Normal 12 3 9" xfId="3729" xr:uid="{00000000-0005-0000-0000-000035190000}"/>
    <cellStyle name="Normal 12 4" xfId="3730" xr:uid="{00000000-0005-0000-0000-000036190000}"/>
    <cellStyle name="Normal 12 4 2" xfId="3731" xr:uid="{00000000-0005-0000-0000-000037190000}"/>
    <cellStyle name="Normal 12 4 2 2" xfId="3732" xr:uid="{00000000-0005-0000-0000-000038190000}"/>
    <cellStyle name="Normal 12 4 2 2 2" xfId="3733" xr:uid="{00000000-0005-0000-0000-000039190000}"/>
    <cellStyle name="Normal 12 4 2 2 2 2" xfId="3734" xr:uid="{00000000-0005-0000-0000-00003A190000}"/>
    <cellStyle name="Normal 12 4 2 2 2 2 2" xfId="3735" xr:uid="{00000000-0005-0000-0000-00003B190000}"/>
    <cellStyle name="Normal 12 4 2 2 2 2 2 2" xfId="9999" xr:uid="{00000000-0005-0000-0000-00003C190000}"/>
    <cellStyle name="Normal 12 4 2 2 2 2 2 2 2" xfId="22346" xr:uid="{00000000-0005-0000-0000-00003D190000}"/>
    <cellStyle name="Normal 12 4 2 2 2 2 2 3" xfId="16124" xr:uid="{00000000-0005-0000-0000-00003E190000}"/>
    <cellStyle name="Normal 12 4 2 2 2 2 3" xfId="9998" xr:uid="{00000000-0005-0000-0000-00003F190000}"/>
    <cellStyle name="Normal 12 4 2 2 2 2 3 2" xfId="22345" xr:uid="{00000000-0005-0000-0000-000040190000}"/>
    <cellStyle name="Normal 12 4 2 2 2 2 4" xfId="16123" xr:uid="{00000000-0005-0000-0000-000041190000}"/>
    <cellStyle name="Normal 12 4 2 2 2 3" xfId="3736" xr:uid="{00000000-0005-0000-0000-000042190000}"/>
    <cellStyle name="Normal 12 4 2 2 2 3 2" xfId="3737" xr:uid="{00000000-0005-0000-0000-000043190000}"/>
    <cellStyle name="Normal 12 4 2 2 2 3 2 2" xfId="10001" xr:uid="{00000000-0005-0000-0000-000044190000}"/>
    <cellStyle name="Normal 12 4 2 2 2 3 2 2 2" xfId="22348" xr:uid="{00000000-0005-0000-0000-000045190000}"/>
    <cellStyle name="Normal 12 4 2 2 2 3 2 3" xfId="16126" xr:uid="{00000000-0005-0000-0000-000046190000}"/>
    <cellStyle name="Normal 12 4 2 2 2 3 3" xfId="10000" xr:uid="{00000000-0005-0000-0000-000047190000}"/>
    <cellStyle name="Normal 12 4 2 2 2 3 3 2" xfId="22347" xr:uid="{00000000-0005-0000-0000-000048190000}"/>
    <cellStyle name="Normal 12 4 2 2 2 3 4" xfId="16125" xr:uid="{00000000-0005-0000-0000-000049190000}"/>
    <cellStyle name="Normal 12 4 2 2 2 4" xfId="3738" xr:uid="{00000000-0005-0000-0000-00004A190000}"/>
    <cellStyle name="Normal 12 4 2 2 2 4 2" xfId="10002" xr:uid="{00000000-0005-0000-0000-00004B190000}"/>
    <cellStyle name="Normal 12 4 2 2 2 4 2 2" xfId="22349" xr:uid="{00000000-0005-0000-0000-00004C190000}"/>
    <cellStyle name="Normal 12 4 2 2 2 4 3" xfId="16127" xr:uid="{00000000-0005-0000-0000-00004D190000}"/>
    <cellStyle name="Normal 12 4 2 2 2 5" xfId="9997" xr:uid="{00000000-0005-0000-0000-00004E190000}"/>
    <cellStyle name="Normal 12 4 2 2 2 5 2" xfId="22344" xr:uid="{00000000-0005-0000-0000-00004F190000}"/>
    <cellStyle name="Normal 12 4 2 2 2 6" xfId="16122" xr:uid="{00000000-0005-0000-0000-000050190000}"/>
    <cellStyle name="Normal 12 4 2 2 3" xfId="3739" xr:uid="{00000000-0005-0000-0000-000051190000}"/>
    <cellStyle name="Normal 12 4 2 2 3 2" xfId="3740" xr:uid="{00000000-0005-0000-0000-000052190000}"/>
    <cellStyle name="Normal 12 4 2 2 3 2 2" xfId="10004" xr:uid="{00000000-0005-0000-0000-000053190000}"/>
    <cellStyle name="Normal 12 4 2 2 3 2 2 2" xfId="22351" xr:uid="{00000000-0005-0000-0000-000054190000}"/>
    <cellStyle name="Normal 12 4 2 2 3 2 3" xfId="16129" xr:uid="{00000000-0005-0000-0000-000055190000}"/>
    <cellStyle name="Normal 12 4 2 2 3 3" xfId="10003" xr:uid="{00000000-0005-0000-0000-000056190000}"/>
    <cellStyle name="Normal 12 4 2 2 3 3 2" xfId="22350" xr:uid="{00000000-0005-0000-0000-000057190000}"/>
    <cellStyle name="Normal 12 4 2 2 3 4" xfId="16128" xr:uid="{00000000-0005-0000-0000-000058190000}"/>
    <cellStyle name="Normal 12 4 2 2 4" xfId="3741" xr:uid="{00000000-0005-0000-0000-000059190000}"/>
    <cellStyle name="Normal 12 4 2 2 4 2" xfId="3742" xr:uid="{00000000-0005-0000-0000-00005A190000}"/>
    <cellStyle name="Normal 12 4 2 2 4 2 2" xfId="10006" xr:uid="{00000000-0005-0000-0000-00005B190000}"/>
    <cellStyle name="Normal 12 4 2 2 4 2 2 2" xfId="22353" xr:uid="{00000000-0005-0000-0000-00005C190000}"/>
    <cellStyle name="Normal 12 4 2 2 4 2 3" xfId="16131" xr:uid="{00000000-0005-0000-0000-00005D190000}"/>
    <cellStyle name="Normal 12 4 2 2 4 3" xfId="10005" xr:uid="{00000000-0005-0000-0000-00005E190000}"/>
    <cellStyle name="Normal 12 4 2 2 4 3 2" xfId="22352" xr:uid="{00000000-0005-0000-0000-00005F190000}"/>
    <cellStyle name="Normal 12 4 2 2 4 4" xfId="16130" xr:uid="{00000000-0005-0000-0000-000060190000}"/>
    <cellStyle name="Normal 12 4 2 2 5" xfId="3743" xr:uid="{00000000-0005-0000-0000-000061190000}"/>
    <cellStyle name="Normal 12 4 2 2 5 2" xfId="10007" xr:uid="{00000000-0005-0000-0000-000062190000}"/>
    <cellStyle name="Normal 12 4 2 2 5 2 2" xfId="22354" xr:uid="{00000000-0005-0000-0000-000063190000}"/>
    <cellStyle name="Normal 12 4 2 2 5 3" xfId="16132" xr:uid="{00000000-0005-0000-0000-000064190000}"/>
    <cellStyle name="Normal 12 4 2 2 6" xfId="9996" xr:uid="{00000000-0005-0000-0000-000065190000}"/>
    <cellStyle name="Normal 12 4 2 2 6 2" xfId="22343" xr:uid="{00000000-0005-0000-0000-000066190000}"/>
    <cellStyle name="Normal 12 4 2 2 7" xfId="16121" xr:uid="{00000000-0005-0000-0000-000067190000}"/>
    <cellStyle name="Normal 12 4 2 3" xfId="3744" xr:uid="{00000000-0005-0000-0000-000068190000}"/>
    <cellStyle name="Normal 12 4 2 3 2" xfId="3745" xr:uid="{00000000-0005-0000-0000-000069190000}"/>
    <cellStyle name="Normal 12 4 2 3 2 2" xfId="3746" xr:uid="{00000000-0005-0000-0000-00006A190000}"/>
    <cellStyle name="Normal 12 4 2 3 2 2 2" xfId="10010" xr:uid="{00000000-0005-0000-0000-00006B190000}"/>
    <cellStyle name="Normal 12 4 2 3 2 2 2 2" xfId="22357" xr:uid="{00000000-0005-0000-0000-00006C190000}"/>
    <cellStyle name="Normal 12 4 2 3 2 2 3" xfId="16135" xr:uid="{00000000-0005-0000-0000-00006D190000}"/>
    <cellStyle name="Normal 12 4 2 3 2 3" xfId="10009" xr:uid="{00000000-0005-0000-0000-00006E190000}"/>
    <cellStyle name="Normal 12 4 2 3 2 3 2" xfId="22356" xr:uid="{00000000-0005-0000-0000-00006F190000}"/>
    <cellStyle name="Normal 12 4 2 3 2 4" xfId="16134" xr:uid="{00000000-0005-0000-0000-000070190000}"/>
    <cellStyle name="Normal 12 4 2 3 3" xfId="3747" xr:uid="{00000000-0005-0000-0000-000071190000}"/>
    <cellStyle name="Normal 12 4 2 3 3 2" xfId="3748" xr:uid="{00000000-0005-0000-0000-000072190000}"/>
    <cellStyle name="Normal 12 4 2 3 3 2 2" xfId="10012" xr:uid="{00000000-0005-0000-0000-000073190000}"/>
    <cellStyle name="Normal 12 4 2 3 3 2 2 2" xfId="22359" xr:uid="{00000000-0005-0000-0000-000074190000}"/>
    <cellStyle name="Normal 12 4 2 3 3 2 3" xfId="16137" xr:uid="{00000000-0005-0000-0000-000075190000}"/>
    <cellStyle name="Normal 12 4 2 3 3 3" xfId="10011" xr:uid="{00000000-0005-0000-0000-000076190000}"/>
    <cellStyle name="Normal 12 4 2 3 3 3 2" xfId="22358" xr:uid="{00000000-0005-0000-0000-000077190000}"/>
    <cellStyle name="Normal 12 4 2 3 3 4" xfId="16136" xr:uid="{00000000-0005-0000-0000-000078190000}"/>
    <cellStyle name="Normal 12 4 2 3 4" xfId="3749" xr:uid="{00000000-0005-0000-0000-000079190000}"/>
    <cellStyle name="Normal 12 4 2 3 4 2" xfId="10013" xr:uid="{00000000-0005-0000-0000-00007A190000}"/>
    <cellStyle name="Normal 12 4 2 3 4 2 2" xfId="22360" xr:uid="{00000000-0005-0000-0000-00007B190000}"/>
    <cellStyle name="Normal 12 4 2 3 4 3" xfId="16138" xr:uid="{00000000-0005-0000-0000-00007C190000}"/>
    <cellStyle name="Normal 12 4 2 3 5" xfId="10008" xr:uid="{00000000-0005-0000-0000-00007D190000}"/>
    <cellStyle name="Normal 12 4 2 3 5 2" xfId="22355" xr:uid="{00000000-0005-0000-0000-00007E190000}"/>
    <cellStyle name="Normal 12 4 2 3 6" xfId="16133" xr:uid="{00000000-0005-0000-0000-00007F190000}"/>
    <cellStyle name="Normal 12 4 2 4" xfId="3750" xr:uid="{00000000-0005-0000-0000-000080190000}"/>
    <cellStyle name="Normal 12 4 2 4 2" xfId="3751" xr:uid="{00000000-0005-0000-0000-000081190000}"/>
    <cellStyle name="Normal 12 4 2 4 2 2" xfId="10015" xr:uid="{00000000-0005-0000-0000-000082190000}"/>
    <cellStyle name="Normal 12 4 2 4 2 2 2" xfId="22362" xr:uid="{00000000-0005-0000-0000-000083190000}"/>
    <cellStyle name="Normal 12 4 2 4 2 3" xfId="16140" xr:uid="{00000000-0005-0000-0000-000084190000}"/>
    <cellStyle name="Normal 12 4 2 4 3" xfId="10014" xr:uid="{00000000-0005-0000-0000-000085190000}"/>
    <cellStyle name="Normal 12 4 2 4 3 2" xfId="22361" xr:uid="{00000000-0005-0000-0000-000086190000}"/>
    <cellStyle name="Normal 12 4 2 4 4" xfId="16139" xr:uid="{00000000-0005-0000-0000-000087190000}"/>
    <cellStyle name="Normal 12 4 2 5" xfId="3752" xr:uid="{00000000-0005-0000-0000-000088190000}"/>
    <cellStyle name="Normal 12 4 2 5 2" xfId="3753" xr:uid="{00000000-0005-0000-0000-000089190000}"/>
    <cellStyle name="Normal 12 4 2 5 2 2" xfId="10017" xr:uid="{00000000-0005-0000-0000-00008A190000}"/>
    <cellStyle name="Normal 12 4 2 5 2 2 2" xfId="22364" xr:uid="{00000000-0005-0000-0000-00008B190000}"/>
    <cellStyle name="Normal 12 4 2 5 2 3" xfId="16142" xr:uid="{00000000-0005-0000-0000-00008C190000}"/>
    <cellStyle name="Normal 12 4 2 5 3" xfId="10016" xr:uid="{00000000-0005-0000-0000-00008D190000}"/>
    <cellStyle name="Normal 12 4 2 5 3 2" xfId="22363" xr:uid="{00000000-0005-0000-0000-00008E190000}"/>
    <cellStyle name="Normal 12 4 2 5 4" xfId="16141" xr:uid="{00000000-0005-0000-0000-00008F190000}"/>
    <cellStyle name="Normal 12 4 2 6" xfId="3754" xr:uid="{00000000-0005-0000-0000-000090190000}"/>
    <cellStyle name="Normal 12 4 2 6 2" xfId="10018" xr:uid="{00000000-0005-0000-0000-000091190000}"/>
    <cellStyle name="Normal 12 4 2 6 2 2" xfId="22365" xr:uid="{00000000-0005-0000-0000-000092190000}"/>
    <cellStyle name="Normal 12 4 2 6 3" xfId="16143" xr:uid="{00000000-0005-0000-0000-000093190000}"/>
    <cellStyle name="Normal 12 4 2 7" xfId="9995" xr:uid="{00000000-0005-0000-0000-000094190000}"/>
    <cellStyle name="Normal 12 4 2 7 2" xfId="22342" xr:uid="{00000000-0005-0000-0000-000095190000}"/>
    <cellStyle name="Normal 12 4 2 8" xfId="16120" xr:uid="{00000000-0005-0000-0000-000096190000}"/>
    <cellStyle name="Normal 12 4 3" xfId="3755" xr:uid="{00000000-0005-0000-0000-000097190000}"/>
    <cellStyle name="Normal 12 4 3 2" xfId="3756" xr:uid="{00000000-0005-0000-0000-000098190000}"/>
    <cellStyle name="Normal 12 4 3 2 2" xfId="3757" xr:uid="{00000000-0005-0000-0000-000099190000}"/>
    <cellStyle name="Normal 12 4 3 2 2 2" xfId="3758" xr:uid="{00000000-0005-0000-0000-00009A190000}"/>
    <cellStyle name="Normal 12 4 3 2 2 2 2" xfId="10022" xr:uid="{00000000-0005-0000-0000-00009B190000}"/>
    <cellStyle name="Normal 12 4 3 2 2 2 2 2" xfId="22369" xr:uid="{00000000-0005-0000-0000-00009C190000}"/>
    <cellStyle name="Normal 12 4 3 2 2 2 3" xfId="16147" xr:uid="{00000000-0005-0000-0000-00009D190000}"/>
    <cellStyle name="Normal 12 4 3 2 2 3" xfId="10021" xr:uid="{00000000-0005-0000-0000-00009E190000}"/>
    <cellStyle name="Normal 12 4 3 2 2 3 2" xfId="22368" xr:uid="{00000000-0005-0000-0000-00009F190000}"/>
    <cellStyle name="Normal 12 4 3 2 2 4" xfId="16146" xr:uid="{00000000-0005-0000-0000-0000A0190000}"/>
    <cellStyle name="Normal 12 4 3 2 3" xfId="3759" xr:uid="{00000000-0005-0000-0000-0000A1190000}"/>
    <cellStyle name="Normal 12 4 3 2 3 2" xfId="3760" xr:uid="{00000000-0005-0000-0000-0000A2190000}"/>
    <cellStyle name="Normal 12 4 3 2 3 2 2" xfId="10024" xr:uid="{00000000-0005-0000-0000-0000A3190000}"/>
    <cellStyle name="Normal 12 4 3 2 3 2 2 2" xfId="22371" xr:uid="{00000000-0005-0000-0000-0000A4190000}"/>
    <cellStyle name="Normal 12 4 3 2 3 2 3" xfId="16149" xr:uid="{00000000-0005-0000-0000-0000A5190000}"/>
    <cellStyle name="Normal 12 4 3 2 3 3" xfId="10023" xr:uid="{00000000-0005-0000-0000-0000A6190000}"/>
    <cellStyle name="Normal 12 4 3 2 3 3 2" xfId="22370" xr:uid="{00000000-0005-0000-0000-0000A7190000}"/>
    <cellStyle name="Normal 12 4 3 2 3 4" xfId="16148" xr:uid="{00000000-0005-0000-0000-0000A8190000}"/>
    <cellStyle name="Normal 12 4 3 2 4" xfId="3761" xr:uid="{00000000-0005-0000-0000-0000A9190000}"/>
    <cellStyle name="Normal 12 4 3 2 4 2" xfId="10025" xr:uid="{00000000-0005-0000-0000-0000AA190000}"/>
    <cellStyle name="Normal 12 4 3 2 4 2 2" xfId="22372" xr:uid="{00000000-0005-0000-0000-0000AB190000}"/>
    <cellStyle name="Normal 12 4 3 2 4 3" xfId="16150" xr:uid="{00000000-0005-0000-0000-0000AC190000}"/>
    <cellStyle name="Normal 12 4 3 2 5" xfId="10020" xr:uid="{00000000-0005-0000-0000-0000AD190000}"/>
    <cellStyle name="Normal 12 4 3 2 5 2" xfId="22367" xr:uid="{00000000-0005-0000-0000-0000AE190000}"/>
    <cellStyle name="Normal 12 4 3 2 6" xfId="16145" xr:uid="{00000000-0005-0000-0000-0000AF190000}"/>
    <cellStyle name="Normal 12 4 3 3" xfId="3762" xr:uid="{00000000-0005-0000-0000-0000B0190000}"/>
    <cellStyle name="Normal 12 4 3 3 2" xfId="3763" xr:uid="{00000000-0005-0000-0000-0000B1190000}"/>
    <cellStyle name="Normal 12 4 3 3 2 2" xfId="10027" xr:uid="{00000000-0005-0000-0000-0000B2190000}"/>
    <cellStyle name="Normal 12 4 3 3 2 2 2" xfId="22374" xr:uid="{00000000-0005-0000-0000-0000B3190000}"/>
    <cellStyle name="Normal 12 4 3 3 2 3" xfId="16152" xr:uid="{00000000-0005-0000-0000-0000B4190000}"/>
    <cellStyle name="Normal 12 4 3 3 3" xfId="10026" xr:uid="{00000000-0005-0000-0000-0000B5190000}"/>
    <cellStyle name="Normal 12 4 3 3 3 2" xfId="22373" xr:uid="{00000000-0005-0000-0000-0000B6190000}"/>
    <cellStyle name="Normal 12 4 3 3 4" xfId="16151" xr:uid="{00000000-0005-0000-0000-0000B7190000}"/>
    <cellStyle name="Normal 12 4 3 4" xfId="3764" xr:uid="{00000000-0005-0000-0000-0000B8190000}"/>
    <cellStyle name="Normal 12 4 3 4 2" xfId="3765" xr:uid="{00000000-0005-0000-0000-0000B9190000}"/>
    <cellStyle name="Normal 12 4 3 4 2 2" xfId="10029" xr:uid="{00000000-0005-0000-0000-0000BA190000}"/>
    <cellStyle name="Normal 12 4 3 4 2 2 2" xfId="22376" xr:uid="{00000000-0005-0000-0000-0000BB190000}"/>
    <cellStyle name="Normal 12 4 3 4 2 3" xfId="16154" xr:uid="{00000000-0005-0000-0000-0000BC190000}"/>
    <cellStyle name="Normal 12 4 3 4 3" xfId="10028" xr:uid="{00000000-0005-0000-0000-0000BD190000}"/>
    <cellStyle name="Normal 12 4 3 4 3 2" xfId="22375" xr:uid="{00000000-0005-0000-0000-0000BE190000}"/>
    <cellStyle name="Normal 12 4 3 4 4" xfId="16153" xr:uid="{00000000-0005-0000-0000-0000BF190000}"/>
    <cellStyle name="Normal 12 4 3 5" xfId="3766" xr:uid="{00000000-0005-0000-0000-0000C0190000}"/>
    <cellStyle name="Normal 12 4 3 5 2" xfId="10030" xr:uid="{00000000-0005-0000-0000-0000C1190000}"/>
    <cellStyle name="Normal 12 4 3 5 2 2" xfId="22377" xr:uid="{00000000-0005-0000-0000-0000C2190000}"/>
    <cellStyle name="Normal 12 4 3 5 3" xfId="16155" xr:uid="{00000000-0005-0000-0000-0000C3190000}"/>
    <cellStyle name="Normal 12 4 3 6" xfId="10019" xr:uid="{00000000-0005-0000-0000-0000C4190000}"/>
    <cellStyle name="Normal 12 4 3 6 2" xfId="22366" xr:uid="{00000000-0005-0000-0000-0000C5190000}"/>
    <cellStyle name="Normal 12 4 3 7" xfId="16144" xr:uid="{00000000-0005-0000-0000-0000C6190000}"/>
    <cellStyle name="Normal 12 4 4" xfId="3767" xr:uid="{00000000-0005-0000-0000-0000C7190000}"/>
    <cellStyle name="Normal 12 4 4 2" xfId="3768" xr:uid="{00000000-0005-0000-0000-0000C8190000}"/>
    <cellStyle name="Normal 12 4 4 2 2" xfId="3769" xr:uid="{00000000-0005-0000-0000-0000C9190000}"/>
    <cellStyle name="Normal 12 4 4 2 2 2" xfId="10033" xr:uid="{00000000-0005-0000-0000-0000CA190000}"/>
    <cellStyle name="Normal 12 4 4 2 2 2 2" xfId="22380" xr:uid="{00000000-0005-0000-0000-0000CB190000}"/>
    <cellStyle name="Normal 12 4 4 2 2 3" xfId="16158" xr:uid="{00000000-0005-0000-0000-0000CC190000}"/>
    <cellStyle name="Normal 12 4 4 2 3" xfId="10032" xr:uid="{00000000-0005-0000-0000-0000CD190000}"/>
    <cellStyle name="Normal 12 4 4 2 3 2" xfId="22379" xr:uid="{00000000-0005-0000-0000-0000CE190000}"/>
    <cellStyle name="Normal 12 4 4 2 4" xfId="16157" xr:uid="{00000000-0005-0000-0000-0000CF190000}"/>
    <cellStyle name="Normal 12 4 4 3" xfId="3770" xr:uid="{00000000-0005-0000-0000-0000D0190000}"/>
    <cellStyle name="Normal 12 4 4 3 2" xfId="3771" xr:uid="{00000000-0005-0000-0000-0000D1190000}"/>
    <cellStyle name="Normal 12 4 4 3 2 2" xfId="10035" xr:uid="{00000000-0005-0000-0000-0000D2190000}"/>
    <cellStyle name="Normal 12 4 4 3 2 2 2" xfId="22382" xr:uid="{00000000-0005-0000-0000-0000D3190000}"/>
    <cellStyle name="Normal 12 4 4 3 2 3" xfId="16160" xr:uid="{00000000-0005-0000-0000-0000D4190000}"/>
    <cellStyle name="Normal 12 4 4 3 3" xfId="10034" xr:uid="{00000000-0005-0000-0000-0000D5190000}"/>
    <cellStyle name="Normal 12 4 4 3 3 2" xfId="22381" xr:uid="{00000000-0005-0000-0000-0000D6190000}"/>
    <cellStyle name="Normal 12 4 4 3 4" xfId="16159" xr:uid="{00000000-0005-0000-0000-0000D7190000}"/>
    <cellStyle name="Normal 12 4 4 4" xfId="3772" xr:uid="{00000000-0005-0000-0000-0000D8190000}"/>
    <cellStyle name="Normal 12 4 4 4 2" xfId="10036" xr:uid="{00000000-0005-0000-0000-0000D9190000}"/>
    <cellStyle name="Normal 12 4 4 4 2 2" xfId="22383" xr:uid="{00000000-0005-0000-0000-0000DA190000}"/>
    <cellStyle name="Normal 12 4 4 4 3" xfId="16161" xr:uid="{00000000-0005-0000-0000-0000DB190000}"/>
    <cellStyle name="Normal 12 4 4 5" xfId="10031" xr:uid="{00000000-0005-0000-0000-0000DC190000}"/>
    <cellStyle name="Normal 12 4 4 5 2" xfId="22378" xr:uid="{00000000-0005-0000-0000-0000DD190000}"/>
    <cellStyle name="Normal 12 4 4 6" xfId="16156" xr:uid="{00000000-0005-0000-0000-0000DE190000}"/>
    <cellStyle name="Normal 12 4 5" xfId="3773" xr:uid="{00000000-0005-0000-0000-0000DF190000}"/>
    <cellStyle name="Normal 12 4 5 2" xfId="3774" xr:uid="{00000000-0005-0000-0000-0000E0190000}"/>
    <cellStyle name="Normal 12 4 5 2 2" xfId="10038" xr:uid="{00000000-0005-0000-0000-0000E1190000}"/>
    <cellStyle name="Normal 12 4 5 2 2 2" xfId="22385" xr:uid="{00000000-0005-0000-0000-0000E2190000}"/>
    <cellStyle name="Normal 12 4 5 2 3" xfId="16163" xr:uid="{00000000-0005-0000-0000-0000E3190000}"/>
    <cellStyle name="Normal 12 4 5 3" xfId="10037" xr:uid="{00000000-0005-0000-0000-0000E4190000}"/>
    <cellStyle name="Normal 12 4 5 3 2" xfId="22384" xr:uid="{00000000-0005-0000-0000-0000E5190000}"/>
    <cellStyle name="Normal 12 4 5 4" xfId="16162" xr:uid="{00000000-0005-0000-0000-0000E6190000}"/>
    <cellStyle name="Normal 12 4 6" xfId="3775" xr:uid="{00000000-0005-0000-0000-0000E7190000}"/>
    <cellStyle name="Normal 12 4 6 2" xfId="3776" xr:uid="{00000000-0005-0000-0000-0000E8190000}"/>
    <cellStyle name="Normal 12 4 6 2 2" xfId="10040" xr:uid="{00000000-0005-0000-0000-0000E9190000}"/>
    <cellStyle name="Normal 12 4 6 2 2 2" xfId="22387" xr:uid="{00000000-0005-0000-0000-0000EA190000}"/>
    <cellStyle name="Normal 12 4 6 2 3" xfId="16165" xr:uid="{00000000-0005-0000-0000-0000EB190000}"/>
    <cellStyle name="Normal 12 4 6 3" xfId="10039" xr:uid="{00000000-0005-0000-0000-0000EC190000}"/>
    <cellStyle name="Normal 12 4 6 3 2" xfId="22386" xr:uid="{00000000-0005-0000-0000-0000ED190000}"/>
    <cellStyle name="Normal 12 4 6 4" xfId="16164" xr:uid="{00000000-0005-0000-0000-0000EE190000}"/>
    <cellStyle name="Normal 12 4 7" xfId="3777" xr:uid="{00000000-0005-0000-0000-0000EF190000}"/>
    <cellStyle name="Normal 12 4 7 2" xfId="10041" xr:uid="{00000000-0005-0000-0000-0000F0190000}"/>
    <cellStyle name="Normal 12 4 7 2 2" xfId="22388" xr:uid="{00000000-0005-0000-0000-0000F1190000}"/>
    <cellStyle name="Normal 12 4 7 3" xfId="16166" xr:uid="{00000000-0005-0000-0000-0000F2190000}"/>
    <cellStyle name="Normal 12 5" xfId="3778" xr:uid="{00000000-0005-0000-0000-0000F3190000}"/>
    <cellStyle name="Normal 12 5 2" xfId="3779" xr:uid="{00000000-0005-0000-0000-0000F4190000}"/>
    <cellStyle name="Normal 12 5 2 2" xfId="3780" xr:uid="{00000000-0005-0000-0000-0000F5190000}"/>
    <cellStyle name="Normal 12 5 2 2 2" xfId="3781" xr:uid="{00000000-0005-0000-0000-0000F6190000}"/>
    <cellStyle name="Normal 12 5 2 2 2 2" xfId="3782" xr:uid="{00000000-0005-0000-0000-0000F7190000}"/>
    <cellStyle name="Normal 12 5 2 2 2 2 2" xfId="10046" xr:uid="{00000000-0005-0000-0000-0000F8190000}"/>
    <cellStyle name="Normal 12 5 2 2 2 2 2 2" xfId="22393" xr:uid="{00000000-0005-0000-0000-0000F9190000}"/>
    <cellStyle name="Normal 12 5 2 2 2 2 3" xfId="16171" xr:uid="{00000000-0005-0000-0000-0000FA190000}"/>
    <cellStyle name="Normal 12 5 2 2 2 3" xfId="10045" xr:uid="{00000000-0005-0000-0000-0000FB190000}"/>
    <cellStyle name="Normal 12 5 2 2 2 3 2" xfId="22392" xr:uid="{00000000-0005-0000-0000-0000FC190000}"/>
    <cellStyle name="Normal 12 5 2 2 2 4" xfId="16170" xr:uid="{00000000-0005-0000-0000-0000FD190000}"/>
    <cellStyle name="Normal 12 5 2 2 3" xfId="3783" xr:uid="{00000000-0005-0000-0000-0000FE190000}"/>
    <cellStyle name="Normal 12 5 2 2 3 2" xfId="3784" xr:uid="{00000000-0005-0000-0000-0000FF190000}"/>
    <cellStyle name="Normal 12 5 2 2 3 2 2" xfId="10048" xr:uid="{00000000-0005-0000-0000-0000001A0000}"/>
    <cellStyle name="Normal 12 5 2 2 3 2 2 2" xfId="22395" xr:uid="{00000000-0005-0000-0000-0000011A0000}"/>
    <cellStyle name="Normal 12 5 2 2 3 2 3" xfId="16173" xr:uid="{00000000-0005-0000-0000-0000021A0000}"/>
    <cellStyle name="Normal 12 5 2 2 3 3" xfId="10047" xr:uid="{00000000-0005-0000-0000-0000031A0000}"/>
    <cellStyle name="Normal 12 5 2 2 3 3 2" xfId="22394" xr:uid="{00000000-0005-0000-0000-0000041A0000}"/>
    <cellStyle name="Normal 12 5 2 2 3 4" xfId="16172" xr:uid="{00000000-0005-0000-0000-0000051A0000}"/>
    <cellStyle name="Normal 12 5 2 2 4" xfId="3785" xr:uid="{00000000-0005-0000-0000-0000061A0000}"/>
    <cellStyle name="Normal 12 5 2 2 4 2" xfId="10049" xr:uid="{00000000-0005-0000-0000-0000071A0000}"/>
    <cellStyle name="Normal 12 5 2 2 4 2 2" xfId="22396" xr:uid="{00000000-0005-0000-0000-0000081A0000}"/>
    <cellStyle name="Normal 12 5 2 2 4 3" xfId="16174" xr:uid="{00000000-0005-0000-0000-0000091A0000}"/>
    <cellStyle name="Normal 12 5 2 2 5" xfId="10044" xr:uid="{00000000-0005-0000-0000-00000A1A0000}"/>
    <cellStyle name="Normal 12 5 2 2 5 2" xfId="22391" xr:uid="{00000000-0005-0000-0000-00000B1A0000}"/>
    <cellStyle name="Normal 12 5 2 2 6" xfId="16169" xr:uid="{00000000-0005-0000-0000-00000C1A0000}"/>
    <cellStyle name="Normal 12 5 2 3" xfId="3786" xr:uid="{00000000-0005-0000-0000-00000D1A0000}"/>
    <cellStyle name="Normal 12 5 2 3 2" xfId="3787" xr:uid="{00000000-0005-0000-0000-00000E1A0000}"/>
    <cellStyle name="Normal 12 5 2 3 2 2" xfId="10051" xr:uid="{00000000-0005-0000-0000-00000F1A0000}"/>
    <cellStyle name="Normal 12 5 2 3 2 2 2" xfId="22398" xr:uid="{00000000-0005-0000-0000-0000101A0000}"/>
    <cellStyle name="Normal 12 5 2 3 2 3" xfId="16176" xr:uid="{00000000-0005-0000-0000-0000111A0000}"/>
    <cellStyle name="Normal 12 5 2 3 3" xfId="10050" xr:uid="{00000000-0005-0000-0000-0000121A0000}"/>
    <cellStyle name="Normal 12 5 2 3 3 2" xfId="22397" xr:uid="{00000000-0005-0000-0000-0000131A0000}"/>
    <cellStyle name="Normal 12 5 2 3 4" xfId="16175" xr:uid="{00000000-0005-0000-0000-0000141A0000}"/>
    <cellStyle name="Normal 12 5 2 4" xfId="3788" xr:uid="{00000000-0005-0000-0000-0000151A0000}"/>
    <cellStyle name="Normal 12 5 2 4 2" xfId="3789" xr:uid="{00000000-0005-0000-0000-0000161A0000}"/>
    <cellStyle name="Normal 12 5 2 4 2 2" xfId="10053" xr:uid="{00000000-0005-0000-0000-0000171A0000}"/>
    <cellStyle name="Normal 12 5 2 4 2 2 2" xfId="22400" xr:uid="{00000000-0005-0000-0000-0000181A0000}"/>
    <cellStyle name="Normal 12 5 2 4 2 3" xfId="16178" xr:uid="{00000000-0005-0000-0000-0000191A0000}"/>
    <cellStyle name="Normal 12 5 2 4 3" xfId="10052" xr:uid="{00000000-0005-0000-0000-00001A1A0000}"/>
    <cellStyle name="Normal 12 5 2 4 3 2" xfId="22399" xr:uid="{00000000-0005-0000-0000-00001B1A0000}"/>
    <cellStyle name="Normal 12 5 2 4 4" xfId="16177" xr:uid="{00000000-0005-0000-0000-00001C1A0000}"/>
    <cellStyle name="Normal 12 5 2 5" xfId="3790" xr:uid="{00000000-0005-0000-0000-00001D1A0000}"/>
    <cellStyle name="Normal 12 5 2 5 2" xfId="10054" xr:uid="{00000000-0005-0000-0000-00001E1A0000}"/>
    <cellStyle name="Normal 12 5 2 5 2 2" xfId="22401" xr:uid="{00000000-0005-0000-0000-00001F1A0000}"/>
    <cellStyle name="Normal 12 5 2 5 3" xfId="16179" xr:uid="{00000000-0005-0000-0000-0000201A0000}"/>
    <cellStyle name="Normal 12 5 2 6" xfId="10043" xr:uid="{00000000-0005-0000-0000-0000211A0000}"/>
    <cellStyle name="Normal 12 5 2 6 2" xfId="22390" xr:uid="{00000000-0005-0000-0000-0000221A0000}"/>
    <cellStyle name="Normal 12 5 2 7" xfId="16168" xr:uid="{00000000-0005-0000-0000-0000231A0000}"/>
    <cellStyle name="Normal 12 5 3" xfId="3791" xr:uid="{00000000-0005-0000-0000-0000241A0000}"/>
    <cellStyle name="Normal 12 5 3 2" xfId="3792" xr:uid="{00000000-0005-0000-0000-0000251A0000}"/>
    <cellStyle name="Normal 12 5 3 2 2" xfId="3793" xr:uid="{00000000-0005-0000-0000-0000261A0000}"/>
    <cellStyle name="Normal 12 5 3 2 2 2" xfId="10057" xr:uid="{00000000-0005-0000-0000-0000271A0000}"/>
    <cellStyle name="Normal 12 5 3 2 2 2 2" xfId="22404" xr:uid="{00000000-0005-0000-0000-0000281A0000}"/>
    <cellStyle name="Normal 12 5 3 2 2 3" xfId="16182" xr:uid="{00000000-0005-0000-0000-0000291A0000}"/>
    <cellStyle name="Normal 12 5 3 2 3" xfId="10056" xr:uid="{00000000-0005-0000-0000-00002A1A0000}"/>
    <cellStyle name="Normal 12 5 3 2 3 2" xfId="22403" xr:uid="{00000000-0005-0000-0000-00002B1A0000}"/>
    <cellStyle name="Normal 12 5 3 2 4" xfId="16181" xr:uid="{00000000-0005-0000-0000-00002C1A0000}"/>
    <cellStyle name="Normal 12 5 3 3" xfId="3794" xr:uid="{00000000-0005-0000-0000-00002D1A0000}"/>
    <cellStyle name="Normal 12 5 3 3 2" xfId="3795" xr:uid="{00000000-0005-0000-0000-00002E1A0000}"/>
    <cellStyle name="Normal 12 5 3 3 2 2" xfId="10059" xr:uid="{00000000-0005-0000-0000-00002F1A0000}"/>
    <cellStyle name="Normal 12 5 3 3 2 2 2" xfId="22406" xr:uid="{00000000-0005-0000-0000-0000301A0000}"/>
    <cellStyle name="Normal 12 5 3 3 2 3" xfId="16184" xr:uid="{00000000-0005-0000-0000-0000311A0000}"/>
    <cellStyle name="Normal 12 5 3 3 3" xfId="10058" xr:uid="{00000000-0005-0000-0000-0000321A0000}"/>
    <cellStyle name="Normal 12 5 3 3 3 2" xfId="22405" xr:uid="{00000000-0005-0000-0000-0000331A0000}"/>
    <cellStyle name="Normal 12 5 3 3 4" xfId="16183" xr:uid="{00000000-0005-0000-0000-0000341A0000}"/>
    <cellStyle name="Normal 12 5 3 4" xfId="3796" xr:uid="{00000000-0005-0000-0000-0000351A0000}"/>
    <cellStyle name="Normal 12 5 3 4 2" xfId="10060" xr:uid="{00000000-0005-0000-0000-0000361A0000}"/>
    <cellStyle name="Normal 12 5 3 4 2 2" xfId="22407" xr:uid="{00000000-0005-0000-0000-0000371A0000}"/>
    <cellStyle name="Normal 12 5 3 4 3" xfId="16185" xr:uid="{00000000-0005-0000-0000-0000381A0000}"/>
    <cellStyle name="Normal 12 5 3 5" xfId="10055" xr:uid="{00000000-0005-0000-0000-0000391A0000}"/>
    <cellStyle name="Normal 12 5 3 5 2" xfId="22402" xr:uid="{00000000-0005-0000-0000-00003A1A0000}"/>
    <cellStyle name="Normal 12 5 3 6" xfId="16180" xr:uid="{00000000-0005-0000-0000-00003B1A0000}"/>
    <cellStyle name="Normal 12 5 4" xfId="3797" xr:uid="{00000000-0005-0000-0000-00003C1A0000}"/>
    <cellStyle name="Normal 12 5 4 2" xfId="3798" xr:uid="{00000000-0005-0000-0000-00003D1A0000}"/>
    <cellStyle name="Normal 12 5 4 2 2" xfId="10062" xr:uid="{00000000-0005-0000-0000-00003E1A0000}"/>
    <cellStyle name="Normal 12 5 4 2 2 2" xfId="22409" xr:uid="{00000000-0005-0000-0000-00003F1A0000}"/>
    <cellStyle name="Normal 12 5 4 2 3" xfId="16187" xr:uid="{00000000-0005-0000-0000-0000401A0000}"/>
    <cellStyle name="Normal 12 5 4 3" xfId="10061" xr:uid="{00000000-0005-0000-0000-0000411A0000}"/>
    <cellStyle name="Normal 12 5 4 3 2" xfId="22408" xr:uid="{00000000-0005-0000-0000-0000421A0000}"/>
    <cellStyle name="Normal 12 5 4 4" xfId="16186" xr:uid="{00000000-0005-0000-0000-0000431A0000}"/>
    <cellStyle name="Normal 12 5 5" xfId="3799" xr:uid="{00000000-0005-0000-0000-0000441A0000}"/>
    <cellStyle name="Normal 12 5 5 2" xfId="3800" xr:uid="{00000000-0005-0000-0000-0000451A0000}"/>
    <cellStyle name="Normal 12 5 5 2 2" xfId="10064" xr:uid="{00000000-0005-0000-0000-0000461A0000}"/>
    <cellStyle name="Normal 12 5 5 2 2 2" xfId="22411" xr:uid="{00000000-0005-0000-0000-0000471A0000}"/>
    <cellStyle name="Normal 12 5 5 2 3" xfId="16189" xr:uid="{00000000-0005-0000-0000-0000481A0000}"/>
    <cellStyle name="Normal 12 5 5 3" xfId="10063" xr:uid="{00000000-0005-0000-0000-0000491A0000}"/>
    <cellStyle name="Normal 12 5 5 3 2" xfId="22410" xr:uid="{00000000-0005-0000-0000-00004A1A0000}"/>
    <cellStyle name="Normal 12 5 5 4" xfId="16188" xr:uid="{00000000-0005-0000-0000-00004B1A0000}"/>
    <cellStyle name="Normal 12 5 6" xfId="3801" xr:uid="{00000000-0005-0000-0000-00004C1A0000}"/>
    <cellStyle name="Normal 12 5 6 2" xfId="10065" xr:uid="{00000000-0005-0000-0000-00004D1A0000}"/>
    <cellStyle name="Normal 12 5 6 2 2" xfId="22412" xr:uid="{00000000-0005-0000-0000-00004E1A0000}"/>
    <cellStyle name="Normal 12 5 6 3" xfId="16190" xr:uid="{00000000-0005-0000-0000-00004F1A0000}"/>
    <cellStyle name="Normal 12 5 7" xfId="10042" xr:uid="{00000000-0005-0000-0000-0000501A0000}"/>
    <cellStyle name="Normal 12 5 7 2" xfId="22389" xr:uid="{00000000-0005-0000-0000-0000511A0000}"/>
    <cellStyle name="Normal 12 5 8" xfId="16167" xr:uid="{00000000-0005-0000-0000-0000521A0000}"/>
    <cellStyle name="Normal 12 6" xfId="3802" xr:uid="{00000000-0005-0000-0000-0000531A0000}"/>
    <cellStyle name="Normal 12 6 2" xfId="3803" xr:uid="{00000000-0005-0000-0000-0000541A0000}"/>
    <cellStyle name="Normal 12 6 2 2" xfId="3804" xr:uid="{00000000-0005-0000-0000-0000551A0000}"/>
    <cellStyle name="Normal 12 6 2 2 2" xfId="3805" xr:uid="{00000000-0005-0000-0000-0000561A0000}"/>
    <cellStyle name="Normal 12 6 2 2 2 2" xfId="10069" xr:uid="{00000000-0005-0000-0000-0000571A0000}"/>
    <cellStyle name="Normal 12 6 2 2 2 2 2" xfId="22416" xr:uid="{00000000-0005-0000-0000-0000581A0000}"/>
    <cellStyle name="Normal 12 6 2 2 2 3" xfId="16193" xr:uid="{00000000-0005-0000-0000-0000591A0000}"/>
    <cellStyle name="Normal 12 6 2 2 3" xfId="10068" xr:uid="{00000000-0005-0000-0000-00005A1A0000}"/>
    <cellStyle name="Normal 12 6 2 2 3 2" xfId="22415" xr:uid="{00000000-0005-0000-0000-00005B1A0000}"/>
    <cellStyle name="Normal 12 6 2 2 4" xfId="16192" xr:uid="{00000000-0005-0000-0000-00005C1A0000}"/>
    <cellStyle name="Normal 12 6 2 3" xfId="3806" xr:uid="{00000000-0005-0000-0000-00005D1A0000}"/>
    <cellStyle name="Normal 12 6 2 3 2" xfId="3807" xr:uid="{00000000-0005-0000-0000-00005E1A0000}"/>
    <cellStyle name="Normal 12 6 2 3 2 2" xfId="10071" xr:uid="{00000000-0005-0000-0000-00005F1A0000}"/>
    <cellStyle name="Normal 12 6 2 3 2 2 2" xfId="22418" xr:uid="{00000000-0005-0000-0000-0000601A0000}"/>
    <cellStyle name="Normal 12 6 2 3 2 3" xfId="16195" xr:uid="{00000000-0005-0000-0000-0000611A0000}"/>
    <cellStyle name="Normal 12 6 2 3 3" xfId="10070" xr:uid="{00000000-0005-0000-0000-0000621A0000}"/>
    <cellStyle name="Normal 12 6 2 3 3 2" xfId="22417" xr:uid="{00000000-0005-0000-0000-0000631A0000}"/>
    <cellStyle name="Normal 12 6 2 3 4" xfId="16194" xr:uid="{00000000-0005-0000-0000-0000641A0000}"/>
    <cellStyle name="Normal 12 6 2 4" xfId="3808" xr:uid="{00000000-0005-0000-0000-0000651A0000}"/>
    <cellStyle name="Normal 12 6 2 4 2" xfId="10072" xr:uid="{00000000-0005-0000-0000-0000661A0000}"/>
    <cellStyle name="Normal 12 6 2 4 2 2" xfId="22419" xr:uid="{00000000-0005-0000-0000-0000671A0000}"/>
    <cellStyle name="Normal 12 6 2 4 3" xfId="16196" xr:uid="{00000000-0005-0000-0000-0000681A0000}"/>
    <cellStyle name="Normal 12 6 2 5" xfId="10067" xr:uid="{00000000-0005-0000-0000-0000691A0000}"/>
    <cellStyle name="Normal 12 6 2 5 2" xfId="22414" xr:uid="{00000000-0005-0000-0000-00006A1A0000}"/>
    <cellStyle name="Normal 12 6 2 6" xfId="16191" xr:uid="{00000000-0005-0000-0000-00006B1A0000}"/>
    <cellStyle name="Normal 12 6 3" xfId="3809" xr:uid="{00000000-0005-0000-0000-00006C1A0000}"/>
    <cellStyle name="Normal 12 6 3 2" xfId="3810" xr:uid="{00000000-0005-0000-0000-00006D1A0000}"/>
    <cellStyle name="Normal 12 6 3 2 2" xfId="10074" xr:uid="{00000000-0005-0000-0000-00006E1A0000}"/>
    <cellStyle name="Normal 12 6 3 2 2 2" xfId="22421" xr:uid="{00000000-0005-0000-0000-00006F1A0000}"/>
    <cellStyle name="Normal 12 6 3 2 3" xfId="16198" xr:uid="{00000000-0005-0000-0000-0000701A0000}"/>
    <cellStyle name="Normal 12 6 3 3" xfId="10073" xr:uid="{00000000-0005-0000-0000-0000711A0000}"/>
    <cellStyle name="Normal 12 6 3 3 2" xfId="22420" xr:uid="{00000000-0005-0000-0000-0000721A0000}"/>
    <cellStyle name="Normal 12 6 3 4" xfId="16197" xr:uid="{00000000-0005-0000-0000-0000731A0000}"/>
    <cellStyle name="Normal 12 6 4" xfId="3811" xr:uid="{00000000-0005-0000-0000-0000741A0000}"/>
    <cellStyle name="Normal 12 6 4 2" xfId="3812" xr:uid="{00000000-0005-0000-0000-0000751A0000}"/>
    <cellStyle name="Normal 12 6 4 2 2" xfId="10076" xr:uid="{00000000-0005-0000-0000-0000761A0000}"/>
    <cellStyle name="Normal 12 6 4 2 2 2" xfId="22423" xr:uid="{00000000-0005-0000-0000-0000771A0000}"/>
    <cellStyle name="Normal 12 6 4 2 3" xfId="16200" xr:uid="{00000000-0005-0000-0000-0000781A0000}"/>
    <cellStyle name="Normal 12 6 4 3" xfId="10075" xr:uid="{00000000-0005-0000-0000-0000791A0000}"/>
    <cellStyle name="Normal 12 6 4 3 2" xfId="22422" xr:uid="{00000000-0005-0000-0000-00007A1A0000}"/>
    <cellStyle name="Normal 12 6 4 4" xfId="16199" xr:uid="{00000000-0005-0000-0000-00007B1A0000}"/>
    <cellStyle name="Normal 12 6 5" xfId="3813" xr:uid="{00000000-0005-0000-0000-00007C1A0000}"/>
    <cellStyle name="Normal 12 6 5 2" xfId="10077" xr:uid="{00000000-0005-0000-0000-00007D1A0000}"/>
    <cellStyle name="Normal 12 6 5 2 2" xfId="22424" xr:uid="{00000000-0005-0000-0000-00007E1A0000}"/>
    <cellStyle name="Normal 12 6 5 3" xfId="16201" xr:uid="{00000000-0005-0000-0000-00007F1A0000}"/>
    <cellStyle name="Normal 12 6 6" xfId="3814" xr:uid="{00000000-0005-0000-0000-0000801A0000}"/>
    <cellStyle name="Normal 12 6 6 2" xfId="16202" xr:uid="{00000000-0005-0000-0000-0000811A0000}"/>
    <cellStyle name="Normal 12 6 7" xfId="10066" xr:uid="{00000000-0005-0000-0000-0000821A0000}"/>
    <cellStyle name="Normal 12 6 7 2" xfId="22413" xr:uid="{00000000-0005-0000-0000-0000831A0000}"/>
    <cellStyle name="Normal 12 7" xfId="3815" xr:uid="{00000000-0005-0000-0000-0000841A0000}"/>
    <cellStyle name="Normal 12 7 2" xfId="3816" xr:uid="{00000000-0005-0000-0000-0000851A0000}"/>
    <cellStyle name="Normal 12 7 2 2" xfId="3817" xr:uid="{00000000-0005-0000-0000-0000861A0000}"/>
    <cellStyle name="Normal 12 7 2 2 2" xfId="10079" xr:uid="{00000000-0005-0000-0000-0000871A0000}"/>
    <cellStyle name="Normal 12 7 2 2 2 2" xfId="22426" xr:uid="{00000000-0005-0000-0000-0000881A0000}"/>
    <cellStyle name="Normal 12 7 2 2 3" xfId="16204" xr:uid="{00000000-0005-0000-0000-0000891A0000}"/>
    <cellStyle name="Normal 12 7 2 3" xfId="10078" xr:uid="{00000000-0005-0000-0000-00008A1A0000}"/>
    <cellStyle name="Normal 12 7 2 3 2" xfId="22425" xr:uid="{00000000-0005-0000-0000-00008B1A0000}"/>
    <cellStyle name="Normal 12 7 2 4" xfId="16203" xr:uid="{00000000-0005-0000-0000-00008C1A0000}"/>
    <cellStyle name="Normal 12 7 3" xfId="3818" xr:uid="{00000000-0005-0000-0000-00008D1A0000}"/>
    <cellStyle name="Normal 12 7 3 2" xfId="3819" xr:uid="{00000000-0005-0000-0000-00008E1A0000}"/>
    <cellStyle name="Normal 12 7 3 2 2" xfId="10081" xr:uid="{00000000-0005-0000-0000-00008F1A0000}"/>
    <cellStyle name="Normal 12 7 3 2 2 2" xfId="22428" xr:uid="{00000000-0005-0000-0000-0000901A0000}"/>
    <cellStyle name="Normal 12 7 3 2 3" xfId="16206" xr:uid="{00000000-0005-0000-0000-0000911A0000}"/>
    <cellStyle name="Normal 12 7 3 3" xfId="10080" xr:uid="{00000000-0005-0000-0000-0000921A0000}"/>
    <cellStyle name="Normal 12 7 3 3 2" xfId="22427" xr:uid="{00000000-0005-0000-0000-0000931A0000}"/>
    <cellStyle name="Normal 12 7 3 4" xfId="16205" xr:uid="{00000000-0005-0000-0000-0000941A0000}"/>
    <cellStyle name="Normal 12 7 4" xfId="3820" xr:uid="{00000000-0005-0000-0000-0000951A0000}"/>
    <cellStyle name="Normal 12 7 4 2" xfId="10082" xr:uid="{00000000-0005-0000-0000-0000961A0000}"/>
    <cellStyle name="Normal 12 7 4 2 2" xfId="22429" xr:uid="{00000000-0005-0000-0000-0000971A0000}"/>
    <cellStyle name="Normal 12 7 4 3" xfId="16207" xr:uid="{00000000-0005-0000-0000-0000981A0000}"/>
    <cellStyle name="Normal 12 8" xfId="3821" xr:uid="{00000000-0005-0000-0000-0000991A0000}"/>
    <cellStyle name="Normal 12 8 2" xfId="3822" xr:uid="{00000000-0005-0000-0000-00009A1A0000}"/>
    <cellStyle name="Normal 12 8 2 2" xfId="10083" xr:uid="{00000000-0005-0000-0000-00009B1A0000}"/>
    <cellStyle name="Normal 12 8 2 2 2" xfId="22430" xr:uid="{00000000-0005-0000-0000-00009C1A0000}"/>
    <cellStyle name="Normal 12 8 2 3" xfId="16208" xr:uid="{00000000-0005-0000-0000-00009D1A0000}"/>
    <cellStyle name="Normal 12 9" xfId="3823" xr:uid="{00000000-0005-0000-0000-00009E1A0000}"/>
    <cellStyle name="Normal 12 9 2" xfId="3824" xr:uid="{00000000-0005-0000-0000-00009F1A0000}"/>
    <cellStyle name="Normal 12 9 2 2" xfId="10085" xr:uid="{00000000-0005-0000-0000-0000A01A0000}"/>
    <cellStyle name="Normal 12 9 2 2 2" xfId="22432" xr:uid="{00000000-0005-0000-0000-0000A11A0000}"/>
    <cellStyle name="Normal 12 9 2 3" xfId="16210" xr:uid="{00000000-0005-0000-0000-0000A21A0000}"/>
    <cellStyle name="Normal 12 9 3" xfId="10084" xr:uid="{00000000-0005-0000-0000-0000A31A0000}"/>
    <cellStyle name="Normal 12 9 3 2" xfId="22431" xr:uid="{00000000-0005-0000-0000-0000A41A0000}"/>
    <cellStyle name="Normal 12 9 4" xfId="16209" xr:uid="{00000000-0005-0000-0000-0000A51A0000}"/>
    <cellStyle name="Normal 12_2180" xfId="3825" xr:uid="{00000000-0005-0000-0000-0000A61A0000}"/>
    <cellStyle name="Normal 120" xfId="3826" xr:uid="{00000000-0005-0000-0000-0000A71A0000}"/>
    <cellStyle name="Normal 120 2" xfId="10086" xr:uid="{00000000-0005-0000-0000-0000A81A0000}"/>
    <cellStyle name="Normal 120 2 2" xfId="22433" xr:uid="{00000000-0005-0000-0000-0000A91A0000}"/>
    <cellStyle name="Normal 120 3" xfId="16211" xr:uid="{00000000-0005-0000-0000-0000AA1A0000}"/>
    <cellStyle name="Normal 121" xfId="3827" xr:uid="{00000000-0005-0000-0000-0000AB1A0000}"/>
    <cellStyle name="Normal 121 2" xfId="10087" xr:uid="{00000000-0005-0000-0000-0000AC1A0000}"/>
    <cellStyle name="Normal 121 2 2" xfId="22434" xr:uid="{00000000-0005-0000-0000-0000AD1A0000}"/>
    <cellStyle name="Normal 121 3" xfId="16212" xr:uid="{00000000-0005-0000-0000-0000AE1A0000}"/>
    <cellStyle name="Normal 122" xfId="3828" xr:uid="{00000000-0005-0000-0000-0000AF1A0000}"/>
    <cellStyle name="Normal 122 2" xfId="10088" xr:uid="{00000000-0005-0000-0000-0000B01A0000}"/>
    <cellStyle name="Normal 122 2 2" xfId="22435" xr:uid="{00000000-0005-0000-0000-0000B11A0000}"/>
    <cellStyle name="Normal 122 3" xfId="16213" xr:uid="{00000000-0005-0000-0000-0000B21A0000}"/>
    <cellStyle name="Normal 123" xfId="3829" xr:uid="{00000000-0005-0000-0000-0000B31A0000}"/>
    <cellStyle name="Normal 123 2" xfId="10089" xr:uid="{00000000-0005-0000-0000-0000B41A0000}"/>
    <cellStyle name="Normal 123 2 2" xfId="22436" xr:uid="{00000000-0005-0000-0000-0000B51A0000}"/>
    <cellStyle name="Normal 123 3" xfId="16214" xr:uid="{00000000-0005-0000-0000-0000B61A0000}"/>
    <cellStyle name="Normal 124" xfId="3830" xr:uid="{00000000-0005-0000-0000-0000B71A0000}"/>
    <cellStyle name="Normal 124 2" xfId="10090" xr:uid="{00000000-0005-0000-0000-0000B81A0000}"/>
    <cellStyle name="Normal 124 2 2" xfId="22437" xr:uid="{00000000-0005-0000-0000-0000B91A0000}"/>
    <cellStyle name="Normal 124 3" xfId="16215" xr:uid="{00000000-0005-0000-0000-0000BA1A0000}"/>
    <cellStyle name="Normal 125" xfId="3831" xr:uid="{00000000-0005-0000-0000-0000BB1A0000}"/>
    <cellStyle name="Normal 125 2" xfId="10091" xr:uid="{00000000-0005-0000-0000-0000BC1A0000}"/>
    <cellStyle name="Normal 125 2 2" xfId="22438" xr:uid="{00000000-0005-0000-0000-0000BD1A0000}"/>
    <cellStyle name="Normal 125 3" xfId="16216" xr:uid="{00000000-0005-0000-0000-0000BE1A0000}"/>
    <cellStyle name="Normal 126" xfId="3832" xr:uid="{00000000-0005-0000-0000-0000BF1A0000}"/>
    <cellStyle name="Normal 126 2" xfId="10092" xr:uid="{00000000-0005-0000-0000-0000C01A0000}"/>
    <cellStyle name="Normal 126 2 2" xfId="22439" xr:uid="{00000000-0005-0000-0000-0000C11A0000}"/>
    <cellStyle name="Normal 126 3" xfId="16217" xr:uid="{00000000-0005-0000-0000-0000C21A0000}"/>
    <cellStyle name="Normal 127" xfId="3833" xr:uid="{00000000-0005-0000-0000-0000C31A0000}"/>
    <cellStyle name="Normal 127 2" xfId="10093" xr:uid="{00000000-0005-0000-0000-0000C41A0000}"/>
    <cellStyle name="Normal 127 2 2" xfId="22440" xr:uid="{00000000-0005-0000-0000-0000C51A0000}"/>
    <cellStyle name="Normal 127 3" xfId="16218" xr:uid="{00000000-0005-0000-0000-0000C61A0000}"/>
    <cellStyle name="Normal 128" xfId="3834" xr:uid="{00000000-0005-0000-0000-0000C71A0000}"/>
    <cellStyle name="Normal 128 2" xfId="3835" xr:uid="{00000000-0005-0000-0000-0000C81A0000}"/>
    <cellStyle name="Normal 128 3" xfId="3836" xr:uid="{00000000-0005-0000-0000-0000C91A0000}"/>
    <cellStyle name="Normal 128 4" xfId="16219" xr:uid="{00000000-0005-0000-0000-0000CA1A0000}"/>
    <cellStyle name="Normal 129" xfId="3837" xr:uid="{00000000-0005-0000-0000-0000CB1A0000}"/>
    <cellStyle name="Normal 129 2" xfId="10094" xr:uid="{00000000-0005-0000-0000-0000CC1A0000}"/>
    <cellStyle name="Normal 129 2 2" xfId="22441" xr:uid="{00000000-0005-0000-0000-0000CD1A0000}"/>
    <cellStyle name="Normal 129 3" xfId="16220" xr:uid="{00000000-0005-0000-0000-0000CE1A0000}"/>
    <cellStyle name="Normal 13" xfId="3838" xr:uid="{00000000-0005-0000-0000-0000CF1A0000}"/>
    <cellStyle name="Normal 13 10" xfId="3839" xr:uid="{00000000-0005-0000-0000-0000D01A0000}"/>
    <cellStyle name="Normal 13 10 2" xfId="10096" xr:uid="{00000000-0005-0000-0000-0000D11A0000}"/>
    <cellStyle name="Normal 13 10 2 2" xfId="22443" xr:uid="{00000000-0005-0000-0000-0000D21A0000}"/>
    <cellStyle name="Normal 13 10 3" xfId="16222" xr:uid="{00000000-0005-0000-0000-0000D31A0000}"/>
    <cellStyle name="Normal 13 11" xfId="10095" xr:uid="{00000000-0005-0000-0000-0000D41A0000}"/>
    <cellStyle name="Normal 13 11 2" xfId="22442" xr:uid="{00000000-0005-0000-0000-0000D51A0000}"/>
    <cellStyle name="Normal 13 12" xfId="16221" xr:uid="{00000000-0005-0000-0000-0000D61A0000}"/>
    <cellStyle name="Normal 13 2" xfId="3840" xr:uid="{00000000-0005-0000-0000-0000D71A0000}"/>
    <cellStyle name="Normal 13 2 2" xfId="3841" xr:uid="{00000000-0005-0000-0000-0000D81A0000}"/>
    <cellStyle name="Normal 13 2 2 2" xfId="3842" xr:uid="{00000000-0005-0000-0000-0000D91A0000}"/>
    <cellStyle name="Normal 13 2 2 2 2" xfId="3843" xr:uid="{00000000-0005-0000-0000-0000DA1A0000}"/>
    <cellStyle name="Normal 13 2 2 2 2 2" xfId="3844" xr:uid="{00000000-0005-0000-0000-0000DB1A0000}"/>
    <cellStyle name="Normal 13 2 2 2 2 2 2" xfId="3845" xr:uid="{00000000-0005-0000-0000-0000DC1A0000}"/>
    <cellStyle name="Normal 13 2 2 2 2 2 2 2" xfId="3846" xr:uid="{00000000-0005-0000-0000-0000DD1A0000}"/>
    <cellStyle name="Normal 13 2 2 2 2 2 2 2 2" xfId="10101" xr:uid="{00000000-0005-0000-0000-0000DE1A0000}"/>
    <cellStyle name="Normal 13 2 2 2 2 2 2 2 2 2" xfId="22448" xr:uid="{00000000-0005-0000-0000-0000DF1A0000}"/>
    <cellStyle name="Normal 13 2 2 2 2 2 2 2 3" xfId="16226" xr:uid="{00000000-0005-0000-0000-0000E01A0000}"/>
    <cellStyle name="Normal 13 2 2 2 2 2 2 3" xfId="10100" xr:uid="{00000000-0005-0000-0000-0000E11A0000}"/>
    <cellStyle name="Normal 13 2 2 2 2 2 2 3 2" xfId="22447" xr:uid="{00000000-0005-0000-0000-0000E21A0000}"/>
    <cellStyle name="Normal 13 2 2 2 2 2 2 4" xfId="16225" xr:uid="{00000000-0005-0000-0000-0000E31A0000}"/>
    <cellStyle name="Normal 13 2 2 2 2 2 3" xfId="3847" xr:uid="{00000000-0005-0000-0000-0000E41A0000}"/>
    <cellStyle name="Normal 13 2 2 2 2 2 3 2" xfId="3848" xr:uid="{00000000-0005-0000-0000-0000E51A0000}"/>
    <cellStyle name="Normal 13 2 2 2 2 2 3 2 2" xfId="10103" xr:uid="{00000000-0005-0000-0000-0000E61A0000}"/>
    <cellStyle name="Normal 13 2 2 2 2 2 3 2 2 2" xfId="22450" xr:uid="{00000000-0005-0000-0000-0000E71A0000}"/>
    <cellStyle name="Normal 13 2 2 2 2 2 3 2 3" xfId="16228" xr:uid="{00000000-0005-0000-0000-0000E81A0000}"/>
    <cellStyle name="Normal 13 2 2 2 2 2 3 3" xfId="10102" xr:uid="{00000000-0005-0000-0000-0000E91A0000}"/>
    <cellStyle name="Normal 13 2 2 2 2 2 3 3 2" xfId="22449" xr:uid="{00000000-0005-0000-0000-0000EA1A0000}"/>
    <cellStyle name="Normal 13 2 2 2 2 2 3 4" xfId="16227" xr:uid="{00000000-0005-0000-0000-0000EB1A0000}"/>
    <cellStyle name="Normal 13 2 2 2 2 2 4" xfId="3849" xr:uid="{00000000-0005-0000-0000-0000EC1A0000}"/>
    <cellStyle name="Normal 13 2 2 2 2 2 4 2" xfId="10104" xr:uid="{00000000-0005-0000-0000-0000ED1A0000}"/>
    <cellStyle name="Normal 13 2 2 2 2 2 4 2 2" xfId="22451" xr:uid="{00000000-0005-0000-0000-0000EE1A0000}"/>
    <cellStyle name="Normal 13 2 2 2 2 2 4 3" xfId="16229" xr:uid="{00000000-0005-0000-0000-0000EF1A0000}"/>
    <cellStyle name="Normal 13 2 2 2 2 2 5" xfId="10099" xr:uid="{00000000-0005-0000-0000-0000F01A0000}"/>
    <cellStyle name="Normal 13 2 2 2 2 2 5 2" xfId="22446" xr:uid="{00000000-0005-0000-0000-0000F11A0000}"/>
    <cellStyle name="Normal 13 2 2 2 2 2 6" xfId="16224" xr:uid="{00000000-0005-0000-0000-0000F21A0000}"/>
    <cellStyle name="Normal 13 2 2 2 2 3" xfId="3850" xr:uid="{00000000-0005-0000-0000-0000F31A0000}"/>
    <cellStyle name="Normal 13 2 2 2 2 3 2" xfId="3851" xr:uid="{00000000-0005-0000-0000-0000F41A0000}"/>
    <cellStyle name="Normal 13 2 2 2 2 3 2 2" xfId="10106" xr:uid="{00000000-0005-0000-0000-0000F51A0000}"/>
    <cellStyle name="Normal 13 2 2 2 2 3 2 2 2" xfId="22453" xr:uid="{00000000-0005-0000-0000-0000F61A0000}"/>
    <cellStyle name="Normal 13 2 2 2 2 3 2 3" xfId="16231" xr:uid="{00000000-0005-0000-0000-0000F71A0000}"/>
    <cellStyle name="Normal 13 2 2 2 2 3 3" xfId="10105" xr:uid="{00000000-0005-0000-0000-0000F81A0000}"/>
    <cellStyle name="Normal 13 2 2 2 2 3 3 2" xfId="22452" xr:uid="{00000000-0005-0000-0000-0000F91A0000}"/>
    <cellStyle name="Normal 13 2 2 2 2 3 4" xfId="16230" xr:uid="{00000000-0005-0000-0000-0000FA1A0000}"/>
    <cellStyle name="Normal 13 2 2 2 2 4" xfId="3852" xr:uid="{00000000-0005-0000-0000-0000FB1A0000}"/>
    <cellStyle name="Normal 13 2 2 2 2 4 2" xfId="3853" xr:uid="{00000000-0005-0000-0000-0000FC1A0000}"/>
    <cellStyle name="Normal 13 2 2 2 2 4 2 2" xfId="10108" xr:uid="{00000000-0005-0000-0000-0000FD1A0000}"/>
    <cellStyle name="Normal 13 2 2 2 2 4 2 2 2" xfId="22455" xr:uid="{00000000-0005-0000-0000-0000FE1A0000}"/>
    <cellStyle name="Normal 13 2 2 2 2 4 2 3" xfId="16233" xr:uid="{00000000-0005-0000-0000-0000FF1A0000}"/>
    <cellStyle name="Normal 13 2 2 2 2 4 3" xfId="10107" xr:uid="{00000000-0005-0000-0000-0000001B0000}"/>
    <cellStyle name="Normal 13 2 2 2 2 4 3 2" xfId="22454" xr:uid="{00000000-0005-0000-0000-0000011B0000}"/>
    <cellStyle name="Normal 13 2 2 2 2 4 4" xfId="16232" xr:uid="{00000000-0005-0000-0000-0000021B0000}"/>
    <cellStyle name="Normal 13 2 2 2 2 5" xfId="3854" xr:uid="{00000000-0005-0000-0000-0000031B0000}"/>
    <cellStyle name="Normal 13 2 2 2 2 5 2" xfId="10109" xr:uid="{00000000-0005-0000-0000-0000041B0000}"/>
    <cellStyle name="Normal 13 2 2 2 2 5 2 2" xfId="22456" xr:uid="{00000000-0005-0000-0000-0000051B0000}"/>
    <cellStyle name="Normal 13 2 2 2 2 5 3" xfId="16234" xr:uid="{00000000-0005-0000-0000-0000061B0000}"/>
    <cellStyle name="Normal 13 2 2 2 2 6" xfId="10098" xr:uid="{00000000-0005-0000-0000-0000071B0000}"/>
    <cellStyle name="Normal 13 2 2 2 2 6 2" xfId="22445" xr:uid="{00000000-0005-0000-0000-0000081B0000}"/>
    <cellStyle name="Normal 13 2 2 2 2 7" xfId="16223" xr:uid="{00000000-0005-0000-0000-0000091B0000}"/>
    <cellStyle name="Normal 13 2 2 2 3" xfId="3855" xr:uid="{00000000-0005-0000-0000-00000A1B0000}"/>
    <cellStyle name="Normal 13 2 2 2 3 2" xfId="3856" xr:uid="{00000000-0005-0000-0000-00000B1B0000}"/>
    <cellStyle name="Normal 13 2 2 2 3 2 2" xfId="3857" xr:uid="{00000000-0005-0000-0000-00000C1B0000}"/>
    <cellStyle name="Normal 13 2 2 2 3 2 2 2" xfId="10112" xr:uid="{00000000-0005-0000-0000-00000D1B0000}"/>
    <cellStyle name="Normal 13 2 2 2 3 2 2 2 2" xfId="22459" xr:uid="{00000000-0005-0000-0000-00000E1B0000}"/>
    <cellStyle name="Normal 13 2 2 2 3 2 2 3" xfId="16237" xr:uid="{00000000-0005-0000-0000-00000F1B0000}"/>
    <cellStyle name="Normal 13 2 2 2 3 2 3" xfId="10111" xr:uid="{00000000-0005-0000-0000-0000101B0000}"/>
    <cellStyle name="Normal 13 2 2 2 3 2 3 2" xfId="22458" xr:uid="{00000000-0005-0000-0000-0000111B0000}"/>
    <cellStyle name="Normal 13 2 2 2 3 2 4" xfId="16236" xr:uid="{00000000-0005-0000-0000-0000121B0000}"/>
    <cellStyle name="Normal 13 2 2 2 3 3" xfId="3858" xr:uid="{00000000-0005-0000-0000-0000131B0000}"/>
    <cellStyle name="Normal 13 2 2 2 3 3 2" xfId="3859" xr:uid="{00000000-0005-0000-0000-0000141B0000}"/>
    <cellStyle name="Normal 13 2 2 2 3 3 2 2" xfId="10114" xr:uid="{00000000-0005-0000-0000-0000151B0000}"/>
    <cellStyle name="Normal 13 2 2 2 3 3 2 2 2" xfId="22461" xr:uid="{00000000-0005-0000-0000-0000161B0000}"/>
    <cellStyle name="Normal 13 2 2 2 3 3 2 3" xfId="16239" xr:uid="{00000000-0005-0000-0000-0000171B0000}"/>
    <cellStyle name="Normal 13 2 2 2 3 3 3" xfId="10113" xr:uid="{00000000-0005-0000-0000-0000181B0000}"/>
    <cellStyle name="Normal 13 2 2 2 3 3 3 2" xfId="22460" xr:uid="{00000000-0005-0000-0000-0000191B0000}"/>
    <cellStyle name="Normal 13 2 2 2 3 3 4" xfId="16238" xr:uid="{00000000-0005-0000-0000-00001A1B0000}"/>
    <cellStyle name="Normal 13 2 2 2 3 4" xfId="3860" xr:uid="{00000000-0005-0000-0000-00001B1B0000}"/>
    <cellStyle name="Normal 13 2 2 2 3 4 2" xfId="10115" xr:uid="{00000000-0005-0000-0000-00001C1B0000}"/>
    <cellStyle name="Normal 13 2 2 2 3 4 2 2" xfId="22462" xr:uid="{00000000-0005-0000-0000-00001D1B0000}"/>
    <cellStyle name="Normal 13 2 2 2 3 4 3" xfId="16240" xr:uid="{00000000-0005-0000-0000-00001E1B0000}"/>
    <cellStyle name="Normal 13 2 2 2 3 5" xfId="10110" xr:uid="{00000000-0005-0000-0000-00001F1B0000}"/>
    <cellStyle name="Normal 13 2 2 2 3 5 2" xfId="22457" xr:uid="{00000000-0005-0000-0000-0000201B0000}"/>
    <cellStyle name="Normal 13 2 2 2 3 6" xfId="16235" xr:uid="{00000000-0005-0000-0000-0000211B0000}"/>
    <cellStyle name="Normal 13 2 2 2 4" xfId="3861" xr:uid="{00000000-0005-0000-0000-0000221B0000}"/>
    <cellStyle name="Normal 13 2 2 2 4 2" xfId="3862" xr:uid="{00000000-0005-0000-0000-0000231B0000}"/>
    <cellStyle name="Normal 13 2 2 2 4 2 2" xfId="10117" xr:uid="{00000000-0005-0000-0000-0000241B0000}"/>
    <cellStyle name="Normal 13 2 2 2 4 2 2 2" xfId="22464" xr:uid="{00000000-0005-0000-0000-0000251B0000}"/>
    <cellStyle name="Normal 13 2 2 2 4 2 3" xfId="16242" xr:uid="{00000000-0005-0000-0000-0000261B0000}"/>
    <cellStyle name="Normal 13 2 2 2 4 3" xfId="10116" xr:uid="{00000000-0005-0000-0000-0000271B0000}"/>
    <cellStyle name="Normal 13 2 2 2 4 3 2" xfId="22463" xr:uid="{00000000-0005-0000-0000-0000281B0000}"/>
    <cellStyle name="Normal 13 2 2 2 4 4" xfId="16241" xr:uid="{00000000-0005-0000-0000-0000291B0000}"/>
    <cellStyle name="Normal 13 2 2 2 5" xfId="3863" xr:uid="{00000000-0005-0000-0000-00002A1B0000}"/>
    <cellStyle name="Normal 13 2 2 2 5 2" xfId="3864" xr:uid="{00000000-0005-0000-0000-00002B1B0000}"/>
    <cellStyle name="Normal 13 2 2 2 5 2 2" xfId="10119" xr:uid="{00000000-0005-0000-0000-00002C1B0000}"/>
    <cellStyle name="Normal 13 2 2 2 5 2 2 2" xfId="22466" xr:uid="{00000000-0005-0000-0000-00002D1B0000}"/>
    <cellStyle name="Normal 13 2 2 2 5 2 3" xfId="16244" xr:uid="{00000000-0005-0000-0000-00002E1B0000}"/>
    <cellStyle name="Normal 13 2 2 2 5 3" xfId="10118" xr:uid="{00000000-0005-0000-0000-00002F1B0000}"/>
    <cellStyle name="Normal 13 2 2 2 5 3 2" xfId="22465" xr:uid="{00000000-0005-0000-0000-0000301B0000}"/>
    <cellStyle name="Normal 13 2 2 2 5 4" xfId="16243" xr:uid="{00000000-0005-0000-0000-0000311B0000}"/>
    <cellStyle name="Normal 13 2 2 2 6" xfId="3865" xr:uid="{00000000-0005-0000-0000-0000321B0000}"/>
    <cellStyle name="Normal 13 2 2 2 6 2" xfId="10120" xr:uid="{00000000-0005-0000-0000-0000331B0000}"/>
    <cellStyle name="Normal 13 2 2 2 6 2 2" xfId="22467" xr:uid="{00000000-0005-0000-0000-0000341B0000}"/>
    <cellStyle name="Normal 13 2 2 2 6 3" xfId="16245" xr:uid="{00000000-0005-0000-0000-0000351B0000}"/>
    <cellStyle name="Normal 13 2 2 3" xfId="3866" xr:uid="{00000000-0005-0000-0000-0000361B0000}"/>
    <cellStyle name="Normal 13 2 2 3 2" xfId="3867" xr:uid="{00000000-0005-0000-0000-0000371B0000}"/>
    <cellStyle name="Normal 13 2 2 3 2 2" xfId="3868" xr:uid="{00000000-0005-0000-0000-0000381B0000}"/>
    <cellStyle name="Normal 13 2 2 3 2 2 2" xfId="3869" xr:uid="{00000000-0005-0000-0000-0000391B0000}"/>
    <cellStyle name="Normal 13 2 2 3 2 2 2 2" xfId="10123" xr:uid="{00000000-0005-0000-0000-00003A1B0000}"/>
    <cellStyle name="Normal 13 2 2 3 2 2 2 2 2" xfId="22470" xr:uid="{00000000-0005-0000-0000-00003B1B0000}"/>
    <cellStyle name="Normal 13 2 2 3 2 2 2 3" xfId="16248" xr:uid="{00000000-0005-0000-0000-00003C1B0000}"/>
    <cellStyle name="Normal 13 2 2 3 2 2 3" xfId="10122" xr:uid="{00000000-0005-0000-0000-00003D1B0000}"/>
    <cellStyle name="Normal 13 2 2 3 2 2 3 2" xfId="22469" xr:uid="{00000000-0005-0000-0000-00003E1B0000}"/>
    <cellStyle name="Normal 13 2 2 3 2 2 4" xfId="16247" xr:uid="{00000000-0005-0000-0000-00003F1B0000}"/>
    <cellStyle name="Normal 13 2 2 3 2 3" xfId="3870" xr:uid="{00000000-0005-0000-0000-0000401B0000}"/>
    <cellStyle name="Normal 13 2 2 3 2 3 2" xfId="3871" xr:uid="{00000000-0005-0000-0000-0000411B0000}"/>
    <cellStyle name="Normal 13 2 2 3 2 3 2 2" xfId="10125" xr:uid="{00000000-0005-0000-0000-0000421B0000}"/>
    <cellStyle name="Normal 13 2 2 3 2 3 2 2 2" xfId="22472" xr:uid="{00000000-0005-0000-0000-0000431B0000}"/>
    <cellStyle name="Normal 13 2 2 3 2 3 2 3" xfId="16250" xr:uid="{00000000-0005-0000-0000-0000441B0000}"/>
    <cellStyle name="Normal 13 2 2 3 2 3 3" xfId="10124" xr:uid="{00000000-0005-0000-0000-0000451B0000}"/>
    <cellStyle name="Normal 13 2 2 3 2 3 3 2" xfId="22471" xr:uid="{00000000-0005-0000-0000-0000461B0000}"/>
    <cellStyle name="Normal 13 2 2 3 2 3 4" xfId="16249" xr:uid="{00000000-0005-0000-0000-0000471B0000}"/>
    <cellStyle name="Normal 13 2 2 3 2 4" xfId="3872" xr:uid="{00000000-0005-0000-0000-0000481B0000}"/>
    <cellStyle name="Normal 13 2 2 3 2 4 2" xfId="10126" xr:uid="{00000000-0005-0000-0000-0000491B0000}"/>
    <cellStyle name="Normal 13 2 2 3 2 4 2 2" xfId="22473" xr:uid="{00000000-0005-0000-0000-00004A1B0000}"/>
    <cellStyle name="Normal 13 2 2 3 2 4 3" xfId="16251" xr:uid="{00000000-0005-0000-0000-00004B1B0000}"/>
    <cellStyle name="Normal 13 2 2 3 2 5" xfId="10121" xr:uid="{00000000-0005-0000-0000-00004C1B0000}"/>
    <cellStyle name="Normal 13 2 2 3 2 5 2" xfId="22468" xr:uid="{00000000-0005-0000-0000-00004D1B0000}"/>
    <cellStyle name="Normal 13 2 2 3 2 6" xfId="16246" xr:uid="{00000000-0005-0000-0000-00004E1B0000}"/>
    <cellStyle name="Normal 13 2 2 3 3" xfId="3873" xr:uid="{00000000-0005-0000-0000-00004F1B0000}"/>
    <cellStyle name="Normal 13 2 2 3 3 2" xfId="3874" xr:uid="{00000000-0005-0000-0000-0000501B0000}"/>
    <cellStyle name="Normal 13 2 2 3 3 2 2" xfId="10128" xr:uid="{00000000-0005-0000-0000-0000511B0000}"/>
    <cellStyle name="Normal 13 2 2 3 3 2 2 2" xfId="22475" xr:uid="{00000000-0005-0000-0000-0000521B0000}"/>
    <cellStyle name="Normal 13 2 2 3 3 2 3" xfId="16253" xr:uid="{00000000-0005-0000-0000-0000531B0000}"/>
    <cellStyle name="Normal 13 2 2 3 3 3" xfId="10127" xr:uid="{00000000-0005-0000-0000-0000541B0000}"/>
    <cellStyle name="Normal 13 2 2 3 3 3 2" xfId="22474" xr:uid="{00000000-0005-0000-0000-0000551B0000}"/>
    <cellStyle name="Normal 13 2 2 3 3 4" xfId="16252" xr:uid="{00000000-0005-0000-0000-0000561B0000}"/>
    <cellStyle name="Normal 13 2 2 3 4" xfId="3875" xr:uid="{00000000-0005-0000-0000-0000571B0000}"/>
    <cellStyle name="Normal 13 2 2 3 4 2" xfId="3876" xr:uid="{00000000-0005-0000-0000-0000581B0000}"/>
    <cellStyle name="Normal 13 2 2 3 4 2 2" xfId="10130" xr:uid="{00000000-0005-0000-0000-0000591B0000}"/>
    <cellStyle name="Normal 13 2 2 3 4 2 2 2" xfId="22477" xr:uid="{00000000-0005-0000-0000-00005A1B0000}"/>
    <cellStyle name="Normal 13 2 2 3 4 2 3" xfId="16255" xr:uid="{00000000-0005-0000-0000-00005B1B0000}"/>
    <cellStyle name="Normal 13 2 2 3 4 3" xfId="10129" xr:uid="{00000000-0005-0000-0000-00005C1B0000}"/>
    <cellStyle name="Normal 13 2 2 3 4 3 2" xfId="22476" xr:uid="{00000000-0005-0000-0000-00005D1B0000}"/>
    <cellStyle name="Normal 13 2 2 3 4 4" xfId="16254" xr:uid="{00000000-0005-0000-0000-00005E1B0000}"/>
    <cellStyle name="Normal 13 2 2 3 5" xfId="3877" xr:uid="{00000000-0005-0000-0000-00005F1B0000}"/>
    <cellStyle name="Normal 13 2 2 3 5 2" xfId="10131" xr:uid="{00000000-0005-0000-0000-0000601B0000}"/>
    <cellStyle name="Normal 13 2 2 3 5 2 2" xfId="22478" xr:uid="{00000000-0005-0000-0000-0000611B0000}"/>
    <cellStyle name="Normal 13 2 2 3 5 3" xfId="16256" xr:uid="{00000000-0005-0000-0000-0000621B0000}"/>
    <cellStyle name="Normal 13 2 2 4" xfId="3878" xr:uid="{00000000-0005-0000-0000-0000631B0000}"/>
    <cellStyle name="Normal 13 2 2 4 2" xfId="3879" xr:uid="{00000000-0005-0000-0000-0000641B0000}"/>
    <cellStyle name="Normal 13 2 2 4 2 2" xfId="3880" xr:uid="{00000000-0005-0000-0000-0000651B0000}"/>
    <cellStyle name="Normal 13 2 2 4 2 2 2" xfId="10134" xr:uid="{00000000-0005-0000-0000-0000661B0000}"/>
    <cellStyle name="Normal 13 2 2 4 2 2 2 2" xfId="22481" xr:uid="{00000000-0005-0000-0000-0000671B0000}"/>
    <cellStyle name="Normal 13 2 2 4 2 2 3" xfId="16259" xr:uid="{00000000-0005-0000-0000-0000681B0000}"/>
    <cellStyle name="Normal 13 2 2 4 2 3" xfId="10133" xr:uid="{00000000-0005-0000-0000-0000691B0000}"/>
    <cellStyle name="Normal 13 2 2 4 2 3 2" xfId="22480" xr:uid="{00000000-0005-0000-0000-00006A1B0000}"/>
    <cellStyle name="Normal 13 2 2 4 2 4" xfId="16258" xr:uid="{00000000-0005-0000-0000-00006B1B0000}"/>
    <cellStyle name="Normal 13 2 2 4 3" xfId="3881" xr:uid="{00000000-0005-0000-0000-00006C1B0000}"/>
    <cellStyle name="Normal 13 2 2 4 3 2" xfId="3882" xr:uid="{00000000-0005-0000-0000-00006D1B0000}"/>
    <cellStyle name="Normal 13 2 2 4 3 2 2" xfId="10136" xr:uid="{00000000-0005-0000-0000-00006E1B0000}"/>
    <cellStyle name="Normal 13 2 2 4 3 2 2 2" xfId="22483" xr:uid="{00000000-0005-0000-0000-00006F1B0000}"/>
    <cellStyle name="Normal 13 2 2 4 3 2 3" xfId="16261" xr:uid="{00000000-0005-0000-0000-0000701B0000}"/>
    <cellStyle name="Normal 13 2 2 4 3 3" xfId="10135" xr:uid="{00000000-0005-0000-0000-0000711B0000}"/>
    <cellStyle name="Normal 13 2 2 4 3 3 2" xfId="22482" xr:uid="{00000000-0005-0000-0000-0000721B0000}"/>
    <cellStyle name="Normal 13 2 2 4 3 4" xfId="16260" xr:uid="{00000000-0005-0000-0000-0000731B0000}"/>
    <cellStyle name="Normal 13 2 2 4 4" xfId="3883" xr:uid="{00000000-0005-0000-0000-0000741B0000}"/>
    <cellStyle name="Normal 13 2 2 4 4 2" xfId="10137" xr:uid="{00000000-0005-0000-0000-0000751B0000}"/>
    <cellStyle name="Normal 13 2 2 4 4 2 2" xfId="22484" xr:uid="{00000000-0005-0000-0000-0000761B0000}"/>
    <cellStyle name="Normal 13 2 2 4 4 3" xfId="16262" xr:uid="{00000000-0005-0000-0000-0000771B0000}"/>
    <cellStyle name="Normal 13 2 2 4 5" xfId="10132" xr:uid="{00000000-0005-0000-0000-0000781B0000}"/>
    <cellStyle name="Normal 13 2 2 4 5 2" xfId="22479" xr:uid="{00000000-0005-0000-0000-0000791B0000}"/>
    <cellStyle name="Normal 13 2 2 4 6" xfId="16257" xr:uid="{00000000-0005-0000-0000-00007A1B0000}"/>
    <cellStyle name="Normal 13 2 2 5" xfId="3884" xr:uid="{00000000-0005-0000-0000-00007B1B0000}"/>
    <cellStyle name="Normal 13 2 2 5 2" xfId="3885" xr:uid="{00000000-0005-0000-0000-00007C1B0000}"/>
    <cellStyle name="Normal 13 2 2 5 2 2" xfId="10139" xr:uid="{00000000-0005-0000-0000-00007D1B0000}"/>
    <cellStyle name="Normal 13 2 2 5 2 2 2" xfId="22486" xr:uid="{00000000-0005-0000-0000-00007E1B0000}"/>
    <cellStyle name="Normal 13 2 2 5 2 3" xfId="16264" xr:uid="{00000000-0005-0000-0000-00007F1B0000}"/>
    <cellStyle name="Normal 13 2 2 5 3" xfId="10138" xr:uid="{00000000-0005-0000-0000-0000801B0000}"/>
    <cellStyle name="Normal 13 2 2 5 3 2" xfId="22485" xr:uid="{00000000-0005-0000-0000-0000811B0000}"/>
    <cellStyle name="Normal 13 2 2 5 4" xfId="16263" xr:uid="{00000000-0005-0000-0000-0000821B0000}"/>
    <cellStyle name="Normal 13 2 2 6" xfId="3886" xr:uid="{00000000-0005-0000-0000-0000831B0000}"/>
    <cellStyle name="Normal 13 2 2 6 2" xfId="3887" xr:uid="{00000000-0005-0000-0000-0000841B0000}"/>
    <cellStyle name="Normal 13 2 2 6 2 2" xfId="10141" xr:uid="{00000000-0005-0000-0000-0000851B0000}"/>
    <cellStyle name="Normal 13 2 2 6 2 2 2" xfId="22488" xr:uid="{00000000-0005-0000-0000-0000861B0000}"/>
    <cellStyle name="Normal 13 2 2 6 2 3" xfId="16266" xr:uid="{00000000-0005-0000-0000-0000871B0000}"/>
    <cellStyle name="Normal 13 2 2 6 3" xfId="10140" xr:uid="{00000000-0005-0000-0000-0000881B0000}"/>
    <cellStyle name="Normal 13 2 2 6 3 2" xfId="22487" xr:uid="{00000000-0005-0000-0000-0000891B0000}"/>
    <cellStyle name="Normal 13 2 2 6 4" xfId="16265" xr:uid="{00000000-0005-0000-0000-00008A1B0000}"/>
    <cellStyle name="Normal 13 2 2 7" xfId="3888" xr:uid="{00000000-0005-0000-0000-00008B1B0000}"/>
    <cellStyle name="Normal 13 2 2 7 2" xfId="10142" xr:uid="{00000000-0005-0000-0000-00008C1B0000}"/>
    <cellStyle name="Normal 13 2 2 7 2 2" xfId="22489" xr:uid="{00000000-0005-0000-0000-00008D1B0000}"/>
    <cellStyle name="Normal 13 2 2 7 3" xfId="16267" xr:uid="{00000000-0005-0000-0000-00008E1B0000}"/>
    <cellStyle name="Normal 13 2 2 8" xfId="3889" xr:uid="{00000000-0005-0000-0000-00008F1B0000}"/>
    <cellStyle name="Normal 13 2 2 8 2" xfId="16268" xr:uid="{00000000-0005-0000-0000-0000901B0000}"/>
    <cellStyle name="Normal 13 2 2 9" xfId="10097" xr:uid="{00000000-0005-0000-0000-0000911B0000}"/>
    <cellStyle name="Normal 13 2 2 9 2" xfId="22444" xr:uid="{00000000-0005-0000-0000-0000921B0000}"/>
    <cellStyle name="Normal 13 2 3" xfId="3890" xr:uid="{00000000-0005-0000-0000-0000931B0000}"/>
    <cellStyle name="Normal 13 2 3 2" xfId="3891" xr:uid="{00000000-0005-0000-0000-0000941B0000}"/>
    <cellStyle name="Normal 13 2 3 2 2" xfId="3892" xr:uid="{00000000-0005-0000-0000-0000951B0000}"/>
    <cellStyle name="Normal 13 2 3 2 2 2" xfId="3893" xr:uid="{00000000-0005-0000-0000-0000961B0000}"/>
    <cellStyle name="Normal 13 2 3 2 2 2 2" xfId="3894" xr:uid="{00000000-0005-0000-0000-0000971B0000}"/>
    <cellStyle name="Normal 13 2 3 2 2 2 2 2" xfId="10147" xr:uid="{00000000-0005-0000-0000-0000981B0000}"/>
    <cellStyle name="Normal 13 2 3 2 2 2 2 2 2" xfId="22494" xr:uid="{00000000-0005-0000-0000-0000991B0000}"/>
    <cellStyle name="Normal 13 2 3 2 2 2 2 3" xfId="16272" xr:uid="{00000000-0005-0000-0000-00009A1B0000}"/>
    <cellStyle name="Normal 13 2 3 2 2 2 3" xfId="10146" xr:uid="{00000000-0005-0000-0000-00009B1B0000}"/>
    <cellStyle name="Normal 13 2 3 2 2 2 3 2" xfId="22493" xr:uid="{00000000-0005-0000-0000-00009C1B0000}"/>
    <cellStyle name="Normal 13 2 3 2 2 2 4" xfId="16271" xr:uid="{00000000-0005-0000-0000-00009D1B0000}"/>
    <cellStyle name="Normal 13 2 3 2 2 3" xfId="3895" xr:uid="{00000000-0005-0000-0000-00009E1B0000}"/>
    <cellStyle name="Normal 13 2 3 2 2 3 2" xfId="3896" xr:uid="{00000000-0005-0000-0000-00009F1B0000}"/>
    <cellStyle name="Normal 13 2 3 2 2 3 2 2" xfId="10149" xr:uid="{00000000-0005-0000-0000-0000A01B0000}"/>
    <cellStyle name="Normal 13 2 3 2 2 3 2 2 2" xfId="22496" xr:uid="{00000000-0005-0000-0000-0000A11B0000}"/>
    <cellStyle name="Normal 13 2 3 2 2 3 2 3" xfId="16274" xr:uid="{00000000-0005-0000-0000-0000A21B0000}"/>
    <cellStyle name="Normal 13 2 3 2 2 3 3" xfId="10148" xr:uid="{00000000-0005-0000-0000-0000A31B0000}"/>
    <cellStyle name="Normal 13 2 3 2 2 3 3 2" xfId="22495" xr:uid="{00000000-0005-0000-0000-0000A41B0000}"/>
    <cellStyle name="Normal 13 2 3 2 2 3 4" xfId="16273" xr:uid="{00000000-0005-0000-0000-0000A51B0000}"/>
    <cellStyle name="Normal 13 2 3 2 2 4" xfId="3897" xr:uid="{00000000-0005-0000-0000-0000A61B0000}"/>
    <cellStyle name="Normal 13 2 3 2 2 4 2" xfId="10150" xr:uid="{00000000-0005-0000-0000-0000A71B0000}"/>
    <cellStyle name="Normal 13 2 3 2 2 4 2 2" xfId="22497" xr:uid="{00000000-0005-0000-0000-0000A81B0000}"/>
    <cellStyle name="Normal 13 2 3 2 2 4 3" xfId="16275" xr:uid="{00000000-0005-0000-0000-0000A91B0000}"/>
    <cellStyle name="Normal 13 2 3 2 2 5" xfId="10145" xr:uid="{00000000-0005-0000-0000-0000AA1B0000}"/>
    <cellStyle name="Normal 13 2 3 2 2 5 2" xfId="22492" xr:uid="{00000000-0005-0000-0000-0000AB1B0000}"/>
    <cellStyle name="Normal 13 2 3 2 2 6" xfId="16270" xr:uid="{00000000-0005-0000-0000-0000AC1B0000}"/>
    <cellStyle name="Normal 13 2 3 2 3" xfId="3898" xr:uid="{00000000-0005-0000-0000-0000AD1B0000}"/>
    <cellStyle name="Normal 13 2 3 2 3 2" xfId="3899" xr:uid="{00000000-0005-0000-0000-0000AE1B0000}"/>
    <cellStyle name="Normal 13 2 3 2 3 2 2" xfId="10152" xr:uid="{00000000-0005-0000-0000-0000AF1B0000}"/>
    <cellStyle name="Normal 13 2 3 2 3 2 2 2" xfId="22499" xr:uid="{00000000-0005-0000-0000-0000B01B0000}"/>
    <cellStyle name="Normal 13 2 3 2 3 2 3" xfId="16277" xr:uid="{00000000-0005-0000-0000-0000B11B0000}"/>
    <cellStyle name="Normal 13 2 3 2 3 3" xfId="10151" xr:uid="{00000000-0005-0000-0000-0000B21B0000}"/>
    <cellStyle name="Normal 13 2 3 2 3 3 2" xfId="22498" xr:uid="{00000000-0005-0000-0000-0000B31B0000}"/>
    <cellStyle name="Normal 13 2 3 2 3 4" xfId="16276" xr:uid="{00000000-0005-0000-0000-0000B41B0000}"/>
    <cellStyle name="Normal 13 2 3 2 4" xfId="3900" xr:uid="{00000000-0005-0000-0000-0000B51B0000}"/>
    <cellStyle name="Normal 13 2 3 2 4 2" xfId="3901" xr:uid="{00000000-0005-0000-0000-0000B61B0000}"/>
    <cellStyle name="Normal 13 2 3 2 4 2 2" xfId="10154" xr:uid="{00000000-0005-0000-0000-0000B71B0000}"/>
    <cellStyle name="Normal 13 2 3 2 4 2 2 2" xfId="22501" xr:uid="{00000000-0005-0000-0000-0000B81B0000}"/>
    <cellStyle name="Normal 13 2 3 2 4 2 3" xfId="16279" xr:uid="{00000000-0005-0000-0000-0000B91B0000}"/>
    <cellStyle name="Normal 13 2 3 2 4 3" xfId="10153" xr:uid="{00000000-0005-0000-0000-0000BA1B0000}"/>
    <cellStyle name="Normal 13 2 3 2 4 3 2" xfId="22500" xr:uid="{00000000-0005-0000-0000-0000BB1B0000}"/>
    <cellStyle name="Normal 13 2 3 2 4 4" xfId="16278" xr:uid="{00000000-0005-0000-0000-0000BC1B0000}"/>
    <cellStyle name="Normal 13 2 3 2 5" xfId="3902" xr:uid="{00000000-0005-0000-0000-0000BD1B0000}"/>
    <cellStyle name="Normal 13 2 3 2 5 2" xfId="10155" xr:uid="{00000000-0005-0000-0000-0000BE1B0000}"/>
    <cellStyle name="Normal 13 2 3 2 5 2 2" xfId="22502" xr:uid="{00000000-0005-0000-0000-0000BF1B0000}"/>
    <cellStyle name="Normal 13 2 3 2 5 3" xfId="16280" xr:uid="{00000000-0005-0000-0000-0000C01B0000}"/>
    <cellStyle name="Normal 13 2 3 2 6" xfId="10144" xr:uid="{00000000-0005-0000-0000-0000C11B0000}"/>
    <cellStyle name="Normal 13 2 3 2 6 2" xfId="22491" xr:uid="{00000000-0005-0000-0000-0000C21B0000}"/>
    <cellStyle name="Normal 13 2 3 2 7" xfId="16269" xr:uid="{00000000-0005-0000-0000-0000C31B0000}"/>
    <cellStyle name="Normal 13 2 3 3" xfId="3903" xr:uid="{00000000-0005-0000-0000-0000C41B0000}"/>
    <cellStyle name="Normal 13 2 3 3 2" xfId="3904" xr:uid="{00000000-0005-0000-0000-0000C51B0000}"/>
    <cellStyle name="Normal 13 2 3 3 2 2" xfId="3905" xr:uid="{00000000-0005-0000-0000-0000C61B0000}"/>
    <cellStyle name="Normal 13 2 3 3 2 2 2" xfId="10158" xr:uid="{00000000-0005-0000-0000-0000C71B0000}"/>
    <cellStyle name="Normal 13 2 3 3 2 2 2 2" xfId="22505" xr:uid="{00000000-0005-0000-0000-0000C81B0000}"/>
    <cellStyle name="Normal 13 2 3 3 2 2 3" xfId="16283" xr:uid="{00000000-0005-0000-0000-0000C91B0000}"/>
    <cellStyle name="Normal 13 2 3 3 2 3" xfId="10157" xr:uid="{00000000-0005-0000-0000-0000CA1B0000}"/>
    <cellStyle name="Normal 13 2 3 3 2 3 2" xfId="22504" xr:uid="{00000000-0005-0000-0000-0000CB1B0000}"/>
    <cellStyle name="Normal 13 2 3 3 2 4" xfId="16282" xr:uid="{00000000-0005-0000-0000-0000CC1B0000}"/>
    <cellStyle name="Normal 13 2 3 3 3" xfId="3906" xr:uid="{00000000-0005-0000-0000-0000CD1B0000}"/>
    <cellStyle name="Normal 13 2 3 3 3 2" xfId="3907" xr:uid="{00000000-0005-0000-0000-0000CE1B0000}"/>
    <cellStyle name="Normal 13 2 3 3 3 2 2" xfId="10160" xr:uid="{00000000-0005-0000-0000-0000CF1B0000}"/>
    <cellStyle name="Normal 13 2 3 3 3 2 2 2" xfId="22507" xr:uid="{00000000-0005-0000-0000-0000D01B0000}"/>
    <cellStyle name="Normal 13 2 3 3 3 2 3" xfId="16285" xr:uid="{00000000-0005-0000-0000-0000D11B0000}"/>
    <cellStyle name="Normal 13 2 3 3 3 3" xfId="10159" xr:uid="{00000000-0005-0000-0000-0000D21B0000}"/>
    <cellStyle name="Normal 13 2 3 3 3 3 2" xfId="22506" xr:uid="{00000000-0005-0000-0000-0000D31B0000}"/>
    <cellStyle name="Normal 13 2 3 3 3 4" xfId="16284" xr:uid="{00000000-0005-0000-0000-0000D41B0000}"/>
    <cellStyle name="Normal 13 2 3 3 4" xfId="3908" xr:uid="{00000000-0005-0000-0000-0000D51B0000}"/>
    <cellStyle name="Normal 13 2 3 3 4 2" xfId="10161" xr:uid="{00000000-0005-0000-0000-0000D61B0000}"/>
    <cellStyle name="Normal 13 2 3 3 4 2 2" xfId="22508" xr:uid="{00000000-0005-0000-0000-0000D71B0000}"/>
    <cellStyle name="Normal 13 2 3 3 4 3" xfId="16286" xr:uid="{00000000-0005-0000-0000-0000D81B0000}"/>
    <cellStyle name="Normal 13 2 3 3 5" xfId="10156" xr:uid="{00000000-0005-0000-0000-0000D91B0000}"/>
    <cellStyle name="Normal 13 2 3 3 5 2" xfId="22503" xr:uid="{00000000-0005-0000-0000-0000DA1B0000}"/>
    <cellStyle name="Normal 13 2 3 3 6" xfId="16281" xr:uid="{00000000-0005-0000-0000-0000DB1B0000}"/>
    <cellStyle name="Normal 13 2 3 4" xfId="3909" xr:uid="{00000000-0005-0000-0000-0000DC1B0000}"/>
    <cellStyle name="Normal 13 2 3 4 2" xfId="3910" xr:uid="{00000000-0005-0000-0000-0000DD1B0000}"/>
    <cellStyle name="Normal 13 2 3 4 2 2" xfId="10163" xr:uid="{00000000-0005-0000-0000-0000DE1B0000}"/>
    <cellStyle name="Normal 13 2 3 4 2 2 2" xfId="22510" xr:uid="{00000000-0005-0000-0000-0000DF1B0000}"/>
    <cellStyle name="Normal 13 2 3 4 2 3" xfId="16288" xr:uid="{00000000-0005-0000-0000-0000E01B0000}"/>
    <cellStyle name="Normal 13 2 3 4 3" xfId="10162" xr:uid="{00000000-0005-0000-0000-0000E11B0000}"/>
    <cellStyle name="Normal 13 2 3 4 3 2" xfId="22509" xr:uid="{00000000-0005-0000-0000-0000E21B0000}"/>
    <cellStyle name="Normal 13 2 3 4 4" xfId="16287" xr:uid="{00000000-0005-0000-0000-0000E31B0000}"/>
    <cellStyle name="Normal 13 2 3 5" xfId="3911" xr:uid="{00000000-0005-0000-0000-0000E41B0000}"/>
    <cellStyle name="Normal 13 2 3 5 2" xfId="3912" xr:uid="{00000000-0005-0000-0000-0000E51B0000}"/>
    <cellStyle name="Normal 13 2 3 5 2 2" xfId="10165" xr:uid="{00000000-0005-0000-0000-0000E61B0000}"/>
    <cellStyle name="Normal 13 2 3 5 2 2 2" xfId="22512" xr:uid="{00000000-0005-0000-0000-0000E71B0000}"/>
    <cellStyle name="Normal 13 2 3 5 2 3" xfId="16290" xr:uid="{00000000-0005-0000-0000-0000E81B0000}"/>
    <cellStyle name="Normal 13 2 3 5 3" xfId="10164" xr:uid="{00000000-0005-0000-0000-0000E91B0000}"/>
    <cellStyle name="Normal 13 2 3 5 3 2" xfId="22511" xr:uid="{00000000-0005-0000-0000-0000EA1B0000}"/>
    <cellStyle name="Normal 13 2 3 5 4" xfId="16289" xr:uid="{00000000-0005-0000-0000-0000EB1B0000}"/>
    <cellStyle name="Normal 13 2 3 6" xfId="3913" xr:uid="{00000000-0005-0000-0000-0000EC1B0000}"/>
    <cellStyle name="Normal 13 2 3 6 2" xfId="10166" xr:uid="{00000000-0005-0000-0000-0000ED1B0000}"/>
    <cellStyle name="Normal 13 2 3 6 2 2" xfId="22513" xr:uid="{00000000-0005-0000-0000-0000EE1B0000}"/>
    <cellStyle name="Normal 13 2 3 6 3" xfId="16291" xr:uid="{00000000-0005-0000-0000-0000EF1B0000}"/>
    <cellStyle name="Normal 13 2 3 7" xfId="3914" xr:uid="{00000000-0005-0000-0000-0000F01B0000}"/>
    <cellStyle name="Normal 13 2 3 7 2" xfId="16292" xr:uid="{00000000-0005-0000-0000-0000F11B0000}"/>
    <cellStyle name="Normal 13 2 3 8" xfId="10143" xr:uid="{00000000-0005-0000-0000-0000F21B0000}"/>
    <cellStyle name="Normal 13 2 3 8 2" xfId="22490" xr:uid="{00000000-0005-0000-0000-0000F31B0000}"/>
    <cellStyle name="Normal 13 2 4" xfId="3915" xr:uid="{00000000-0005-0000-0000-0000F41B0000}"/>
    <cellStyle name="Normal 13 2 4 2" xfId="3916" xr:uid="{00000000-0005-0000-0000-0000F51B0000}"/>
    <cellStyle name="Normal 13 2 4 2 2" xfId="3917" xr:uid="{00000000-0005-0000-0000-0000F61B0000}"/>
    <cellStyle name="Normal 13 2 4 2 2 2" xfId="3918" xr:uid="{00000000-0005-0000-0000-0000F71B0000}"/>
    <cellStyle name="Normal 13 2 4 2 2 2 2" xfId="10170" xr:uid="{00000000-0005-0000-0000-0000F81B0000}"/>
    <cellStyle name="Normal 13 2 4 2 2 2 2 2" xfId="22517" xr:uid="{00000000-0005-0000-0000-0000F91B0000}"/>
    <cellStyle name="Normal 13 2 4 2 2 2 3" xfId="16296" xr:uid="{00000000-0005-0000-0000-0000FA1B0000}"/>
    <cellStyle name="Normal 13 2 4 2 2 3" xfId="10169" xr:uid="{00000000-0005-0000-0000-0000FB1B0000}"/>
    <cellStyle name="Normal 13 2 4 2 2 3 2" xfId="22516" xr:uid="{00000000-0005-0000-0000-0000FC1B0000}"/>
    <cellStyle name="Normal 13 2 4 2 2 4" xfId="16295" xr:uid="{00000000-0005-0000-0000-0000FD1B0000}"/>
    <cellStyle name="Normal 13 2 4 2 3" xfId="3919" xr:uid="{00000000-0005-0000-0000-0000FE1B0000}"/>
    <cellStyle name="Normal 13 2 4 2 3 2" xfId="3920" xr:uid="{00000000-0005-0000-0000-0000FF1B0000}"/>
    <cellStyle name="Normal 13 2 4 2 3 2 2" xfId="10172" xr:uid="{00000000-0005-0000-0000-0000001C0000}"/>
    <cellStyle name="Normal 13 2 4 2 3 2 2 2" xfId="22519" xr:uid="{00000000-0005-0000-0000-0000011C0000}"/>
    <cellStyle name="Normal 13 2 4 2 3 2 3" xfId="16298" xr:uid="{00000000-0005-0000-0000-0000021C0000}"/>
    <cellStyle name="Normal 13 2 4 2 3 3" xfId="10171" xr:uid="{00000000-0005-0000-0000-0000031C0000}"/>
    <cellStyle name="Normal 13 2 4 2 3 3 2" xfId="22518" xr:uid="{00000000-0005-0000-0000-0000041C0000}"/>
    <cellStyle name="Normal 13 2 4 2 3 4" xfId="16297" xr:uid="{00000000-0005-0000-0000-0000051C0000}"/>
    <cellStyle name="Normal 13 2 4 2 4" xfId="3921" xr:uid="{00000000-0005-0000-0000-0000061C0000}"/>
    <cellStyle name="Normal 13 2 4 2 4 2" xfId="10173" xr:uid="{00000000-0005-0000-0000-0000071C0000}"/>
    <cellStyle name="Normal 13 2 4 2 4 2 2" xfId="22520" xr:uid="{00000000-0005-0000-0000-0000081C0000}"/>
    <cellStyle name="Normal 13 2 4 2 4 3" xfId="16299" xr:uid="{00000000-0005-0000-0000-0000091C0000}"/>
    <cellStyle name="Normal 13 2 4 2 5" xfId="10168" xr:uid="{00000000-0005-0000-0000-00000A1C0000}"/>
    <cellStyle name="Normal 13 2 4 2 5 2" xfId="22515" xr:uid="{00000000-0005-0000-0000-00000B1C0000}"/>
    <cellStyle name="Normal 13 2 4 2 6" xfId="16294" xr:uid="{00000000-0005-0000-0000-00000C1C0000}"/>
    <cellStyle name="Normal 13 2 4 3" xfId="3922" xr:uid="{00000000-0005-0000-0000-00000D1C0000}"/>
    <cellStyle name="Normal 13 2 4 3 2" xfId="3923" xr:uid="{00000000-0005-0000-0000-00000E1C0000}"/>
    <cellStyle name="Normal 13 2 4 3 2 2" xfId="10175" xr:uid="{00000000-0005-0000-0000-00000F1C0000}"/>
    <cellStyle name="Normal 13 2 4 3 2 2 2" xfId="22522" xr:uid="{00000000-0005-0000-0000-0000101C0000}"/>
    <cellStyle name="Normal 13 2 4 3 2 3" xfId="16301" xr:uid="{00000000-0005-0000-0000-0000111C0000}"/>
    <cellStyle name="Normal 13 2 4 3 3" xfId="10174" xr:uid="{00000000-0005-0000-0000-0000121C0000}"/>
    <cellStyle name="Normal 13 2 4 3 3 2" xfId="22521" xr:uid="{00000000-0005-0000-0000-0000131C0000}"/>
    <cellStyle name="Normal 13 2 4 3 4" xfId="16300" xr:uid="{00000000-0005-0000-0000-0000141C0000}"/>
    <cellStyle name="Normal 13 2 4 4" xfId="3924" xr:uid="{00000000-0005-0000-0000-0000151C0000}"/>
    <cellStyle name="Normal 13 2 4 4 2" xfId="3925" xr:uid="{00000000-0005-0000-0000-0000161C0000}"/>
    <cellStyle name="Normal 13 2 4 4 2 2" xfId="10177" xr:uid="{00000000-0005-0000-0000-0000171C0000}"/>
    <cellStyle name="Normal 13 2 4 4 2 2 2" xfId="22524" xr:uid="{00000000-0005-0000-0000-0000181C0000}"/>
    <cellStyle name="Normal 13 2 4 4 2 3" xfId="16303" xr:uid="{00000000-0005-0000-0000-0000191C0000}"/>
    <cellStyle name="Normal 13 2 4 4 3" xfId="10176" xr:uid="{00000000-0005-0000-0000-00001A1C0000}"/>
    <cellStyle name="Normal 13 2 4 4 3 2" xfId="22523" xr:uid="{00000000-0005-0000-0000-00001B1C0000}"/>
    <cellStyle name="Normal 13 2 4 4 4" xfId="16302" xr:uid="{00000000-0005-0000-0000-00001C1C0000}"/>
    <cellStyle name="Normal 13 2 4 5" xfId="3926" xr:uid="{00000000-0005-0000-0000-00001D1C0000}"/>
    <cellStyle name="Normal 13 2 4 5 2" xfId="10178" xr:uid="{00000000-0005-0000-0000-00001E1C0000}"/>
    <cellStyle name="Normal 13 2 4 5 2 2" xfId="22525" xr:uid="{00000000-0005-0000-0000-00001F1C0000}"/>
    <cellStyle name="Normal 13 2 4 5 3" xfId="16304" xr:uid="{00000000-0005-0000-0000-0000201C0000}"/>
    <cellStyle name="Normal 13 2 4 6" xfId="10167" xr:uid="{00000000-0005-0000-0000-0000211C0000}"/>
    <cellStyle name="Normal 13 2 4 6 2" xfId="22514" xr:uid="{00000000-0005-0000-0000-0000221C0000}"/>
    <cellStyle name="Normal 13 2 4 7" xfId="16293" xr:uid="{00000000-0005-0000-0000-0000231C0000}"/>
    <cellStyle name="Normal 13 2 5" xfId="3927" xr:uid="{00000000-0005-0000-0000-0000241C0000}"/>
    <cellStyle name="Normal 13 2 5 2" xfId="3928" xr:uid="{00000000-0005-0000-0000-0000251C0000}"/>
    <cellStyle name="Normal 13 2 5 2 2" xfId="3929" xr:uid="{00000000-0005-0000-0000-0000261C0000}"/>
    <cellStyle name="Normal 13 2 5 2 2 2" xfId="10181" xr:uid="{00000000-0005-0000-0000-0000271C0000}"/>
    <cellStyle name="Normal 13 2 5 2 2 2 2" xfId="22528" xr:uid="{00000000-0005-0000-0000-0000281C0000}"/>
    <cellStyle name="Normal 13 2 5 2 2 3" xfId="16307" xr:uid="{00000000-0005-0000-0000-0000291C0000}"/>
    <cellStyle name="Normal 13 2 5 2 3" xfId="10180" xr:uid="{00000000-0005-0000-0000-00002A1C0000}"/>
    <cellStyle name="Normal 13 2 5 2 3 2" xfId="22527" xr:uid="{00000000-0005-0000-0000-00002B1C0000}"/>
    <cellStyle name="Normal 13 2 5 2 4" xfId="16306" xr:uid="{00000000-0005-0000-0000-00002C1C0000}"/>
    <cellStyle name="Normal 13 2 5 3" xfId="3930" xr:uid="{00000000-0005-0000-0000-00002D1C0000}"/>
    <cellStyle name="Normal 13 2 5 3 2" xfId="3931" xr:uid="{00000000-0005-0000-0000-00002E1C0000}"/>
    <cellStyle name="Normal 13 2 5 3 2 2" xfId="10183" xr:uid="{00000000-0005-0000-0000-00002F1C0000}"/>
    <cellStyle name="Normal 13 2 5 3 2 2 2" xfId="22530" xr:uid="{00000000-0005-0000-0000-0000301C0000}"/>
    <cellStyle name="Normal 13 2 5 3 2 3" xfId="16309" xr:uid="{00000000-0005-0000-0000-0000311C0000}"/>
    <cellStyle name="Normal 13 2 5 3 3" xfId="10182" xr:uid="{00000000-0005-0000-0000-0000321C0000}"/>
    <cellStyle name="Normal 13 2 5 3 3 2" xfId="22529" xr:uid="{00000000-0005-0000-0000-0000331C0000}"/>
    <cellStyle name="Normal 13 2 5 3 4" xfId="16308" xr:uid="{00000000-0005-0000-0000-0000341C0000}"/>
    <cellStyle name="Normal 13 2 5 4" xfId="3932" xr:uid="{00000000-0005-0000-0000-0000351C0000}"/>
    <cellStyle name="Normal 13 2 5 4 2" xfId="10184" xr:uid="{00000000-0005-0000-0000-0000361C0000}"/>
    <cellStyle name="Normal 13 2 5 4 2 2" xfId="22531" xr:uid="{00000000-0005-0000-0000-0000371C0000}"/>
    <cellStyle name="Normal 13 2 5 4 3" xfId="16310" xr:uid="{00000000-0005-0000-0000-0000381C0000}"/>
    <cellStyle name="Normal 13 2 5 5" xfId="10179" xr:uid="{00000000-0005-0000-0000-0000391C0000}"/>
    <cellStyle name="Normal 13 2 5 5 2" xfId="22526" xr:uid="{00000000-0005-0000-0000-00003A1C0000}"/>
    <cellStyle name="Normal 13 2 5 6" xfId="16305" xr:uid="{00000000-0005-0000-0000-00003B1C0000}"/>
    <cellStyle name="Normal 13 2 6" xfId="3933" xr:uid="{00000000-0005-0000-0000-00003C1C0000}"/>
    <cellStyle name="Normal 13 2 6 2" xfId="3934" xr:uid="{00000000-0005-0000-0000-00003D1C0000}"/>
    <cellStyle name="Normal 13 2 6 2 2" xfId="10186" xr:uid="{00000000-0005-0000-0000-00003E1C0000}"/>
    <cellStyle name="Normal 13 2 6 2 2 2" xfId="22533" xr:uid="{00000000-0005-0000-0000-00003F1C0000}"/>
    <cellStyle name="Normal 13 2 6 2 3" xfId="16312" xr:uid="{00000000-0005-0000-0000-0000401C0000}"/>
    <cellStyle name="Normal 13 2 6 3" xfId="10185" xr:uid="{00000000-0005-0000-0000-0000411C0000}"/>
    <cellStyle name="Normal 13 2 6 3 2" xfId="22532" xr:uid="{00000000-0005-0000-0000-0000421C0000}"/>
    <cellStyle name="Normal 13 2 6 4" xfId="16311" xr:uid="{00000000-0005-0000-0000-0000431C0000}"/>
    <cellStyle name="Normal 13 2 7" xfId="3935" xr:uid="{00000000-0005-0000-0000-0000441C0000}"/>
    <cellStyle name="Normal 13 2 7 2" xfId="3936" xr:uid="{00000000-0005-0000-0000-0000451C0000}"/>
    <cellStyle name="Normal 13 2 7 2 2" xfId="10188" xr:uid="{00000000-0005-0000-0000-0000461C0000}"/>
    <cellStyle name="Normal 13 2 7 2 2 2" xfId="22535" xr:uid="{00000000-0005-0000-0000-0000471C0000}"/>
    <cellStyle name="Normal 13 2 7 2 3" xfId="16314" xr:uid="{00000000-0005-0000-0000-0000481C0000}"/>
    <cellStyle name="Normal 13 2 7 3" xfId="10187" xr:uid="{00000000-0005-0000-0000-0000491C0000}"/>
    <cellStyle name="Normal 13 2 7 3 2" xfId="22534" xr:uid="{00000000-0005-0000-0000-00004A1C0000}"/>
    <cellStyle name="Normal 13 2 7 4" xfId="16313" xr:uid="{00000000-0005-0000-0000-00004B1C0000}"/>
    <cellStyle name="Normal 13 2 8" xfId="3937" xr:uid="{00000000-0005-0000-0000-00004C1C0000}"/>
    <cellStyle name="Normal 13 2 8 2" xfId="10189" xr:uid="{00000000-0005-0000-0000-00004D1C0000}"/>
    <cellStyle name="Normal 13 2 8 2 2" xfId="22536" xr:uid="{00000000-0005-0000-0000-00004E1C0000}"/>
    <cellStyle name="Normal 13 2 8 3" xfId="16315" xr:uid="{00000000-0005-0000-0000-00004F1C0000}"/>
    <cellStyle name="Normal 13 3" xfId="3938" xr:uid="{00000000-0005-0000-0000-0000501C0000}"/>
    <cellStyle name="Normal 13 3 2" xfId="3939" xr:uid="{00000000-0005-0000-0000-0000511C0000}"/>
    <cellStyle name="Normal 13 3 2 2" xfId="3940" xr:uid="{00000000-0005-0000-0000-0000521C0000}"/>
    <cellStyle name="Normal 13 3 2 2 2" xfId="3941" xr:uid="{00000000-0005-0000-0000-0000531C0000}"/>
    <cellStyle name="Normal 13 3 2 2 2 2" xfId="3942" xr:uid="{00000000-0005-0000-0000-0000541C0000}"/>
    <cellStyle name="Normal 13 3 2 2 2 2 2" xfId="3943" xr:uid="{00000000-0005-0000-0000-0000551C0000}"/>
    <cellStyle name="Normal 13 3 2 2 2 2 2 2" xfId="10194" xr:uid="{00000000-0005-0000-0000-0000561C0000}"/>
    <cellStyle name="Normal 13 3 2 2 2 2 2 2 2" xfId="22541" xr:uid="{00000000-0005-0000-0000-0000571C0000}"/>
    <cellStyle name="Normal 13 3 2 2 2 2 2 3" xfId="16320" xr:uid="{00000000-0005-0000-0000-0000581C0000}"/>
    <cellStyle name="Normal 13 3 2 2 2 2 3" xfId="10193" xr:uid="{00000000-0005-0000-0000-0000591C0000}"/>
    <cellStyle name="Normal 13 3 2 2 2 2 3 2" xfId="22540" xr:uid="{00000000-0005-0000-0000-00005A1C0000}"/>
    <cellStyle name="Normal 13 3 2 2 2 2 4" xfId="16319" xr:uid="{00000000-0005-0000-0000-00005B1C0000}"/>
    <cellStyle name="Normal 13 3 2 2 2 3" xfId="3944" xr:uid="{00000000-0005-0000-0000-00005C1C0000}"/>
    <cellStyle name="Normal 13 3 2 2 2 3 2" xfId="3945" xr:uid="{00000000-0005-0000-0000-00005D1C0000}"/>
    <cellStyle name="Normal 13 3 2 2 2 3 2 2" xfId="10196" xr:uid="{00000000-0005-0000-0000-00005E1C0000}"/>
    <cellStyle name="Normal 13 3 2 2 2 3 2 2 2" xfId="22543" xr:uid="{00000000-0005-0000-0000-00005F1C0000}"/>
    <cellStyle name="Normal 13 3 2 2 2 3 2 3" xfId="16322" xr:uid="{00000000-0005-0000-0000-0000601C0000}"/>
    <cellStyle name="Normal 13 3 2 2 2 3 3" xfId="10195" xr:uid="{00000000-0005-0000-0000-0000611C0000}"/>
    <cellStyle name="Normal 13 3 2 2 2 3 3 2" xfId="22542" xr:uid="{00000000-0005-0000-0000-0000621C0000}"/>
    <cellStyle name="Normal 13 3 2 2 2 3 4" xfId="16321" xr:uid="{00000000-0005-0000-0000-0000631C0000}"/>
    <cellStyle name="Normal 13 3 2 2 2 4" xfId="3946" xr:uid="{00000000-0005-0000-0000-0000641C0000}"/>
    <cellStyle name="Normal 13 3 2 2 2 4 2" xfId="10197" xr:uid="{00000000-0005-0000-0000-0000651C0000}"/>
    <cellStyle name="Normal 13 3 2 2 2 4 2 2" xfId="22544" xr:uid="{00000000-0005-0000-0000-0000661C0000}"/>
    <cellStyle name="Normal 13 3 2 2 2 4 3" xfId="16323" xr:uid="{00000000-0005-0000-0000-0000671C0000}"/>
    <cellStyle name="Normal 13 3 2 2 2 5" xfId="10192" xr:uid="{00000000-0005-0000-0000-0000681C0000}"/>
    <cellStyle name="Normal 13 3 2 2 2 5 2" xfId="22539" xr:uid="{00000000-0005-0000-0000-0000691C0000}"/>
    <cellStyle name="Normal 13 3 2 2 2 6" xfId="16318" xr:uid="{00000000-0005-0000-0000-00006A1C0000}"/>
    <cellStyle name="Normal 13 3 2 2 3" xfId="3947" xr:uid="{00000000-0005-0000-0000-00006B1C0000}"/>
    <cellStyle name="Normal 13 3 2 2 3 2" xfId="3948" xr:uid="{00000000-0005-0000-0000-00006C1C0000}"/>
    <cellStyle name="Normal 13 3 2 2 3 2 2" xfId="10199" xr:uid="{00000000-0005-0000-0000-00006D1C0000}"/>
    <cellStyle name="Normal 13 3 2 2 3 2 2 2" xfId="22546" xr:uid="{00000000-0005-0000-0000-00006E1C0000}"/>
    <cellStyle name="Normal 13 3 2 2 3 2 3" xfId="16325" xr:uid="{00000000-0005-0000-0000-00006F1C0000}"/>
    <cellStyle name="Normal 13 3 2 2 3 3" xfId="10198" xr:uid="{00000000-0005-0000-0000-0000701C0000}"/>
    <cellStyle name="Normal 13 3 2 2 3 3 2" xfId="22545" xr:uid="{00000000-0005-0000-0000-0000711C0000}"/>
    <cellStyle name="Normal 13 3 2 2 3 4" xfId="16324" xr:uid="{00000000-0005-0000-0000-0000721C0000}"/>
    <cellStyle name="Normal 13 3 2 2 4" xfId="3949" xr:uid="{00000000-0005-0000-0000-0000731C0000}"/>
    <cellStyle name="Normal 13 3 2 2 4 2" xfId="3950" xr:uid="{00000000-0005-0000-0000-0000741C0000}"/>
    <cellStyle name="Normal 13 3 2 2 4 2 2" xfId="10201" xr:uid="{00000000-0005-0000-0000-0000751C0000}"/>
    <cellStyle name="Normal 13 3 2 2 4 2 2 2" xfId="22548" xr:uid="{00000000-0005-0000-0000-0000761C0000}"/>
    <cellStyle name="Normal 13 3 2 2 4 2 3" xfId="16327" xr:uid="{00000000-0005-0000-0000-0000771C0000}"/>
    <cellStyle name="Normal 13 3 2 2 4 3" xfId="10200" xr:uid="{00000000-0005-0000-0000-0000781C0000}"/>
    <cellStyle name="Normal 13 3 2 2 4 3 2" xfId="22547" xr:uid="{00000000-0005-0000-0000-0000791C0000}"/>
    <cellStyle name="Normal 13 3 2 2 4 4" xfId="16326" xr:uid="{00000000-0005-0000-0000-00007A1C0000}"/>
    <cellStyle name="Normal 13 3 2 2 5" xfId="3951" xr:uid="{00000000-0005-0000-0000-00007B1C0000}"/>
    <cellStyle name="Normal 13 3 2 2 5 2" xfId="10202" xr:uid="{00000000-0005-0000-0000-00007C1C0000}"/>
    <cellStyle name="Normal 13 3 2 2 5 2 2" xfId="22549" xr:uid="{00000000-0005-0000-0000-00007D1C0000}"/>
    <cellStyle name="Normal 13 3 2 2 5 3" xfId="16328" xr:uid="{00000000-0005-0000-0000-00007E1C0000}"/>
    <cellStyle name="Normal 13 3 2 2 6" xfId="10191" xr:uid="{00000000-0005-0000-0000-00007F1C0000}"/>
    <cellStyle name="Normal 13 3 2 2 6 2" xfId="22538" xr:uid="{00000000-0005-0000-0000-0000801C0000}"/>
    <cellStyle name="Normal 13 3 2 2 7" xfId="16317" xr:uid="{00000000-0005-0000-0000-0000811C0000}"/>
    <cellStyle name="Normal 13 3 2 3" xfId="3952" xr:uid="{00000000-0005-0000-0000-0000821C0000}"/>
    <cellStyle name="Normal 13 3 2 3 2" xfId="3953" xr:uid="{00000000-0005-0000-0000-0000831C0000}"/>
    <cellStyle name="Normal 13 3 2 3 2 2" xfId="3954" xr:uid="{00000000-0005-0000-0000-0000841C0000}"/>
    <cellStyle name="Normal 13 3 2 3 2 2 2" xfId="10205" xr:uid="{00000000-0005-0000-0000-0000851C0000}"/>
    <cellStyle name="Normal 13 3 2 3 2 2 2 2" xfId="22552" xr:uid="{00000000-0005-0000-0000-0000861C0000}"/>
    <cellStyle name="Normal 13 3 2 3 2 2 3" xfId="16331" xr:uid="{00000000-0005-0000-0000-0000871C0000}"/>
    <cellStyle name="Normal 13 3 2 3 2 3" xfId="10204" xr:uid="{00000000-0005-0000-0000-0000881C0000}"/>
    <cellStyle name="Normal 13 3 2 3 2 3 2" xfId="22551" xr:uid="{00000000-0005-0000-0000-0000891C0000}"/>
    <cellStyle name="Normal 13 3 2 3 2 4" xfId="16330" xr:uid="{00000000-0005-0000-0000-00008A1C0000}"/>
    <cellStyle name="Normal 13 3 2 3 3" xfId="3955" xr:uid="{00000000-0005-0000-0000-00008B1C0000}"/>
    <cellStyle name="Normal 13 3 2 3 3 2" xfId="3956" xr:uid="{00000000-0005-0000-0000-00008C1C0000}"/>
    <cellStyle name="Normal 13 3 2 3 3 2 2" xfId="10207" xr:uid="{00000000-0005-0000-0000-00008D1C0000}"/>
    <cellStyle name="Normal 13 3 2 3 3 2 2 2" xfId="22554" xr:uid="{00000000-0005-0000-0000-00008E1C0000}"/>
    <cellStyle name="Normal 13 3 2 3 3 2 3" xfId="16333" xr:uid="{00000000-0005-0000-0000-00008F1C0000}"/>
    <cellStyle name="Normal 13 3 2 3 3 3" xfId="10206" xr:uid="{00000000-0005-0000-0000-0000901C0000}"/>
    <cellStyle name="Normal 13 3 2 3 3 3 2" xfId="22553" xr:uid="{00000000-0005-0000-0000-0000911C0000}"/>
    <cellStyle name="Normal 13 3 2 3 3 4" xfId="16332" xr:uid="{00000000-0005-0000-0000-0000921C0000}"/>
    <cellStyle name="Normal 13 3 2 3 4" xfId="3957" xr:uid="{00000000-0005-0000-0000-0000931C0000}"/>
    <cellStyle name="Normal 13 3 2 3 4 2" xfId="10208" xr:uid="{00000000-0005-0000-0000-0000941C0000}"/>
    <cellStyle name="Normal 13 3 2 3 4 2 2" xfId="22555" xr:uid="{00000000-0005-0000-0000-0000951C0000}"/>
    <cellStyle name="Normal 13 3 2 3 4 3" xfId="16334" xr:uid="{00000000-0005-0000-0000-0000961C0000}"/>
    <cellStyle name="Normal 13 3 2 3 5" xfId="10203" xr:uid="{00000000-0005-0000-0000-0000971C0000}"/>
    <cellStyle name="Normal 13 3 2 3 5 2" xfId="22550" xr:uid="{00000000-0005-0000-0000-0000981C0000}"/>
    <cellStyle name="Normal 13 3 2 3 6" xfId="16329" xr:uid="{00000000-0005-0000-0000-0000991C0000}"/>
    <cellStyle name="Normal 13 3 2 4" xfId="3958" xr:uid="{00000000-0005-0000-0000-00009A1C0000}"/>
    <cellStyle name="Normal 13 3 2 4 2" xfId="3959" xr:uid="{00000000-0005-0000-0000-00009B1C0000}"/>
    <cellStyle name="Normal 13 3 2 4 2 2" xfId="10210" xr:uid="{00000000-0005-0000-0000-00009C1C0000}"/>
    <cellStyle name="Normal 13 3 2 4 2 2 2" xfId="22557" xr:uid="{00000000-0005-0000-0000-00009D1C0000}"/>
    <cellStyle name="Normal 13 3 2 4 2 3" xfId="16336" xr:uid="{00000000-0005-0000-0000-00009E1C0000}"/>
    <cellStyle name="Normal 13 3 2 4 3" xfId="10209" xr:uid="{00000000-0005-0000-0000-00009F1C0000}"/>
    <cellStyle name="Normal 13 3 2 4 3 2" xfId="22556" xr:uid="{00000000-0005-0000-0000-0000A01C0000}"/>
    <cellStyle name="Normal 13 3 2 4 4" xfId="16335" xr:uid="{00000000-0005-0000-0000-0000A11C0000}"/>
    <cellStyle name="Normal 13 3 2 5" xfId="3960" xr:uid="{00000000-0005-0000-0000-0000A21C0000}"/>
    <cellStyle name="Normal 13 3 2 5 2" xfId="3961" xr:uid="{00000000-0005-0000-0000-0000A31C0000}"/>
    <cellStyle name="Normal 13 3 2 5 2 2" xfId="10212" xr:uid="{00000000-0005-0000-0000-0000A41C0000}"/>
    <cellStyle name="Normal 13 3 2 5 2 2 2" xfId="22559" xr:uid="{00000000-0005-0000-0000-0000A51C0000}"/>
    <cellStyle name="Normal 13 3 2 5 2 3" xfId="16338" xr:uid="{00000000-0005-0000-0000-0000A61C0000}"/>
    <cellStyle name="Normal 13 3 2 5 3" xfId="10211" xr:uid="{00000000-0005-0000-0000-0000A71C0000}"/>
    <cellStyle name="Normal 13 3 2 5 3 2" xfId="22558" xr:uid="{00000000-0005-0000-0000-0000A81C0000}"/>
    <cellStyle name="Normal 13 3 2 5 4" xfId="16337" xr:uid="{00000000-0005-0000-0000-0000A91C0000}"/>
    <cellStyle name="Normal 13 3 2 6" xfId="3962" xr:uid="{00000000-0005-0000-0000-0000AA1C0000}"/>
    <cellStyle name="Normal 13 3 2 6 2" xfId="10213" xr:uid="{00000000-0005-0000-0000-0000AB1C0000}"/>
    <cellStyle name="Normal 13 3 2 6 2 2" xfId="22560" xr:uid="{00000000-0005-0000-0000-0000AC1C0000}"/>
    <cellStyle name="Normal 13 3 2 6 3" xfId="16339" xr:uid="{00000000-0005-0000-0000-0000AD1C0000}"/>
    <cellStyle name="Normal 13 3 2 7" xfId="10190" xr:uid="{00000000-0005-0000-0000-0000AE1C0000}"/>
    <cellStyle name="Normal 13 3 2 7 2" xfId="22537" xr:uid="{00000000-0005-0000-0000-0000AF1C0000}"/>
    <cellStyle name="Normal 13 3 2 8" xfId="16316" xr:uid="{00000000-0005-0000-0000-0000B01C0000}"/>
    <cellStyle name="Normal 13 3 3" xfId="3963" xr:uid="{00000000-0005-0000-0000-0000B11C0000}"/>
    <cellStyle name="Normal 13 3 3 2" xfId="3964" xr:uid="{00000000-0005-0000-0000-0000B21C0000}"/>
    <cellStyle name="Normal 13 3 3 2 2" xfId="3965" xr:uid="{00000000-0005-0000-0000-0000B31C0000}"/>
    <cellStyle name="Normal 13 3 3 2 2 2" xfId="3966" xr:uid="{00000000-0005-0000-0000-0000B41C0000}"/>
    <cellStyle name="Normal 13 3 3 2 2 2 2" xfId="10217" xr:uid="{00000000-0005-0000-0000-0000B51C0000}"/>
    <cellStyle name="Normal 13 3 3 2 2 2 2 2" xfId="22564" xr:uid="{00000000-0005-0000-0000-0000B61C0000}"/>
    <cellStyle name="Normal 13 3 3 2 2 2 3" xfId="16343" xr:uid="{00000000-0005-0000-0000-0000B71C0000}"/>
    <cellStyle name="Normal 13 3 3 2 2 3" xfId="10216" xr:uid="{00000000-0005-0000-0000-0000B81C0000}"/>
    <cellStyle name="Normal 13 3 3 2 2 3 2" xfId="22563" xr:uid="{00000000-0005-0000-0000-0000B91C0000}"/>
    <cellStyle name="Normal 13 3 3 2 2 4" xfId="16342" xr:uid="{00000000-0005-0000-0000-0000BA1C0000}"/>
    <cellStyle name="Normal 13 3 3 2 3" xfId="3967" xr:uid="{00000000-0005-0000-0000-0000BB1C0000}"/>
    <cellStyle name="Normal 13 3 3 2 3 2" xfId="3968" xr:uid="{00000000-0005-0000-0000-0000BC1C0000}"/>
    <cellStyle name="Normal 13 3 3 2 3 2 2" xfId="10219" xr:uid="{00000000-0005-0000-0000-0000BD1C0000}"/>
    <cellStyle name="Normal 13 3 3 2 3 2 2 2" xfId="22566" xr:uid="{00000000-0005-0000-0000-0000BE1C0000}"/>
    <cellStyle name="Normal 13 3 3 2 3 2 3" xfId="16345" xr:uid="{00000000-0005-0000-0000-0000BF1C0000}"/>
    <cellStyle name="Normal 13 3 3 2 3 3" xfId="10218" xr:uid="{00000000-0005-0000-0000-0000C01C0000}"/>
    <cellStyle name="Normal 13 3 3 2 3 3 2" xfId="22565" xr:uid="{00000000-0005-0000-0000-0000C11C0000}"/>
    <cellStyle name="Normal 13 3 3 2 3 4" xfId="16344" xr:uid="{00000000-0005-0000-0000-0000C21C0000}"/>
    <cellStyle name="Normal 13 3 3 2 4" xfId="3969" xr:uid="{00000000-0005-0000-0000-0000C31C0000}"/>
    <cellStyle name="Normal 13 3 3 2 4 2" xfId="10220" xr:uid="{00000000-0005-0000-0000-0000C41C0000}"/>
    <cellStyle name="Normal 13 3 3 2 4 2 2" xfId="22567" xr:uid="{00000000-0005-0000-0000-0000C51C0000}"/>
    <cellStyle name="Normal 13 3 3 2 4 3" xfId="16346" xr:uid="{00000000-0005-0000-0000-0000C61C0000}"/>
    <cellStyle name="Normal 13 3 3 2 5" xfId="10215" xr:uid="{00000000-0005-0000-0000-0000C71C0000}"/>
    <cellStyle name="Normal 13 3 3 2 5 2" xfId="22562" xr:uid="{00000000-0005-0000-0000-0000C81C0000}"/>
    <cellStyle name="Normal 13 3 3 2 6" xfId="16341" xr:uid="{00000000-0005-0000-0000-0000C91C0000}"/>
    <cellStyle name="Normal 13 3 3 3" xfId="3970" xr:uid="{00000000-0005-0000-0000-0000CA1C0000}"/>
    <cellStyle name="Normal 13 3 3 3 2" xfId="3971" xr:uid="{00000000-0005-0000-0000-0000CB1C0000}"/>
    <cellStyle name="Normal 13 3 3 3 2 2" xfId="10222" xr:uid="{00000000-0005-0000-0000-0000CC1C0000}"/>
    <cellStyle name="Normal 13 3 3 3 2 2 2" xfId="22569" xr:uid="{00000000-0005-0000-0000-0000CD1C0000}"/>
    <cellStyle name="Normal 13 3 3 3 2 3" xfId="16348" xr:uid="{00000000-0005-0000-0000-0000CE1C0000}"/>
    <cellStyle name="Normal 13 3 3 3 3" xfId="10221" xr:uid="{00000000-0005-0000-0000-0000CF1C0000}"/>
    <cellStyle name="Normal 13 3 3 3 3 2" xfId="22568" xr:uid="{00000000-0005-0000-0000-0000D01C0000}"/>
    <cellStyle name="Normal 13 3 3 3 4" xfId="16347" xr:uid="{00000000-0005-0000-0000-0000D11C0000}"/>
    <cellStyle name="Normal 13 3 3 4" xfId="3972" xr:uid="{00000000-0005-0000-0000-0000D21C0000}"/>
    <cellStyle name="Normal 13 3 3 4 2" xfId="3973" xr:uid="{00000000-0005-0000-0000-0000D31C0000}"/>
    <cellStyle name="Normal 13 3 3 4 2 2" xfId="10224" xr:uid="{00000000-0005-0000-0000-0000D41C0000}"/>
    <cellStyle name="Normal 13 3 3 4 2 2 2" xfId="22571" xr:uid="{00000000-0005-0000-0000-0000D51C0000}"/>
    <cellStyle name="Normal 13 3 3 4 2 3" xfId="16350" xr:uid="{00000000-0005-0000-0000-0000D61C0000}"/>
    <cellStyle name="Normal 13 3 3 4 3" xfId="10223" xr:uid="{00000000-0005-0000-0000-0000D71C0000}"/>
    <cellStyle name="Normal 13 3 3 4 3 2" xfId="22570" xr:uid="{00000000-0005-0000-0000-0000D81C0000}"/>
    <cellStyle name="Normal 13 3 3 4 4" xfId="16349" xr:uid="{00000000-0005-0000-0000-0000D91C0000}"/>
    <cellStyle name="Normal 13 3 3 5" xfId="3974" xr:uid="{00000000-0005-0000-0000-0000DA1C0000}"/>
    <cellStyle name="Normal 13 3 3 5 2" xfId="10225" xr:uid="{00000000-0005-0000-0000-0000DB1C0000}"/>
    <cellStyle name="Normal 13 3 3 5 2 2" xfId="22572" xr:uid="{00000000-0005-0000-0000-0000DC1C0000}"/>
    <cellStyle name="Normal 13 3 3 5 3" xfId="16351" xr:uid="{00000000-0005-0000-0000-0000DD1C0000}"/>
    <cellStyle name="Normal 13 3 3 6" xfId="10214" xr:uid="{00000000-0005-0000-0000-0000DE1C0000}"/>
    <cellStyle name="Normal 13 3 3 6 2" xfId="22561" xr:uid="{00000000-0005-0000-0000-0000DF1C0000}"/>
    <cellStyle name="Normal 13 3 3 7" xfId="16340" xr:uid="{00000000-0005-0000-0000-0000E01C0000}"/>
    <cellStyle name="Normal 13 3 4" xfId="3975" xr:uid="{00000000-0005-0000-0000-0000E11C0000}"/>
    <cellStyle name="Normal 13 3 4 2" xfId="3976" xr:uid="{00000000-0005-0000-0000-0000E21C0000}"/>
    <cellStyle name="Normal 13 3 4 2 2" xfId="3977" xr:uid="{00000000-0005-0000-0000-0000E31C0000}"/>
    <cellStyle name="Normal 13 3 4 2 2 2" xfId="10228" xr:uid="{00000000-0005-0000-0000-0000E41C0000}"/>
    <cellStyle name="Normal 13 3 4 2 2 2 2" xfId="22575" xr:uid="{00000000-0005-0000-0000-0000E51C0000}"/>
    <cellStyle name="Normal 13 3 4 2 2 3" xfId="16354" xr:uid="{00000000-0005-0000-0000-0000E61C0000}"/>
    <cellStyle name="Normal 13 3 4 2 3" xfId="10227" xr:uid="{00000000-0005-0000-0000-0000E71C0000}"/>
    <cellStyle name="Normal 13 3 4 2 3 2" xfId="22574" xr:uid="{00000000-0005-0000-0000-0000E81C0000}"/>
    <cellStyle name="Normal 13 3 4 2 4" xfId="16353" xr:uid="{00000000-0005-0000-0000-0000E91C0000}"/>
    <cellStyle name="Normal 13 3 4 3" xfId="3978" xr:uid="{00000000-0005-0000-0000-0000EA1C0000}"/>
    <cellStyle name="Normal 13 3 4 3 2" xfId="3979" xr:uid="{00000000-0005-0000-0000-0000EB1C0000}"/>
    <cellStyle name="Normal 13 3 4 3 2 2" xfId="10230" xr:uid="{00000000-0005-0000-0000-0000EC1C0000}"/>
    <cellStyle name="Normal 13 3 4 3 2 2 2" xfId="22577" xr:uid="{00000000-0005-0000-0000-0000ED1C0000}"/>
    <cellStyle name="Normal 13 3 4 3 2 3" xfId="16356" xr:uid="{00000000-0005-0000-0000-0000EE1C0000}"/>
    <cellStyle name="Normal 13 3 4 3 3" xfId="10229" xr:uid="{00000000-0005-0000-0000-0000EF1C0000}"/>
    <cellStyle name="Normal 13 3 4 3 3 2" xfId="22576" xr:uid="{00000000-0005-0000-0000-0000F01C0000}"/>
    <cellStyle name="Normal 13 3 4 3 4" xfId="16355" xr:uid="{00000000-0005-0000-0000-0000F11C0000}"/>
    <cellStyle name="Normal 13 3 4 4" xfId="3980" xr:uid="{00000000-0005-0000-0000-0000F21C0000}"/>
    <cellStyle name="Normal 13 3 4 4 2" xfId="10231" xr:uid="{00000000-0005-0000-0000-0000F31C0000}"/>
    <cellStyle name="Normal 13 3 4 4 2 2" xfId="22578" xr:uid="{00000000-0005-0000-0000-0000F41C0000}"/>
    <cellStyle name="Normal 13 3 4 4 3" xfId="16357" xr:uid="{00000000-0005-0000-0000-0000F51C0000}"/>
    <cellStyle name="Normal 13 3 4 5" xfId="10226" xr:uid="{00000000-0005-0000-0000-0000F61C0000}"/>
    <cellStyle name="Normal 13 3 4 5 2" xfId="22573" xr:uid="{00000000-0005-0000-0000-0000F71C0000}"/>
    <cellStyle name="Normal 13 3 4 6" xfId="16352" xr:uid="{00000000-0005-0000-0000-0000F81C0000}"/>
    <cellStyle name="Normal 13 3 5" xfId="3981" xr:uid="{00000000-0005-0000-0000-0000F91C0000}"/>
    <cellStyle name="Normal 13 3 5 2" xfId="3982" xr:uid="{00000000-0005-0000-0000-0000FA1C0000}"/>
    <cellStyle name="Normal 13 3 5 2 2" xfId="10233" xr:uid="{00000000-0005-0000-0000-0000FB1C0000}"/>
    <cellStyle name="Normal 13 3 5 2 2 2" xfId="22580" xr:uid="{00000000-0005-0000-0000-0000FC1C0000}"/>
    <cellStyle name="Normal 13 3 5 2 3" xfId="16359" xr:uid="{00000000-0005-0000-0000-0000FD1C0000}"/>
    <cellStyle name="Normal 13 3 5 3" xfId="10232" xr:uid="{00000000-0005-0000-0000-0000FE1C0000}"/>
    <cellStyle name="Normal 13 3 5 3 2" xfId="22579" xr:uid="{00000000-0005-0000-0000-0000FF1C0000}"/>
    <cellStyle name="Normal 13 3 5 4" xfId="16358" xr:uid="{00000000-0005-0000-0000-0000001D0000}"/>
    <cellStyle name="Normal 13 3 6" xfId="3983" xr:uid="{00000000-0005-0000-0000-0000011D0000}"/>
    <cellStyle name="Normal 13 3 6 2" xfId="3984" xr:uid="{00000000-0005-0000-0000-0000021D0000}"/>
    <cellStyle name="Normal 13 3 6 2 2" xfId="10235" xr:uid="{00000000-0005-0000-0000-0000031D0000}"/>
    <cellStyle name="Normal 13 3 6 2 2 2" xfId="22582" xr:uid="{00000000-0005-0000-0000-0000041D0000}"/>
    <cellStyle name="Normal 13 3 6 2 3" xfId="16361" xr:uid="{00000000-0005-0000-0000-0000051D0000}"/>
    <cellStyle name="Normal 13 3 6 3" xfId="10234" xr:uid="{00000000-0005-0000-0000-0000061D0000}"/>
    <cellStyle name="Normal 13 3 6 3 2" xfId="22581" xr:uid="{00000000-0005-0000-0000-0000071D0000}"/>
    <cellStyle name="Normal 13 3 6 4" xfId="16360" xr:uid="{00000000-0005-0000-0000-0000081D0000}"/>
    <cellStyle name="Normal 13 3 7" xfId="3985" xr:uid="{00000000-0005-0000-0000-0000091D0000}"/>
    <cellStyle name="Normal 13 3 7 2" xfId="10236" xr:uid="{00000000-0005-0000-0000-00000A1D0000}"/>
    <cellStyle name="Normal 13 3 7 2 2" xfId="22583" xr:uid="{00000000-0005-0000-0000-00000B1D0000}"/>
    <cellStyle name="Normal 13 3 7 3" xfId="16362" xr:uid="{00000000-0005-0000-0000-00000C1D0000}"/>
    <cellStyle name="Normal 13 3 8" xfId="3986" xr:uid="{00000000-0005-0000-0000-00000D1D0000}"/>
    <cellStyle name="Normal 13 3 9" xfId="3987" xr:uid="{00000000-0005-0000-0000-00000E1D0000}"/>
    <cellStyle name="Normal 13 4" xfId="3988" xr:uid="{00000000-0005-0000-0000-00000F1D0000}"/>
    <cellStyle name="Normal 13 4 2" xfId="3989" xr:uid="{00000000-0005-0000-0000-0000101D0000}"/>
    <cellStyle name="Normal 13 4 2 2" xfId="3990" xr:uid="{00000000-0005-0000-0000-0000111D0000}"/>
    <cellStyle name="Normal 13 4 2 2 2" xfId="3991" xr:uid="{00000000-0005-0000-0000-0000121D0000}"/>
    <cellStyle name="Normal 13 4 2 2 2 2" xfId="3992" xr:uid="{00000000-0005-0000-0000-0000131D0000}"/>
    <cellStyle name="Normal 13 4 2 2 2 2 2" xfId="3993" xr:uid="{00000000-0005-0000-0000-0000141D0000}"/>
    <cellStyle name="Normal 13 4 2 2 2 2 2 2" xfId="10241" xr:uid="{00000000-0005-0000-0000-0000151D0000}"/>
    <cellStyle name="Normal 13 4 2 2 2 2 2 2 2" xfId="22588" xr:uid="{00000000-0005-0000-0000-0000161D0000}"/>
    <cellStyle name="Normal 13 4 2 2 2 2 2 3" xfId="16367" xr:uid="{00000000-0005-0000-0000-0000171D0000}"/>
    <cellStyle name="Normal 13 4 2 2 2 2 3" xfId="10240" xr:uid="{00000000-0005-0000-0000-0000181D0000}"/>
    <cellStyle name="Normal 13 4 2 2 2 2 3 2" xfId="22587" xr:uid="{00000000-0005-0000-0000-0000191D0000}"/>
    <cellStyle name="Normal 13 4 2 2 2 2 4" xfId="16366" xr:uid="{00000000-0005-0000-0000-00001A1D0000}"/>
    <cellStyle name="Normal 13 4 2 2 2 3" xfId="3994" xr:uid="{00000000-0005-0000-0000-00001B1D0000}"/>
    <cellStyle name="Normal 13 4 2 2 2 3 2" xfId="3995" xr:uid="{00000000-0005-0000-0000-00001C1D0000}"/>
    <cellStyle name="Normal 13 4 2 2 2 3 2 2" xfId="10243" xr:uid="{00000000-0005-0000-0000-00001D1D0000}"/>
    <cellStyle name="Normal 13 4 2 2 2 3 2 2 2" xfId="22590" xr:uid="{00000000-0005-0000-0000-00001E1D0000}"/>
    <cellStyle name="Normal 13 4 2 2 2 3 2 3" xfId="16369" xr:uid="{00000000-0005-0000-0000-00001F1D0000}"/>
    <cellStyle name="Normal 13 4 2 2 2 3 3" xfId="10242" xr:uid="{00000000-0005-0000-0000-0000201D0000}"/>
    <cellStyle name="Normal 13 4 2 2 2 3 3 2" xfId="22589" xr:uid="{00000000-0005-0000-0000-0000211D0000}"/>
    <cellStyle name="Normal 13 4 2 2 2 3 4" xfId="16368" xr:uid="{00000000-0005-0000-0000-0000221D0000}"/>
    <cellStyle name="Normal 13 4 2 2 2 4" xfId="3996" xr:uid="{00000000-0005-0000-0000-0000231D0000}"/>
    <cellStyle name="Normal 13 4 2 2 2 4 2" xfId="10244" xr:uid="{00000000-0005-0000-0000-0000241D0000}"/>
    <cellStyle name="Normal 13 4 2 2 2 4 2 2" xfId="22591" xr:uid="{00000000-0005-0000-0000-0000251D0000}"/>
    <cellStyle name="Normal 13 4 2 2 2 4 3" xfId="16370" xr:uid="{00000000-0005-0000-0000-0000261D0000}"/>
    <cellStyle name="Normal 13 4 2 2 2 5" xfId="10239" xr:uid="{00000000-0005-0000-0000-0000271D0000}"/>
    <cellStyle name="Normal 13 4 2 2 2 5 2" xfId="22586" xr:uid="{00000000-0005-0000-0000-0000281D0000}"/>
    <cellStyle name="Normal 13 4 2 2 2 6" xfId="16365" xr:uid="{00000000-0005-0000-0000-0000291D0000}"/>
    <cellStyle name="Normal 13 4 2 2 3" xfId="3997" xr:uid="{00000000-0005-0000-0000-00002A1D0000}"/>
    <cellStyle name="Normal 13 4 2 2 3 2" xfId="3998" xr:uid="{00000000-0005-0000-0000-00002B1D0000}"/>
    <cellStyle name="Normal 13 4 2 2 3 2 2" xfId="10246" xr:uid="{00000000-0005-0000-0000-00002C1D0000}"/>
    <cellStyle name="Normal 13 4 2 2 3 2 2 2" xfId="22593" xr:uid="{00000000-0005-0000-0000-00002D1D0000}"/>
    <cellStyle name="Normal 13 4 2 2 3 2 3" xfId="16372" xr:uid="{00000000-0005-0000-0000-00002E1D0000}"/>
    <cellStyle name="Normal 13 4 2 2 3 3" xfId="10245" xr:uid="{00000000-0005-0000-0000-00002F1D0000}"/>
    <cellStyle name="Normal 13 4 2 2 3 3 2" xfId="22592" xr:uid="{00000000-0005-0000-0000-0000301D0000}"/>
    <cellStyle name="Normal 13 4 2 2 3 4" xfId="16371" xr:uid="{00000000-0005-0000-0000-0000311D0000}"/>
    <cellStyle name="Normal 13 4 2 2 4" xfId="3999" xr:uid="{00000000-0005-0000-0000-0000321D0000}"/>
    <cellStyle name="Normal 13 4 2 2 4 2" xfId="4000" xr:uid="{00000000-0005-0000-0000-0000331D0000}"/>
    <cellStyle name="Normal 13 4 2 2 4 2 2" xfId="10248" xr:uid="{00000000-0005-0000-0000-0000341D0000}"/>
    <cellStyle name="Normal 13 4 2 2 4 2 2 2" xfId="22595" xr:uid="{00000000-0005-0000-0000-0000351D0000}"/>
    <cellStyle name="Normal 13 4 2 2 4 2 3" xfId="16374" xr:uid="{00000000-0005-0000-0000-0000361D0000}"/>
    <cellStyle name="Normal 13 4 2 2 4 3" xfId="10247" xr:uid="{00000000-0005-0000-0000-0000371D0000}"/>
    <cellStyle name="Normal 13 4 2 2 4 3 2" xfId="22594" xr:uid="{00000000-0005-0000-0000-0000381D0000}"/>
    <cellStyle name="Normal 13 4 2 2 4 4" xfId="16373" xr:uid="{00000000-0005-0000-0000-0000391D0000}"/>
    <cellStyle name="Normal 13 4 2 2 5" xfId="4001" xr:uid="{00000000-0005-0000-0000-00003A1D0000}"/>
    <cellStyle name="Normal 13 4 2 2 5 2" xfId="10249" xr:uid="{00000000-0005-0000-0000-00003B1D0000}"/>
    <cellStyle name="Normal 13 4 2 2 5 2 2" xfId="22596" xr:uid="{00000000-0005-0000-0000-00003C1D0000}"/>
    <cellStyle name="Normal 13 4 2 2 5 3" xfId="16375" xr:uid="{00000000-0005-0000-0000-00003D1D0000}"/>
    <cellStyle name="Normal 13 4 2 2 6" xfId="10238" xr:uid="{00000000-0005-0000-0000-00003E1D0000}"/>
    <cellStyle name="Normal 13 4 2 2 6 2" xfId="22585" xr:uid="{00000000-0005-0000-0000-00003F1D0000}"/>
    <cellStyle name="Normal 13 4 2 2 7" xfId="16364" xr:uid="{00000000-0005-0000-0000-0000401D0000}"/>
    <cellStyle name="Normal 13 4 2 3" xfId="4002" xr:uid="{00000000-0005-0000-0000-0000411D0000}"/>
    <cellStyle name="Normal 13 4 2 3 2" xfId="4003" xr:uid="{00000000-0005-0000-0000-0000421D0000}"/>
    <cellStyle name="Normal 13 4 2 3 2 2" xfId="4004" xr:uid="{00000000-0005-0000-0000-0000431D0000}"/>
    <cellStyle name="Normal 13 4 2 3 2 2 2" xfId="10252" xr:uid="{00000000-0005-0000-0000-0000441D0000}"/>
    <cellStyle name="Normal 13 4 2 3 2 2 2 2" xfId="22599" xr:uid="{00000000-0005-0000-0000-0000451D0000}"/>
    <cellStyle name="Normal 13 4 2 3 2 2 3" xfId="16378" xr:uid="{00000000-0005-0000-0000-0000461D0000}"/>
    <cellStyle name="Normal 13 4 2 3 2 3" xfId="10251" xr:uid="{00000000-0005-0000-0000-0000471D0000}"/>
    <cellStyle name="Normal 13 4 2 3 2 3 2" xfId="22598" xr:uid="{00000000-0005-0000-0000-0000481D0000}"/>
    <cellStyle name="Normal 13 4 2 3 2 4" xfId="16377" xr:uid="{00000000-0005-0000-0000-0000491D0000}"/>
    <cellStyle name="Normal 13 4 2 3 3" xfId="4005" xr:uid="{00000000-0005-0000-0000-00004A1D0000}"/>
    <cellStyle name="Normal 13 4 2 3 3 2" xfId="4006" xr:uid="{00000000-0005-0000-0000-00004B1D0000}"/>
    <cellStyle name="Normal 13 4 2 3 3 2 2" xfId="10254" xr:uid="{00000000-0005-0000-0000-00004C1D0000}"/>
    <cellStyle name="Normal 13 4 2 3 3 2 2 2" xfId="22601" xr:uid="{00000000-0005-0000-0000-00004D1D0000}"/>
    <cellStyle name="Normal 13 4 2 3 3 2 3" xfId="16380" xr:uid="{00000000-0005-0000-0000-00004E1D0000}"/>
    <cellStyle name="Normal 13 4 2 3 3 3" xfId="10253" xr:uid="{00000000-0005-0000-0000-00004F1D0000}"/>
    <cellStyle name="Normal 13 4 2 3 3 3 2" xfId="22600" xr:uid="{00000000-0005-0000-0000-0000501D0000}"/>
    <cellStyle name="Normal 13 4 2 3 3 4" xfId="16379" xr:uid="{00000000-0005-0000-0000-0000511D0000}"/>
    <cellStyle name="Normal 13 4 2 3 4" xfId="4007" xr:uid="{00000000-0005-0000-0000-0000521D0000}"/>
    <cellStyle name="Normal 13 4 2 3 4 2" xfId="10255" xr:uid="{00000000-0005-0000-0000-0000531D0000}"/>
    <cellStyle name="Normal 13 4 2 3 4 2 2" xfId="22602" xr:uid="{00000000-0005-0000-0000-0000541D0000}"/>
    <cellStyle name="Normal 13 4 2 3 4 3" xfId="16381" xr:uid="{00000000-0005-0000-0000-0000551D0000}"/>
    <cellStyle name="Normal 13 4 2 3 5" xfId="10250" xr:uid="{00000000-0005-0000-0000-0000561D0000}"/>
    <cellStyle name="Normal 13 4 2 3 5 2" xfId="22597" xr:uid="{00000000-0005-0000-0000-0000571D0000}"/>
    <cellStyle name="Normal 13 4 2 3 6" xfId="16376" xr:uid="{00000000-0005-0000-0000-0000581D0000}"/>
    <cellStyle name="Normal 13 4 2 4" xfId="4008" xr:uid="{00000000-0005-0000-0000-0000591D0000}"/>
    <cellStyle name="Normal 13 4 2 4 2" xfId="4009" xr:uid="{00000000-0005-0000-0000-00005A1D0000}"/>
    <cellStyle name="Normal 13 4 2 4 2 2" xfId="10257" xr:uid="{00000000-0005-0000-0000-00005B1D0000}"/>
    <cellStyle name="Normal 13 4 2 4 2 2 2" xfId="22604" xr:uid="{00000000-0005-0000-0000-00005C1D0000}"/>
    <cellStyle name="Normal 13 4 2 4 2 3" xfId="16383" xr:uid="{00000000-0005-0000-0000-00005D1D0000}"/>
    <cellStyle name="Normal 13 4 2 4 3" xfId="10256" xr:uid="{00000000-0005-0000-0000-00005E1D0000}"/>
    <cellStyle name="Normal 13 4 2 4 3 2" xfId="22603" xr:uid="{00000000-0005-0000-0000-00005F1D0000}"/>
    <cellStyle name="Normal 13 4 2 4 4" xfId="16382" xr:uid="{00000000-0005-0000-0000-0000601D0000}"/>
    <cellStyle name="Normal 13 4 2 5" xfId="4010" xr:uid="{00000000-0005-0000-0000-0000611D0000}"/>
    <cellStyle name="Normal 13 4 2 5 2" xfId="4011" xr:uid="{00000000-0005-0000-0000-0000621D0000}"/>
    <cellStyle name="Normal 13 4 2 5 2 2" xfId="10259" xr:uid="{00000000-0005-0000-0000-0000631D0000}"/>
    <cellStyle name="Normal 13 4 2 5 2 2 2" xfId="22606" xr:uid="{00000000-0005-0000-0000-0000641D0000}"/>
    <cellStyle name="Normal 13 4 2 5 2 3" xfId="16385" xr:uid="{00000000-0005-0000-0000-0000651D0000}"/>
    <cellStyle name="Normal 13 4 2 5 3" xfId="10258" xr:uid="{00000000-0005-0000-0000-0000661D0000}"/>
    <cellStyle name="Normal 13 4 2 5 3 2" xfId="22605" xr:uid="{00000000-0005-0000-0000-0000671D0000}"/>
    <cellStyle name="Normal 13 4 2 5 4" xfId="16384" xr:uid="{00000000-0005-0000-0000-0000681D0000}"/>
    <cellStyle name="Normal 13 4 2 6" xfId="4012" xr:uid="{00000000-0005-0000-0000-0000691D0000}"/>
    <cellStyle name="Normal 13 4 2 6 2" xfId="10260" xr:uid="{00000000-0005-0000-0000-00006A1D0000}"/>
    <cellStyle name="Normal 13 4 2 6 2 2" xfId="22607" xr:uid="{00000000-0005-0000-0000-00006B1D0000}"/>
    <cellStyle name="Normal 13 4 2 6 3" xfId="16386" xr:uid="{00000000-0005-0000-0000-00006C1D0000}"/>
    <cellStyle name="Normal 13 4 2 7" xfId="10237" xr:uid="{00000000-0005-0000-0000-00006D1D0000}"/>
    <cellStyle name="Normal 13 4 2 7 2" xfId="22584" xr:uid="{00000000-0005-0000-0000-00006E1D0000}"/>
    <cellStyle name="Normal 13 4 2 8" xfId="16363" xr:uid="{00000000-0005-0000-0000-00006F1D0000}"/>
    <cellStyle name="Normal 13 4 3" xfId="4013" xr:uid="{00000000-0005-0000-0000-0000701D0000}"/>
    <cellStyle name="Normal 13 4 3 2" xfId="4014" xr:uid="{00000000-0005-0000-0000-0000711D0000}"/>
    <cellStyle name="Normal 13 4 3 2 2" xfId="4015" xr:uid="{00000000-0005-0000-0000-0000721D0000}"/>
    <cellStyle name="Normal 13 4 3 2 2 2" xfId="4016" xr:uid="{00000000-0005-0000-0000-0000731D0000}"/>
    <cellStyle name="Normal 13 4 3 2 2 2 2" xfId="10264" xr:uid="{00000000-0005-0000-0000-0000741D0000}"/>
    <cellStyle name="Normal 13 4 3 2 2 2 2 2" xfId="22611" xr:uid="{00000000-0005-0000-0000-0000751D0000}"/>
    <cellStyle name="Normal 13 4 3 2 2 2 3" xfId="16390" xr:uid="{00000000-0005-0000-0000-0000761D0000}"/>
    <cellStyle name="Normal 13 4 3 2 2 3" xfId="10263" xr:uid="{00000000-0005-0000-0000-0000771D0000}"/>
    <cellStyle name="Normal 13 4 3 2 2 3 2" xfId="22610" xr:uid="{00000000-0005-0000-0000-0000781D0000}"/>
    <cellStyle name="Normal 13 4 3 2 2 4" xfId="16389" xr:uid="{00000000-0005-0000-0000-0000791D0000}"/>
    <cellStyle name="Normal 13 4 3 2 3" xfId="4017" xr:uid="{00000000-0005-0000-0000-00007A1D0000}"/>
    <cellStyle name="Normal 13 4 3 2 3 2" xfId="4018" xr:uid="{00000000-0005-0000-0000-00007B1D0000}"/>
    <cellStyle name="Normal 13 4 3 2 3 2 2" xfId="10266" xr:uid="{00000000-0005-0000-0000-00007C1D0000}"/>
    <cellStyle name="Normal 13 4 3 2 3 2 2 2" xfId="22613" xr:uid="{00000000-0005-0000-0000-00007D1D0000}"/>
    <cellStyle name="Normal 13 4 3 2 3 2 3" xfId="16392" xr:uid="{00000000-0005-0000-0000-00007E1D0000}"/>
    <cellStyle name="Normal 13 4 3 2 3 3" xfId="10265" xr:uid="{00000000-0005-0000-0000-00007F1D0000}"/>
    <cellStyle name="Normal 13 4 3 2 3 3 2" xfId="22612" xr:uid="{00000000-0005-0000-0000-0000801D0000}"/>
    <cellStyle name="Normal 13 4 3 2 3 4" xfId="16391" xr:uid="{00000000-0005-0000-0000-0000811D0000}"/>
    <cellStyle name="Normal 13 4 3 2 4" xfId="4019" xr:uid="{00000000-0005-0000-0000-0000821D0000}"/>
    <cellStyle name="Normal 13 4 3 2 4 2" xfId="10267" xr:uid="{00000000-0005-0000-0000-0000831D0000}"/>
    <cellStyle name="Normal 13 4 3 2 4 2 2" xfId="22614" xr:uid="{00000000-0005-0000-0000-0000841D0000}"/>
    <cellStyle name="Normal 13 4 3 2 4 3" xfId="16393" xr:uid="{00000000-0005-0000-0000-0000851D0000}"/>
    <cellStyle name="Normal 13 4 3 2 5" xfId="10262" xr:uid="{00000000-0005-0000-0000-0000861D0000}"/>
    <cellStyle name="Normal 13 4 3 2 5 2" xfId="22609" xr:uid="{00000000-0005-0000-0000-0000871D0000}"/>
    <cellStyle name="Normal 13 4 3 2 6" xfId="16388" xr:uid="{00000000-0005-0000-0000-0000881D0000}"/>
    <cellStyle name="Normal 13 4 3 3" xfId="4020" xr:uid="{00000000-0005-0000-0000-0000891D0000}"/>
    <cellStyle name="Normal 13 4 3 3 2" xfId="4021" xr:uid="{00000000-0005-0000-0000-00008A1D0000}"/>
    <cellStyle name="Normal 13 4 3 3 2 2" xfId="10269" xr:uid="{00000000-0005-0000-0000-00008B1D0000}"/>
    <cellStyle name="Normal 13 4 3 3 2 2 2" xfId="22616" xr:uid="{00000000-0005-0000-0000-00008C1D0000}"/>
    <cellStyle name="Normal 13 4 3 3 2 3" xfId="16395" xr:uid="{00000000-0005-0000-0000-00008D1D0000}"/>
    <cellStyle name="Normal 13 4 3 3 3" xfId="10268" xr:uid="{00000000-0005-0000-0000-00008E1D0000}"/>
    <cellStyle name="Normal 13 4 3 3 3 2" xfId="22615" xr:uid="{00000000-0005-0000-0000-00008F1D0000}"/>
    <cellStyle name="Normal 13 4 3 3 4" xfId="16394" xr:uid="{00000000-0005-0000-0000-0000901D0000}"/>
    <cellStyle name="Normal 13 4 3 4" xfId="4022" xr:uid="{00000000-0005-0000-0000-0000911D0000}"/>
    <cellStyle name="Normal 13 4 3 4 2" xfId="4023" xr:uid="{00000000-0005-0000-0000-0000921D0000}"/>
    <cellStyle name="Normal 13 4 3 4 2 2" xfId="10271" xr:uid="{00000000-0005-0000-0000-0000931D0000}"/>
    <cellStyle name="Normal 13 4 3 4 2 2 2" xfId="22618" xr:uid="{00000000-0005-0000-0000-0000941D0000}"/>
    <cellStyle name="Normal 13 4 3 4 2 3" xfId="16397" xr:uid="{00000000-0005-0000-0000-0000951D0000}"/>
    <cellStyle name="Normal 13 4 3 4 3" xfId="10270" xr:uid="{00000000-0005-0000-0000-0000961D0000}"/>
    <cellStyle name="Normal 13 4 3 4 3 2" xfId="22617" xr:uid="{00000000-0005-0000-0000-0000971D0000}"/>
    <cellStyle name="Normal 13 4 3 4 4" xfId="16396" xr:uid="{00000000-0005-0000-0000-0000981D0000}"/>
    <cellStyle name="Normal 13 4 3 5" xfId="4024" xr:uid="{00000000-0005-0000-0000-0000991D0000}"/>
    <cellStyle name="Normal 13 4 3 5 2" xfId="10272" xr:uid="{00000000-0005-0000-0000-00009A1D0000}"/>
    <cellStyle name="Normal 13 4 3 5 2 2" xfId="22619" xr:uid="{00000000-0005-0000-0000-00009B1D0000}"/>
    <cellStyle name="Normal 13 4 3 5 3" xfId="16398" xr:uid="{00000000-0005-0000-0000-00009C1D0000}"/>
    <cellStyle name="Normal 13 4 3 6" xfId="10261" xr:uid="{00000000-0005-0000-0000-00009D1D0000}"/>
    <cellStyle name="Normal 13 4 3 6 2" xfId="22608" xr:uid="{00000000-0005-0000-0000-00009E1D0000}"/>
    <cellStyle name="Normal 13 4 3 7" xfId="16387" xr:uid="{00000000-0005-0000-0000-00009F1D0000}"/>
    <cellStyle name="Normal 13 4 4" xfId="4025" xr:uid="{00000000-0005-0000-0000-0000A01D0000}"/>
    <cellStyle name="Normal 13 4 4 2" xfId="4026" xr:uid="{00000000-0005-0000-0000-0000A11D0000}"/>
    <cellStyle name="Normal 13 4 4 2 2" xfId="4027" xr:uid="{00000000-0005-0000-0000-0000A21D0000}"/>
    <cellStyle name="Normal 13 4 4 2 2 2" xfId="10275" xr:uid="{00000000-0005-0000-0000-0000A31D0000}"/>
    <cellStyle name="Normal 13 4 4 2 2 2 2" xfId="22622" xr:uid="{00000000-0005-0000-0000-0000A41D0000}"/>
    <cellStyle name="Normal 13 4 4 2 2 3" xfId="16401" xr:uid="{00000000-0005-0000-0000-0000A51D0000}"/>
    <cellStyle name="Normal 13 4 4 2 3" xfId="10274" xr:uid="{00000000-0005-0000-0000-0000A61D0000}"/>
    <cellStyle name="Normal 13 4 4 2 3 2" xfId="22621" xr:uid="{00000000-0005-0000-0000-0000A71D0000}"/>
    <cellStyle name="Normal 13 4 4 2 4" xfId="16400" xr:uid="{00000000-0005-0000-0000-0000A81D0000}"/>
    <cellStyle name="Normal 13 4 4 3" xfId="4028" xr:uid="{00000000-0005-0000-0000-0000A91D0000}"/>
    <cellStyle name="Normal 13 4 4 3 2" xfId="4029" xr:uid="{00000000-0005-0000-0000-0000AA1D0000}"/>
    <cellStyle name="Normal 13 4 4 3 2 2" xfId="10277" xr:uid="{00000000-0005-0000-0000-0000AB1D0000}"/>
    <cellStyle name="Normal 13 4 4 3 2 2 2" xfId="22624" xr:uid="{00000000-0005-0000-0000-0000AC1D0000}"/>
    <cellStyle name="Normal 13 4 4 3 2 3" xfId="16403" xr:uid="{00000000-0005-0000-0000-0000AD1D0000}"/>
    <cellStyle name="Normal 13 4 4 3 3" xfId="10276" xr:uid="{00000000-0005-0000-0000-0000AE1D0000}"/>
    <cellStyle name="Normal 13 4 4 3 3 2" xfId="22623" xr:uid="{00000000-0005-0000-0000-0000AF1D0000}"/>
    <cellStyle name="Normal 13 4 4 3 4" xfId="16402" xr:uid="{00000000-0005-0000-0000-0000B01D0000}"/>
    <cellStyle name="Normal 13 4 4 4" xfId="4030" xr:uid="{00000000-0005-0000-0000-0000B11D0000}"/>
    <cellStyle name="Normal 13 4 4 4 2" xfId="10278" xr:uid="{00000000-0005-0000-0000-0000B21D0000}"/>
    <cellStyle name="Normal 13 4 4 4 2 2" xfId="22625" xr:uid="{00000000-0005-0000-0000-0000B31D0000}"/>
    <cellStyle name="Normal 13 4 4 4 3" xfId="16404" xr:uid="{00000000-0005-0000-0000-0000B41D0000}"/>
    <cellStyle name="Normal 13 4 4 5" xfId="10273" xr:uid="{00000000-0005-0000-0000-0000B51D0000}"/>
    <cellStyle name="Normal 13 4 4 5 2" xfId="22620" xr:uid="{00000000-0005-0000-0000-0000B61D0000}"/>
    <cellStyle name="Normal 13 4 4 6" xfId="16399" xr:uid="{00000000-0005-0000-0000-0000B71D0000}"/>
    <cellStyle name="Normal 13 4 5" xfId="4031" xr:uid="{00000000-0005-0000-0000-0000B81D0000}"/>
    <cellStyle name="Normal 13 4 5 2" xfId="4032" xr:uid="{00000000-0005-0000-0000-0000B91D0000}"/>
    <cellStyle name="Normal 13 4 5 2 2" xfId="10280" xr:uid="{00000000-0005-0000-0000-0000BA1D0000}"/>
    <cellStyle name="Normal 13 4 5 2 2 2" xfId="22627" xr:uid="{00000000-0005-0000-0000-0000BB1D0000}"/>
    <cellStyle name="Normal 13 4 5 2 3" xfId="16406" xr:uid="{00000000-0005-0000-0000-0000BC1D0000}"/>
    <cellStyle name="Normal 13 4 5 3" xfId="10279" xr:uid="{00000000-0005-0000-0000-0000BD1D0000}"/>
    <cellStyle name="Normal 13 4 5 3 2" xfId="22626" xr:uid="{00000000-0005-0000-0000-0000BE1D0000}"/>
    <cellStyle name="Normal 13 4 5 4" xfId="16405" xr:uid="{00000000-0005-0000-0000-0000BF1D0000}"/>
    <cellStyle name="Normal 13 4 6" xfId="4033" xr:uid="{00000000-0005-0000-0000-0000C01D0000}"/>
    <cellStyle name="Normal 13 4 6 2" xfId="4034" xr:uid="{00000000-0005-0000-0000-0000C11D0000}"/>
    <cellStyle name="Normal 13 4 6 2 2" xfId="10282" xr:uid="{00000000-0005-0000-0000-0000C21D0000}"/>
    <cellStyle name="Normal 13 4 6 2 2 2" xfId="22629" xr:uid="{00000000-0005-0000-0000-0000C31D0000}"/>
    <cellStyle name="Normal 13 4 6 2 3" xfId="16408" xr:uid="{00000000-0005-0000-0000-0000C41D0000}"/>
    <cellStyle name="Normal 13 4 6 3" xfId="10281" xr:uid="{00000000-0005-0000-0000-0000C51D0000}"/>
    <cellStyle name="Normal 13 4 6 3 2" xfId="22628" xr:uid="{00000000-0005-0000-0000-0000C61D0000}"/>
    <cellStyle name="Normal 13 4 6 4" xfId="16407" xr:uid="{00000000-0005-0000-0000-0000C71D0000}"/>
    <cellStyle name="Normal 13 4 7" xfId="4035" xr:uid="{00000000-0005-0000-0000-0000C81D0000}"/>
    <cellStyle name="Normal 13 4 7 2" xfId="10283" xr:uid="{00000000-0005-0000-0000-0000C91D0000}"/>
    <cellStyle name="Normal 13 4 7 2 2" xfId="22630" xr:uid="{00000000-0005-0000-0000-0000CA1D0000}"/>
    <cellStyle name="Normal 13 4 7 3" xfId="16409" xr:uid="{00000000-0005-0000-0000-0000CB1D0000}"/>
    <cellStyle name="Normal 13 5" xfId="4036" xr:uid="{00000000-0005-0000-0000-0000CC1D0000}"/>
    <cellStyle name="Normal 13 5 2" xfId="4037" xr:uid="{00000000-0005-0000-0000-0000CD1D0000}"/>
    <cellStyle name="Normal 13 5 2 2" xfId="4038" xr:uid="{00000000-0005-0000-0000-0000CE1D0000}"/>
    <cellStyle name="Normal 13 5 2 2 2" xfId="4039" xr:uid="{00000000-0005-0000-0000-0000CF1D0000}"/>
    <cellStyle name="Normal 13 5 2 2 2 2" xfId="4040" xr:uid="{00000000-0005-0000-0000-0000D01D0000}"/>
    <cellStyle name="Normal 13 5 2 2 2 2 2" xfId="10288" xr:uid="{00000000-0005-0000-0000-0000D11D0000}"/>
    <cellStyle name="Normal 13 5 2 2 2 2 2 2" xfId="22635" xr:uid="{00000000-0005-0000-0000-0000D21D0000}"/>
    <cellStyle name="Normal 13 5 2 2 2 2 3" xfId="16414" xr:uid="{00000000-0005-0000-0000-0000D31D0000}"/>
    <cellStyle name="Normal 13 5 2 2 2 3" xfId="10287" xr:uid="{00000000-0005-0000-0000-0000D41D0000}"/>
    <cellStyle name="Normal 13 5 2 2 2 3 2" xfId="22634" xr:uid="{00000000-0005-0000-0000-0000D51D0000}"/>
    <cellStyle name="Normal 13 5 2 2 2 4" xfId="16413" xr:uid="{00000000-0005-0000-0000-0000D61D0000}"/>
    <cellStyle name="Normal 13 5 2 2 3" xfId="4041" xr:uid="{00000000-0005-0000-0000-0000D71D0000}"/>
    <cellStyle name="Normal 13 5 2 2 3 2" xfId="4042" xr:uid="{00000000-0005-0000-0000-0000D81D0000}"/>
    <cellStyle name="Normal 13 5 2 2 3 2 2" xfId="10290" xr:uid="{00000000-0005-0000-0000-0000D91D0000}"/>
    <cellStyle name="Normal 13 5 2 2 3 2 2 2" xfId="22637" xr:uid="{00000000-0005-0000-0000-0000DA1D0000}"/>
    <cellStyle name="Normal 13 5 2 2 3 2 3" xfId="16416" xr:uid="{00000000-0005-0000-0000-0000DB1D0000}"/>
    <cellStyle name="Normal 13 5 2 2 3 3" xfId="10289" xr:uid="{00000000-0005-0000-0000-0000DC1D0000}"/>
    <cellStyle name="Normal 13 5 2 2 3 3 2" xfId="22636" xr:uid="{00000000-0005-0000-0000-0000DD1D0000}"/>
    <cellStyle name="Normal 13 5 2 2 3 4" xfId="16415" xr:uid="{00000000-0005-0000-0000-0000DE1D0000}"/>
    <cellStyle name="Normal 13 5 2 2 4" xfId="4043" xr:uid="{00000000-0005-0000-0000-0000DF1D0000}"/>
    <cellStyle name="Normal 13 5 2 2 4 2" xfId="10291" xr:uid="{00000000-0005-0000-0000-0000E01D0000}"/>
    <cellStyle name="Normal 13 5 2 2 4 2 2" xfId="22638" xr:uid="{00000000-0005-0000-0000-0000E11D0000}"/>
    <cellStyle name="Normal 13 5 2 2 4 3" xfId="16417" xr:uid="{00000000-0005-0000-0000-0000E21D0000}"/>
    <cellStyle name="Normal 13 5 2 2 5" xfId="10286" xr:uid="{00000000-0005-0000-0000-0000E31D0000}"/>
    <cellStyle name="Normal 13 5 2 2 5 2" xfId="22633" xr:uid="{00000000-0005-0000-0000-0000E41D0000}"/>
    <cellStyle name="Normal 13 5 2 2 6" xfId="16412" xr:uid="{00000000-0005-0000-0000-0000E51D0000}"/>
    <cellStyle name="Normal 13 5 2 3" xfId="4044" xr:uid="{00000000-0005-0000-0000-0000E61D0000}"/>
    <cellStyle name="Normal 13 5 2 3 2" xfId="4045" xr:uid="{00000000-0005-0000-0000-0000E71D0000}"/>
    <cellStyle name="Normal 13 5 2 3 2 2" xfId="10293" xr:uid="{00000000-0005-0000-0000-0000E81D0000}"/>
    <cellStyle name="Normal 13 5 2 3 2 2 2" xfId="22640" xr:uid="{00000000-0005-0000-0000-0000E91D0000}"/>
    <cellStyle name="Normal 13 5 2 3 2 3" xfId="16419" xr:uid="{00000000-0005-0000-0000-0000EA1D0000}"/>
    <cellStyle name="Normal 13 5 2 3 3" xfId="10292" xr:uid="{00000000-0005-0000-0000-0000EB1D0000}"/>
    <cellStyle name="Normal 13 5 2 3 3 2" xfId="22639" xr:uid="{00000000-0005-0000-0000-0000EC1D0000}"/>
    <cellStyle name="Normal 13 5 2 3 4" xfId="16418" xr:uid="{00000000-0005-0000-0000-0000ED1D0000}"/>
    <cellStyle name="Normal 13 5 2 4" xfId="4046" xr:uid="{00000000-0005-0000-0000-0000EE1D0000}"/>
    <cellStyle name="Normal 13 5 2 4 2" xfId="4047" xr:uid="{00000000-0005-0000-0000-0000EF1D0000}"/>
    <cellStyle name="Normal 13 5 2 4 2 2" xfId="10295" xr:uid="{00000000-0005-0000-0000-0000F01D0000}"/>
    <cellStyle name="Normal 13 5 2 4 2 2 2" xfId="22642" xr:uid="{00000000-0005-0000-0000-0000F11D0000}"/>
    <cellStyle name="Normal 13 5 2 4 2 3" xfId="16421" xr:uid="{00000000-0005-0000-0000-0000F21D0000}"/>
    <cellStyle name="Normal 13 5 2 4 3" xfId="10294" xr:uid="{00000000-0005-0000-0000-0000F31D0000}"/>
    <cellStyle name="Normal 13 5 2 4 3 2" xfId="22641" xr:uid="{00000000-0005-0000-0000-0000F41D0000}"/>
    <cellStyle name="Normal 13 5 2 4 4" xfId="16420" xr:uid="{00000000-0005-0000-0000-0000F51D0000}"/>
    <cellStyle name="Normal 13 5 2 5" xfId="4048" xr:uid="{00000000-0005-0000-0000-0000F61D0000}"/>
    <cellStyle name="Normal 13 5 2 5 2" xfId="10296" xr:uid="{00000000-0005-0000-0000-0000F71D0000}"/>
    <cellStyle name="Normal 13 5 2 5 2 2" xfId="22643" xr:uid="{00000000-0005-0000-0000-0000F81D0000}"/>
    <cellStyle name="Normal 13 5 2 5 3" xfId="16422" xr:uid="{00000000-0005-0000-0000-0000F91D0000}"/>
    <cellStyle name="Normal 13 5 2 6" xfId="10285" xr:uid="{00000000-0005-0000-0000-0000FA1D0000}"/>
    <cellStyle name="Normal 13 5 2 6 2" xfId="22632" xr:uid="{00000000-0005-0000-0000-0000FB1D0000}"/>
    <cellStyle name="Normal 13 5 2 7" xfId="16411" xr:uid="{00000000-0005-0000-0000-0000FC1D0000}"/>
    <cellStyle name="Normal 13 5 3" xfId="4049" xr:uid="{00000000-0005-0000-0000-0000FD1D0000}"/>
    <cellStyle name="Normal 13 5 3 2" xfId="4050" xr:uid="{00000000-0005-0000-0000-0000FE1D0000}"/>
    <cellStyle name="Normal 13 5 3 2 2" xfId="4051" xr:uid="{00000000-0005-0000-0000-0000FF1D0000}"/>
    <cellStyle name="Normal 13 5 3 2 2 2" xfId="10299" xr:uid="{00000000-0005-0000-0000-0000001E0000}"/>
    <cellStyle name="Normal 13 5 3 2 2 2 2" xfId="22646" xr:uid="{00000000-0005-0000-0000-0000011E0000}"/>
    <cellStyle name="Normal 13 5 3 2 2 3" xfId="16425" xr:uid="{00000000-0005-0000-0000-0000021E0000}"/>
    <cellStyle name="Normal 13 5 3 2 3" xfId="10298" xr:uid="{00000000-0005-0000-0000-0000031E0000}"/>
    <cellStyle name="Normal 13 5 3 2 3 2" xfId="22645" xr:uid="{00000000-0005-0000-0000-0000041E0000}"/>
    <cellStyle name="Normal 13 5 3 2 4" xfId="16424" xr:uid="{00000000-0005-0000-0000-0000051E0000}"/>
    <cellStyle name="Normal 13 5 3 3" xfId="4052" xr:uid="{00000000-0005-0000-0000-0000061E0000}"/>
    <cellStyle name="Normal 13 5 3 3 2" xfId="4053" xr:uid="{00000000-0005-0000-0000-0000071E0000}"/>
    <cellStyle name="Normal 13 5 3 3 2 2" xfId="10301" xr:uid="{00000000-0005-0000-0000-0000081E0000}"/>
    <cellStyle name="Normal 13 5 3 3 2 2 2" xfId="22648" xr:uid="{00000000-0005-0000-0000-0000091E0000}"/>
    <cellStyle name="Normal 13 5 3 3 2 3" xfId="16427" xr:uid="{00000000-0005-0000-0000-00000A1E0000}"/>
    <cellStyle name="Normal 13 5 3 3 3" xfId="10300" xr:uid="{00000000-0005-0000-0000-00000B1E0000}"/>
    <cellStyle name="Normal 13 5 3 3 3 2" xfId="22647" xr:uid="{00000000-0005-0000-0000-00000C1E0000}"/>
    <cellStyle name="Normal 13 5 3 3 4" xfId="16426" xr:uid="{00000000-0005-0000-0000-00000D1E0000}"/>
    <cellStyle name="Normal 13 5 3 4" xfId="4054" xr:uid="{00000000-0005-0000-0000-00000E1E0000}"/>
    <cellStyle name="Normal 13 5 3 4 2" xfId="10302" xr:uid="{00000000-0005-0000-0000-00000F1E0000}"/>
    <cellStyle name="Normal 13 5 3 4 2 2" xfId="22649" xr:uid="{00000000-0005-0000-0000-0000101E0000}"/>
    <cellStyle name="Normal 13 5 3 4 3" xfId="16428" xr:uid="{00000000-0005-0000-0000-0000111E0000}"/>
    <cellStyle name="Normal 13 5 3 5" xfId="10297" xr:uid="{00000000-0005-0000-0000-0000121E0000}"/>
    <cellStyle name="Normal 13 5 3 5 2" xfId="22644" xr:uid="{00000000-0005-0000-0000-0000131E0000}"/>
    <cellStyle name="Normal 13 5 3 6" xfId="16423" xr:uid="{00000000-0005-0000-0000-0000141E0000}"/>
    <cellStyle name="Normal 13 5 4" xfId="4055" xr:uid="{00000000-0005-0000-0000-0000151E0000}"/>
    <cellStyle name="Normal 13 5 4 2" xfId="4056" xr:uid="{00000000-0005-0000-0000-0000161E0000}"/>
    <cellStyle name="Normal 13 5 4 2 2" xfId="10304" xr:uid="{00000000-0005-0000-0000-0000171E0000}"/>
    <cellStyle name="Normal 13 5 4 2 2 2" xfId="22651" xr:uid="{00000000-0005-0000-0000-0000181E0000}"/>
    <cellStyle name="Normal 13 5 4 2 3" xfId="16430" xr:uid="{00000000-0005-0000-0000-0000191E0000}"/>
    <cellStyle name="Normal 13 5 4 3" xfId="10303" xr:uid="{00000000-0005-0000-0000-00001A1E0000}"/>
    <cellStyle name="Normal 13 5 4 3 2" xfId="22650" xr:uid="{00000000-0005-0000-0000-00001B1E0000}"/>
    <cellStyle name="Normal 13 5 4 4" xfId="16429" xr:uid="{00000000-0005-0000-0000-00001C1E0000}"/>
    <cellStyle name="Normal 13 5 5" xfId="4057" xr:uid="{00000000-0005-0000-0000-00001D1E0000}"/>
    <cellStyle name="Normal 13 5 5 2" xfId="4058" xr:uid="{00000000-0005-0000-0000-00001E1E0000}"/>
    <cellStyle name="Normal 13 5 5 2 2" xfId="10306" xr:uid="{00000000-0005-0000-0000-00001F1E0000}"/>
    <cellStyle name="Normal 13 5 5 2 2 2" xfId="22653" xr:uid="{00000000-0005-0000-0000-0000201E0000}"/>
    <cellStyle name="Normal 13 5 5 2 3" xfId="16432" xr:uid="{00000000-0005-0000-0000-0000211E0000}"/>
    <cellStyle name="Normal 13 5 5 3" xfId="10305" xr:uid="{00000000-0005-0000-0000-0000221E0000}"/>
    <cellStyle name="Normal 13 5 5 3 2" xfId="22652" xr:uid="{00000000-0005-0000-0000-0000231E0000}"/>
    <cellStyle name="Normal 13 5 5 4" xfId="16431" xr:uid="{00000000-0005-0000-0000-0000241E0000}"/>
    <cellStyle name="Normal 13 5 6" xfId="4059" xr:uid="{00000000-0005-0000-0000-0000251E0000}"/>
    <cellStyle name="Normal 13 5 6 2" xfId="10307" xr:uid="{00000000-0005-0000-0000-0000261E0000}"/>
    <cellStyle name="Normal 13 5 6 2 2" xfId="22654" xr:uid="{00000000-0005-0000-0000-0000271E0000}"/>
    <cellStyle name="Normal 13 5 6 3" xfId="16433" xr:uid="{00000000-0005-0000-0000-0000281E0000}"/>
    <cellStyle name="Normal 13 5 7" xfId="10284" xr:uid="{00000000-0005-0000-0000-0000291E0000}"/>
    <cellStyle name="Normal 13 5 7 2" xfId="22631" xr:uid="{00000000-0005-0000-0000-00002A1E0000}"/>
    <cellStyle name="Normal 13 5 8" xfId="16410" xr:uid="{00000000-0005-0000-0000-00002B1E0000}"/>
    <cellStyle name="Normal 13 6" xfId="4060" xr:uid="{00000000-0005-0000-0000-00002C1E0000}"/>
    <cellStyle name="Normal 13 6 2" xfId="4061" xr:uid="{00000000-0005-0000-0000-00002D1E0000}"/>
    <cellStyle name="Normal 13 6 2 2" xfId="4062" xr:uid="{00000000-0005-0000-0000-00002E1E0000}"/>
    <cellStyle name="Normal 13 6 2 2 2" xfId="4063" xr:uid="{00000000-0005-0000-0000-00002F1E0000}"/>
    <cellStyle name="Normal 13 6 2 2 2 2" xfId="10311" xr:uid="{00000000-0005-0000-0000-0000301E0000}"/>
    <cellStyle name="Normal 13 6 2 2 2 2 2" xfId="22657" xr:uid="{00000000-0005-0000-0000-0000311E0000}"/>
    <cellStyle name="Normal 13 6 2 2 2 3" xfId="16437" xr:uid="{00000000-0005-0000-0000-0000321E0000}"/>
    <cellStyle name="Normal 13 6 2 2 3" xfId="10310" xr:uid="{00000000-0005-0000-0000-0000331E0000}"/>
    <cellStyle name="Normal 13 6 2 2 3 2" xfId="22656" xr:uid="{00000000-0005-0000-0000-0000341E0000}"/>
    <cellStyle name="Normal 13 6 2 2 4" xfId="16436" xr:uid="{00000000-0005-0000-0000-0000351E0000}"/>
    <cellStyle name="Normal 13 6 2 3" xfId="4064" xr:uid="{00000000-0005-0000-0000-0000361E0000}"/>
    <cellStyle name="Normal 13 6 2 3 2" xfId="4065" xr:uid="{00000000-0005-0000-0000-0000371E0000}"/>
    <cellStyle name="Normal 13 6 2 3 2 2" xfId="10313" xr:uid="{00000000-0005-0000-0000-0000381E0000}"/>
    <cellStyle name="Normal 13 6 2 3 2 2 2" xfId="22659" xr:uid="{00000000-0005-0000-0000-0000391E0000}"/>
    <cellStyle name="Normal 13 6 2 3 2 3" xfId="16439" xr:uid="{00000000-0005-0000-0000-00003A1E0000}"/>
    <cellStyle name="Normal 13 6 2 3 3" xfId="10312" xr:uid="{00000000-0005-0000-0000-00003B1E0000}"/>
    <cellStyle name="Normal 13 6 2 3 3 2" xfId="22658" xr:uid="{00000000-0005-0000-0000-00003C1E0000}"/>
    <cellStyle name="Normal 13 6 2 3 4" xfId="16438" xr:uid="{00000000-0005-0000-0000-00003D1E0000}"/>
    <cellStyle name="Normal 13 6 2 4" xfId="4066" xr:uid="{00000000-0005-0000-0000-00003E1E0000}"/>
    <cellStyle name="Normal 13 6 2 4 2" xfId="10314" xr:uid="{00000000-0005-0000-0000-00003F1E0000}"/>
    <cellStyle name="Normal 13 6 2 4 2 2" xfId="22660" xr:uid="{00000000-0005-0000-0000-0000401E0000}"/>
    <cellStyle name="Normal 13 6 2 4 3" xfId="16440" xr:uid="{00000000-0005-0000-0000-0000411E0000}"/>
    <cellStyle name="Normal 13 6 2 5" xfId="10309" xr:uid="{00000000-0005-0000-0000-0000421E0000}"/>
    <cellStyle name="Normal 13 6 2 5 2" xfId="22655" xr:uid="{00000000-0005-0000-0000-0000431E0000}"/>
    <cellStyle name="Normal 13 6 2 6" xfId="16435" xr:uid="{00000000-0005-0000-0000-0000441E0000}"/>
    <cellStyle name="Normal 13 6 3" xfId="4067" xr:uid="{00000000-0005-0000-0000-0000451E0000}"/>
    <cellStyle name="Normal 13 6 3 2" xfId="4068" xr:uid="{00000000-0005-0000-0000-0000461E0000}"/>
    <cellStyle name="Normal 13 6 3 2 2" xfId="10316" xr:uid="{00000000-0005-0000-0000-0000471E0000}"/>
    <cellStyle name="Normal 13 6 3 2 2 2" xfId="22662" xr:uid="{00000000-0005-0000-0000-0000481E0000}"/>
    <cellStyle name="Normal 13 6 3 2 3" xfId="16442" xr:uid="{00000000-0005-0000-0000-0000491E0000}"/>
    <cellStyle name="Normal 13 6 3 3" xfId="10315" xr:uid="{00000000-0005-0000-0000-00004A1E0000}"/>
    <cellStyle name="Normal 13 6 3 3 2" xfId="22661" xr:uid="{00000000-0005-0000-0000-00004B1E0000}"/>
    <cellStyle name="Normal 13 6 3 4" xfId="16441" xr:uid="{00000000-0005-0000-0000-00004C1E0000}"/>
    <cellStyle name="Normal 13 6 4" xfId="4069" xr:uid="{00000000-0005-0000-0000-00004D1E0000}"/>
    <cellStyle name="Normal 13 6 4 2" xfId="4070" xr:uid="{00000000-0005-0000-0000-00004E1E0000}"/>
    <cellStyle name="Normal 13 6 4 2 2" xfId="10318" xr:uid="{00000000-0005-0000-0000-00004F1E0000}"/>
    <cellStyle name="Normal 13 6 4 2 2 2" xfId="22664" xr:uid="{00000000-0005-0000-0000-0000501E0000}"/>
    <cellStyle name="Normal 13 6 4 2 3" xfId="16444" xr:uid="{00000000-0005-0000-0000-0000511E0000}"/>
    <cellStyle name="Normal 13 6 4 3" xfId="10317" xr:uid="{00000000-0005-0000-0000-0000521E0000}"/>
    <cellStyle name="Normal 13 6 4 3 2" xfId="22663" xr:uid="{00000000-0005-0000-0000-0000531E0000}"/>
    <cellStyle name="Normal 13 6 4 4" xfId="16443" xr:uid="{00000000-0005-0000-0000-0000541E0000}"/>
    <cellStyle name="Normal 13 6 5" xfId="4071" xr:uid="{00000000-0005-0000-0000-0000551E0000}"/>
    <cellStyle name="Normal 13 6 5 2" xfId="10319" xr:uid="{00000000-0005-0000-0000-0000561E0000}"/>
    <cellStyle name="Normal 13 6 5 2 2" xfId="22665" xr:uid="{00000000-0005-0000-0000-0000571E0000}"/>
    <cellStyle name="Normal 13 6 5 3" xfId="16445" xr:uid="{00000000-0005-0000-0000-0000581E0000}"/>
    <cellStyle name="Normal 13 6 6" xfId="4072" xr:uid="{00000000-0005-0000-0000-0000591E0000}"/>
    <cellStyle name="Normal 13 6 6 2" xfId="16446" xr:uid="{00000000-0005-0000-0000-00005A1E0000}"/>
    <cellStyle name="Normal 13 6 7" xfId="10308" xr:uid="{00000000-0005-0000-0000-00005B1E0000}"/>
    <cellStyle name="Normal 13 6 8" xfId="16434" xr:uid="{00000000-0005-0000-0000-00005C1E0000}"/>
    <cellStyle name="Normal 13 7" xfId="4073" xr:uid="{00000000-0005-0000-0000-00005D1E0000}"/>
    <cellStyle name="Normal 13 7 2" xfId="4074" xr:uid="{00000000-0005-0000-0000-00005E1E0000}"/>
    <cellStyle name="Normal 13 7 2 2" xfId="4075" xr:uid="{00000000-0005-0000-0000-00005F1E0000}"/>
    <cellStyle name="Normal 13 7 2 2 2" xfId="10322" xr:uid="{00000000-0005-0000-0000-0000601E0000}"/>
    <cellStyle name="Normal 13 7 2 2 2 2" xfId="22667" xr:uid="{00000000-0005-0000-0000-0000611E0000}"/>
    <cellStyle name="Normal 13 7 2 2 3" xfId="16448" xr:uid="{00000000-0005-0000-0000-0000621E0000}"/>
    <cellStyle name="Normal 13 7 2 3" xfId="10321" xr:uid="{00000000-0005-0000-0000-0000631E0000}"/>
    <cellStyle name="Normal 13 7 2 3 2" xfId="22666" xr:uid="{00000000-0005-0000-0000-0000641E0000}"/>
    <cellStyle name="Normal 13 7 2 4" xfId="16447" xr:uid="{00000000-0005-0000-0000-0000651E0000}"/>
    <cellStyle name="Normal 13 7 3" xfId="4076" xr:uid="{00000000-0005-0000-0000-0000661E0000}"/>
    <cellStyle name="Normal 13 7 3 2" xfId="4077" xr:uid="{00000000-0005-0000-0000-0000671E0000}"/>
    <cellStyle name="Normal 13 7 3 2 2" xfId="10324" xr:uid="{00000000-0005-0000-0000-0000681E0000}"/>
    <cellStyle name="Normal 13 7 3 2 2 2" xfId="22669" xr:uid="{00000000-0005-0000-0000-0000691E0000}"/>
    <cellStyle name="Normal 13 7 3 2 3" xfId="16450" xr:uid="{00000000-0005-0000-0000-00006A1E0000}"/>
    <cellStyle name="Normal 13 7 3 3" xfId="10323" xr:uid="{00000000-0005-0000-0000-00006B1E0000}"/>
    <cellStyle name="Normal 13 7 3 3 2" xfId="22668" xr:uid="{00000000-0005-0000-0000-00006C1E0000}"/>
    <cellStyle name="Normal 13 7 3 4" xfId="16449" xr:uid="{00000000-0005-0000-0000-00006D1E0000}"/>
    <cellStyle name="Normal 13 7 4" xfId="4078" xr:uid="{00000000-0005-0000-0000-00006E1E0000}"/>
    <cellStyle name="Normal 13 7 4 2" xfId="10325" xr:uid="{00000000-0005-0000-0000-00006F1E0000}"/>
    <cellStyle name="Normal 13 7 4 2 2" xfId="22670" xr:uid="{00000000-0005-0000-0000-0000701E0000}"/>
    <cellStyle name="Normal 13 7 4 3" xfId="16451" xr:uid="{00000000-0005-0000-0000-0000711E0000}"/>
    <cellStyle name="Normal 13 7 5" xfId="10320" xr:uid="{00000000-0005-0000-0000-0000721E0000}"/>
    <cellStyle name="Normal 13 8" xfId="4079" xr:uid="{00000000-0005-0000-0000-0000731E0000}"/>
    <cellStyle name="Normal 13 8 2" xfId="4080" xr:uid="{00000000-0005-0000-0000-0000741E0000}"/>
    <cellStyle name="Normal 13 8 2 2" xfId="10327" xr:uid="{00000000-0005-0000-0000-0000751E0000}"/>
    <cellStyle name="Normal 13 8 2 2 2" xfId="22671" xr:uid="{00000000-0005-0000-0000-0000761E0000}"/>
    <cellStyle name="Normal 13 8 2 3" xfId="16453" xr:uid="{00000000-0005-0000-0000-0000771E0000}"/>
    <cellStyle name="Normal 13 8 3" xfId="10326" xr:uid="{00000000-0005-0000-0000-0000781E0000}"/>
    <cellStyle name="Normal 13 8 4" xfId="16452" xr:uid="{00000000-0005-0000-0000-0000791E0000}"/>
    <cellStyle name="Normal 13 9" xfId="4081" xr:uid="{00000000-0005-0000-0000-00007A1E0000}"/>
    <cellStyle name="Normal 13 9 2" xfId="4082" xr:uid="{00000000-0005-0000-0000-00007B1E0000}"/>
    <cellStyle name="Normal 13 9 2 2" xfId="10329" xr:uid="{00000000-0005-0000-0000-00007C1E0000}"/>
    <cellStyle name="Normal 13 9 2 2 2" xfId="22673" xr:uid="{00000000-0005-0000-0000-00007D1E0000}"/>
    <cellStyle name="Normal 13 9 2 3" xfId="16455" xr:uid="{00000000-0005-0000-0000-00007E1E0000}"/>
    <cellStyle name="Normal 13 9 3" xfId="10328" xr:uid="{00000000-0005-0000-0000-00007F1E0000}"/>
    <cellStyle name="Normal 13 9 3 2" xfId="22672" xr:uid="{00000000-0005-0000-0000-0000801E0000}"/>
    <cellStyle name="Normal 13 9 4" xfId="16454" xr:uid="{00000000-0005-0000-0000-0000811E0000}"/>
    <cellStyle name="Normal 13_Recycling Tons" xfId="4083" xr:uid="{00000000-0005-0000-0000-0000821E0000}"/>
    <cellStyle name="Normal 130" xfId="4084" xr:uid="{00000000-0005-0000-0000-0000831E0000}"/>
    <cellStyle name="Normal 130 2" xfId="16456" xr:uid="{00000000-0005-0000-0000-0000841E0000}"/>
    <cellStyle name="Normal 131" xfId="4085" xr:uid="{00000000-0005-0000-0000-0000851E0000}"/>
    <cellStyle name="Normal 131 2" xfId="16457" xr:uid="{00000000-0005-0000-0000-0000861E0000}"/>
    <cellStyle name="Normal 132" xfId="4086" xr:uid="{00000000-0005-0000-0000-0000871E0000}"/>
    <cellStyle name="Normal 132 2" xfId="16458" xr:uid="{00000000-0005-0000-0000-0000881E0000}"/>
    <cellStyle name="Normal 132 3" xfId="23041" xr:uid="{805E3359-7FF0-44E8-A5CF-C92496394122}"/>
    <cellStyle name="Normal 132 3 2" xfId="23044" xr:uid="{CA49A594-5A69-4B87-843D-9CCF24C3BD35}"/>
    <cellStyle name="Normal 133" xfId="4087" xr:uid="{00000000-0005-0000-0000-0000891E0000}"/>
    <cellStyle name="Normal 133 2" xfId="16459" xr:uid="{00000000-0005-0000-0000-00008A1E0000}"/>
    <cellStyle name="Normal 134" xfId="4088" xr:uid="{00000000-0005-0000-0000-00008B1E0000}"/>
    <cellStyle name="Normal 134 2" xfId="16460" xr:uid="{00000000-0005-0000-0000-00008C1E0000}"/>
    <cellStyle name="Normal 135" xfId="4089" xr:uid="{00000000-0005-0000-0000-00008D1E0000}"/>
    <cellStyle name="Normal 135 2" xfId="16461" xr:uid="{00000000-0005-0000-0000-00008E1E0000}"/>
    <cellStyle name="Normal 136" xfId="4090" xr:uid="{00000000-0005-0000-0000-00008F1E0000}"/>
    <cellStyle name="Normal 136 2" xfId="16462" xr:uid="{00000000-0005-0000-0000-0000901E0000}"/>
    <cellStyle name="Normal 137" xfId="9214" xr:uid="{00000000-0005-0000-0000-0000911E0000}"/>
    <cellStyle name="Normal 138" xfId="15198" xr:uid="{00000000-0005-0000-0000-0000921E0000}"/>
    <cellStyle name="Normal 138 2" xfId="22830" xr:uid="{00000000-0005-0000-0000-0000931E0000}"/>
    <cellStyle name="Normal 139" xfId="15203" xr:uid="{00000000-0005-0000-0000-0000941E0000}"/>
    <cellStyle name="Normal 139 2" xfId="22833" xr:uid="{00000000-0005-0000-0000-0000951E0000}"/>
    <cellStyle name="Normal 14" xfId="4091" xr:uid="{00000000-0005-0000-0000-0000961E0000}"/>
    <cellStyle name="Normal 14 10" xfId="10330" xr:uid="{00000000-0005-0000-0000-0000971E0000}"/>
    <cellStyle name="Normal 14 10 2" xfId="22674" xr:uid="{00000000-0005-0000-0000-0000981E0000}"/>
    <cellStyle name="Normal 14 11" xfId="16463" xr:uid="{00000000-0005-0000-0000-0000991E0000}"/>
    <cellStyle name="Normal 14 2" xfId="4092" xr:uid="{00000000-0005-0000-0000-00009A1E0000}"/>
    <cellStyle name="Normal 14 2 2" xfId="4093" xr:uid="{00000000-0005-0000-0000-00009B1E0000}"/>
    <cellStyle name="Normal 14 2 2 2" xfId="4094" xr:uid="{00000000-0005-0000-0000-00009C1E0000}"/>
    <cellStyle name="Normal 14 2 2 2 2" xfId="4095" xr:uid="{00000000-0005-0000-0000-00009D1E0000}"/>
    <cellStyle name="Normal 14 2 2 2 2 2" xfId="4096" xr:uid="{00000000-0005-0000-0000-00009E1E0000}"/>
    <cellStyle name="Normal 14 2 2 2 2 2 2" xfId="4097" xr:uid="{00000000-0005-0000-0000-00009F1E0000}"/>
    <cellStyle name="Normal 14 2 2 2 2 2 2 2" xfId="10336" xr:uid="{00000000-0005-0000-0000-0000A01E0000}"/>
    <cellStyle name="Normal 14 2 2 2 2 2 2 2 2" xfId="22678" xr:uid="{00000000-0005-0000-0000-0000A11E0000}"/>
    <cellStyle name="Normal 14 2 2 2 2 2 2 3" xfId="16469" xr:uid="{00000000-0005-0000-0000-0000A21E0000}"/>
    <cellStyle name="Normal 14 2 2 2 2 2 3" xfId="10335" xr:uid="{00000000-0005-0000-0000-0000A31E0000}"/>
    <cellStyle name="Normal 14 2 2 2 2 2 3 2" xfId="22677" xr:uid="{00000000-0005-0000-0000-0000A41E0000}"/>
    <cellStyle name="Normal 14 2 2 2 2 2 4" xfId="16468" xr:uid="{00000000-0005-0000-0000-0000A51E0000}"/>
    <cellStyle name="Normal 14 2 2 2 2 3" xfId="4098" xr:uid="{00000000-0005-0000-0000-0000A61E0000}"/>
    <cellStyle name="Normal 14 2 2 2 2 3 2" xfId="4099" xr:uid="{00000000-0005-0000-0000-0000A71E0000}"/>
    <cellStyle name="Normal 14 2 2 2 2 3 2 2" xfId="10338" xr:uid="{00000000-0005-0000-0000-0000A81E0000}"/>
    <cellStyle name="Normal 14 2 2 2 2 3 2 2 2" xfId="22680" xr:uid="{00000000-0005-0000-0000-0000A91E0000}"/>
    <cellStyle name="Normal 14 2 2 2 2 3 2 3" xfId="16471" xr:uid="{00000000-0005-0000-0000-0000AA1E0000}"/>
    <cellStyle name="Normal 14 2 2 2 2 3 3" xfId="10337" xr:uid="{00000000-0005-0000-0000-0000AB1E0000}"/>
    <cellStyle name="Normal 14 2 2 2 2 3 3 2" xfId="22679" xr:uid="{00000000-0005-0000-0000-0000AC1E0000}"/>
    <cellStyle name="Normal 14 2 2 2 2 3 4" xfId="16470" xr:uid="{00000000-0005-0000-0000-0000AD1E0000}"/>
    <cellStyle name="Normal 14 2 2 2 2 4" xfId="4100" xr:uid="{00000000-0005-0000-0000-0000AE1E0000}"/>
    <cellStyle name="Normal 14 2 2 2 2 4 2" xfId="10339" xr:uid="{00000000-0005-0000-0000-0000AF1E0000}"/>
    <cellStyle name="Normal 14 2 2 2 2 4 2 2" xfId="22681" xr:uid="{00000000-0005-0000-0000-0000B01E0000}"/>
    <cellStyle name="Normal 14 2 2 2 2 4 3" xfId="16472" xr:uid="{00000000-0005-0000-0000-0000B11E0000}"/>
    <cellStyle name="Normal 14 2 2 2 2 5" xfId="10334" xr:uid="{00000000-0005-0000-0000-0000B21E0000}"/>
    <cellStyle name="Normal 14 2 2 2 2 5 2" xfId="22676" xr:uid="{00000000-0005-0000-0000-0000B31E0000}"/>
    <cellStyle name="Normal 14 2 2 2 2 6" xfId="16467" xr:uid="{00000000-0005-0000-0000-0000B41E0000}"/>
    <cellStyle name="Normal 14 2 2 2 3" xfId="4101" xr:uid="{00000000-0005-0000-0000-0000B51E0000}"/>
    <cellStyle name="Normal 14 2 2 2 3 2" xfId="4102" xr:uid="{00000000-0005-0000-0000-0000B61E0000}"/>
    <cellStyle name="Normal 14 2 2 2 3 2 2" xfId="10341" xr:uid="{00000000-0005-0000-0000-0000B71E0000}"/>
    <cellStyle name="Normal 14 2 2 2 3 2 2 2" xfId="22683" xr:uid="{00000000-0005-0000-0000-0000B81E0000}"/>
    <cellStyle name="Normal 14 2 2 2 3 2 3" xfId="16474" xr:uid="{00000000-0005-0000-0000-0000B91E0000}"/>
    <cellStyle name="Normal 14 2 2 2 3 3" xfId="10340" xr:uid="{00000000-0005-0000-0000-0000BA1E0000}"/>
    <cellStyle name="Normal 14 2 2 2 3 3 2" xfId="22682" xr:uid="{00000000-0005-0000-0000-0000BB1E0000}"/>
    <cellStyle name="Normal 14 2 2 2 3 4" xfId="16473" xr:uid="{00000000-0005-0000-0000-0000BC1E0000}"/>
    <cellStyle name="Normal 14 2 2 2 4" xfId="4103" xr:uid="{00000000-0005-0000-0000-0000BD1E0000}"/>
    <cellStyle name="Normal 14 2 2 2 4 2" xfId="4104" xr:uid="{00000000-0005-0000-0000-0000BE1E0000}"/>
    <cellStyle name="Normal 14 2 2 2 4 2 2" xfId="10343" xr:uid="{00000000-0005-0000-0000-0000BF1E0000}"/>
    <cellStyle name="Normal 14 2 2 2 4 2 2 2" xfId="22685" xr:uid="{00000000-0005-0000-0000-0000C01E0000}"/>
    <cellStyle name="Normal 14 2 2 2 4 2 3" xfId="16476" xr:uid="{00000000-0005-0000-0000-0000C11E0000}"/>
    <cellStyle name="Normal 14 2 2 2 4 3" xfId="10342" xr:uid="{00000000-0005-0000-0000-0000C21E0000}"/>
    <cellStyle name="Normal 14 2 2 2 4 3 2" xfId="22684" xr:uid="{00000000-0005-0000-0000-0000C31E0000}"/>
    <cellStyle name="Normal 14 2 2 2 4 4" xfId="16475" xr:uid="{00000000-0005-0000-0000-0000C41E0000}"/>
    <cellStyle name="Normal 14 2 2 2 5" xfId="4105" xr:uid="{00000000-0005-0000-0000-0000C51E0000}"/>
    <cellStyle name="Normal 14 2 2 2 5 2" xfId="10344" xr:uid="{00000000-0005-0000-0000-0000C61E0000}"/>
    <cellStyle name="Normal 14 2 2 2 5 2 2" xfId="22686" xr:uid="{00000000-0005-0000-0000-0000C71E0000}"/>
    <cellStyle name="Normal 14 2 2 2 5 3" xfId="16477" xr:uid="{00000000-0005-0000-0000-0000C81E0000}"/>
    <cellStyle name="Normal 14 2 2 2 6" xfId="10333" xr:uid="{00000000-0005-0000-0000-0000C91E0000}"/>
    <cellStyle name="Normal 14 2 2 2 7" xfId="16466" xr:uid="{00000000-0005-0000-0000-0000CA1E0000}"/>
    <cellStyle name="Normal 14 2 2 3" xfId="4106" xr:uid="{00000000-0005-0000-0000-0000CB1E0000}"/>
    <cellStyle name="Normal 14 2 2 3 2" xfId="4107" xr:uid="{00000000-0005-0000-0000-0000CC1E0000}"/>
    <cellStyle name="Normal 14 2 2 3 2 2" xfId="4108" xr:uid="{00000000-0005-0000-0000-0000CD1E0000}"/>
    <cellStyle name="Normal 14 2 2 3 2 2 2" xfId="10347" xr:uid="{00000000-0005-0000-0000-0000CE1E0000}"/>
    <cellStyle name="Normal 14 2 2 3 2 2 2 2" xfId="22689" xr:uid="{00000000-0005-0000-0000-0000CF1E0000}"/>
    <cellStyle name="Normal 14 2 2 3 2 2 3" xfId="16480" xr:uid="{00000000-0005-0000-0000-0000D01E0000}"/>
    <cellStyle name="Normal 14 2 2 3 2 3" xfId="10346" xr:uid="{00000000-0005-0000-0000-0000D11E0000}"/>
    <cellStyle name="Normal 14 2 2 3 2 3 2" xfId="22688" xr:uid="{00000000-0005-0000-0000-0000D21E0000}"/>
    <cellStyle name="Normal 14 2 2 3 2 4" xfId="16479" xr:uid="{00000000-0005-0000-0000-0000D31E0000}"/>
    <cellStyle name="Normal 14 2 2 3 3" xfId="4109" xr:uid="{00000000-0005-0000-0000-0000D41E0000}"/>
    <cellStyle name="Normal 14 2 2 3 3 2" xfId="4110" xr:uid="{00000000-0005-0000-0000-0000D51E0000}"/>
    <cellStyle name="Normal 14 2 2 3 3 2 2" xfId="10349" xr:uid="{00000000-0005-0000-0000-0000D61E0000}"/>
    <cellStyle name="Normal 14 2 2 3 3 2 2 2" xfId="22691" xr:uid="{00000000-0005-0000-0000-0000D71E0000}"/>
    <cellStyle name="Normal 14 2 2 3 3 2 3" xfId="16482" xr:uid="{00000000-0005-0000-0000-0000D81E0000}"/>
    <cellStyle name="Normal 14 2 2 3 3 3" xfId="10348" xr:uid="{00000000-0005-0000-0000-0000D91E0000}"/>
    <cellStyle name="Normal 14 2 2 3 3 3 2" xfId="22690" xr:uid="{00000000-0005-0000-0000-0000DA1E0000}"/>
    <cellStyle name="Normal 14 2 2 3 3 4" xfId="16481" xr:uid="{00000000-0005-0000-0000-0000DB1E0000}"/>
    <cellStyle name="Normal 14 2 2 3 4" xfId="4111" xr:uid="{00000000-0005-0000-0000-0000DC1E0000}"/>
    <cellStyle name="Normal 14 2 2 3 4 2" xfId="10350" xr:uid="{00000000-0005-0000-0000-0000DD1E0000}"/>
    <cellStyle name="Normal 14 2 2 3 4 2 2" xfId="22692" xr:uid="{00000000-0005-0000-0000-0000DE1E0000}"/>
    <cellStyle name="Normal 14 2 2 3 4 3" xfId="16483" xr:uid="{00000000-0005-0000-0000-0000DF1E0000}"/>
    <cellStyle name="Normal 14 2 2 3 5" xfId="10345" xr:uid="{00000000-0005-0000-0000-0000E01E0000}"/>
    <cellStyle name="Normal 14 2 2 3 5 2" xfId="22687" xr:uid="{00000000-0005-0000-0000-0000E11E0000}"/>
    <cellStyle name="Normal 14 2 2 3 6" xfId="16478" xr:uid="{00000000-0005-0000-0000-0000E21E0000}"/>
    <cellStyle name="Normal 14 2 2 4" xfId="4112" xr:uid="{00000000-0005-0000-0000-0000E31E0000}"/>
    <cellStyle name="Normal 14 2 2 4 2" xfId="4113" xr:uid="{00000000-0005-0000-0000-0000E41E0000}"/>
    <cellStyle name="Normal 14 2 2 4 2 2" xfId="10352" xr:uid="{00000000-0005-0000-0000-0000E51E0000}"/>
    <cellStyle name="Normal 14 2 2 4 2 2 2" xfId="22694" xr:uid="{00000000-0005-0000-0000-0000E61E0000}"/>
    <cellStyle name="Normal 14 2 2 4 2 3" xfId="16485" xr:uid="{00000000-0005-0000-0000-0000E71E0000}"/>
    <cellStyle name="Normal 14 2 2 4 3" xfId="10351" xr:uid="{00000000-0005-0000-0000-0000E81E0000}"/>
    <cellStyle name="Normal 14 2 2 4 3 2" xfId="22693" xr:uid="{00000000-0005-0000-0000-0000E91E0000}"/>
    <cellStyle name="Normal 14 2 2 4 4" xfId="16484" xr:uid="{00000000-0005-0000-0000-0000EA1E0000}"/>
    <cellStyle name="Normal 14 2 2 5" xfId="4114" xr:uid="{00000000-0005-0000-0000-0000EB1E0000}"/>
    <cellStyle name="Normal 14 2 2 5 2" xfId="4115" xr:uid="{00000000-0005-0000-0000-0000EC1E0000}"/>
    <cellStyle name="Normal 14 2 2 5 2 2" xfId="10354" xr:uid="{00000000-0005-0000-0000-0000ED1E0000}"/>
    <cellStyle name="Normal 14 2 2 5 2 2 2" xfId="22696" xr:uid="{00000000-0005-0000-0000-0000EE1E0000}"/>
    <cellStyle name="Normal 14 2 2 5 2 3" xfId="16487" xr:uid="{00000000-0005-0000-0000-0000EF1E0000}"/>
    <cellStyle name="Normal 14 2 2 5 3" xfId="10353" xr:uid="{00000000-0005-0000-0000-0000F01E0000}"/>
    <cellStyle name="Normal 14 2 2 5 3 2" xfId="22695" xr:uid="{00000000-0005-0000-0000-0000F11E0000}"/>
    <cellStyle name="Normal 14 2 2 5 4" xfId="16486" xr:uid="{00000000-0005-0000-0000-0000F21E0000}"/>
    <cellStyle name="Normal 14 2 2 6" xfId="4116" xr:uid="{00000000-0005-0000-0000-0000F31E0000}"/>
    <cellStyle name="Normal 14 2 2 6 2" xfId="10355" xr:uid="{00000000-0005-0000-0000-0000F41E0000}"/>
    <cellStyle name="Normal 14 2 2 6 2 2" xfId="22697" xr:uid="{00000000-0005-0000-0000-0000F51E0000}"/>
    <cellStyle name="Normal 14 2 2 6 3" xfId="16488" xr:uid="{00000000-0005-0000-0000-0000F61E0000}"/>
    <cellStyle name="Normal 14 2 2 7" xfId="4117" xr:uid="{00000000-0005-0000-0000-0000F71E0000}"/>
    <cellStyle name="Normal 14 2 2 7 2" xfId="16489" xr:uid="{00000000-0005-0000-0000-0000F81E0000}"/>
    <cellStyle name="Normal 14 2 2 8" xfId="10332" xr:uid="{00000000-0005-0000-0000-0000F91E0000}"/>
    <cellStyle name="Normal 14 2 2 8 2" xfId="22675" xr:uid="{00000000-0005-0000-0000-0000FA1E0000}"/>
    <cellStyle name="Normal 14 2 2 9" xfId="16465" xr:uid="{00000000-0005-0000-0000-0000FB1E0000}"/>
    <cellStyle name="Normal 14 2 3" xfId="4118" xr:uid="{00000000-0005-0000-0000-0000FC1E0000}"/>
    <cellStyle name="Normal 14 2 3 2" xfId="4119" xr:uid="{00000000-0005-0000-0000-0000FD1E0000}"/>
    <cellStyle name="Normal 14 2 3 2 2" xfId="4120" xr:uid="{00000000-0005-0000-0000-0000FE1E0000}"/>
    <cellStyle name="Normal 14 2 3 2 2 2" xfId="4121" xr:uid="{00000000-0005-0000-0000-0000FF1E0000}"/>
    <cellStyle name="Normal 14 2 3 2 2 2 2" xfId="10359" xr:uid="{00000000-0005-0000-0000-0000001F0000}"/>
    <cellStyle name="Normal 14 2 3 2 2 2 2 2" xfId="22701" xr:uid="{00000000-0005-0000-0000-0000011F0000}"/>
    <cellStyle name="Normal 14 2 3 2 2 2 3" xfId="16493" xr:uid="{00000000-0005-0000-0000-0000021F0000}"/>
    <cellStyle name="Normal 14 2 3 2 2 3" xfId="10358" xr:uid="{00000000-0005-0000-0000-0000031F0000}"/>
    <cellStyle name="Normal 14 2 3 2 2 3 2" xfId="22700" xr:uid="{00000000-0005-0000-0000-0000041F0000}"/>
    <cellStyle name="Normal 14 2 3 2 2 4" xfId="16492" xr:uid="{00000000-0005-0000-0000-0000051F0000}"/>
    <cellStyle name="Normal 14 2 3 2 3" xfId="4122" xr:uid="{00000000-0005-0000-0000-0000061F0000}"/>
    <cellStyle name="Normal 14 2 3 2 3 2" xfId="4123" xr:uid="{00000000-0005-0000-0000-0000071F0000}"/>
    <cellStyle name="Normal 14 2 3 2 3 2 2" xfId="10361" xr:uid="{00000000-0005-0000-0000-0000081F0000}"/>
    <cellStyle name="Normal 14 2 3 2 3 2 3" xfId="16495" xr:uid="{00000000-0005-0000-0000-0000091F0000}"/>
    <cellStyle name="Normal 14 2 3 2 3 3" xfId="10360" xr:uid="{00000000-0005-0000-0000-00000A1F0000}"/>
    <cellStyle name="Normal 14 2 3 2 3 4" xfId="16494" xr:uid="{00000000-0005-0000-0000-00000B1F0000}"/>
    <cellStyle name="Normal 14 2 3 2 4" xfId="4124" xr:uid="{00000000-0005-0000-0000-00000C1F0000}"/>
    <cellStyle name="Normal 14 2 3 2 4 2" xfId="10362" xr:uid="{00000000-0005-0000-0000-00000D1F0000}"/>
    <cellStyle name="Normal 14 2 3 2 4 3" xfId="16496" xr:uid="{00000000-0005-0000-0000-00000E1F0000}"/>
    <cellStyle name="Normal 14 2 3 2 5" xfId="10357" xr:uid="{00000000-0005-0000-0000-00000F1F0000}"/>
    <cellStyle name="Normal 14 2 3 2 5 2" xfId="22699" xr:uid="{00000000-0005-0000-0000-0000101F0000}"/>
    <cellStyle name="Normal 14 2 3 2 6" xfId="16491" xr:uid="{00000000-0005-0000-0000-0000111F0000}"/>
    <cellStyle name="Normal 14 2 3 3" xfId="4125" xr:uid="{00000000-0005-0000-0000-0000121F0000}"/>
    <cellStyle name="Normal 14 2 3 3 2" xfId="4126" xr:uid="{00000000-0005-0000-0000-0000131F0000}"/>
    <cellStyle name="Normal 14 2 3 3 2 2" xfId="10364" xr:uid="{00000000-0005-0000-0000-0000141F0000}"/>
    <cellStyle name="Normal 14 2 3 3 2 3" xfId="16498" xr:uid="{00000000-0005-0000-0000-0000151F0000}"/>
    <cellStyle name="Normal 14 2 3 3 3" xfId="10363" xr:uid="{00000000-0005-0000-0000-0000161F0000}"/>
    <cellStyle name="Normal 14 2 3 3 4" xfId="16497" xr:uid="{00000000-0005-0000-0000-0000171F0000}"/>
    <cellStyle name="Normal 14 2 3 4" xfId="4127" xr:uid="{00000000-0005-0000-0000-0000181F0000}"/>
    <cellStyle name="Normal 14 2 3 4 2" xfId="4128" xr:uid="{00000000-0005-0000-0000-0000191F0000}"/>
    <cellStyle name="Normal 14 2 3 4 2 2" xfId="10366" xr:uid="{00000000-0005-0000-0000-00001A1F0000}"/>
    <cellStyle name="Normal 14 2 3 4 2 3" xfId="16500" xr:uid="{00000000-0005-0000-0000-00001B1F0000}"/>
    <cellStyle name="Normal 14 2 3 4 3" xfId="10365" xr:uid="{00000000-0005-0000-0000-00001C1F0000}"/>
    <cellStyle name="Normal 14 2 3 4 4" xfId="16499" xr:uid="{00000000-0005-0000-0000-00001D1F0000}"/>
    <cellStyle name="Normal 14 2 3 5" xfId="4129" xr:uid="{00000000-0005-0000-0000-00001E1F0000}"/>
    <cellStyle name="Normal 14 2 3 5 2" xfId="10367" xr:uid="{00000000-0005-0000-0000-00001F1F0000}"/>
    <cellStyle name="Normal 14 2 3 5 3" xfId="16501" xr:uid="{00000000-0005-0000-0000-0000201F0000}"/>
    <cellStyle name="Normal 14 2 3 6" xfId="4130" xr:uid="{00000000-0005-0000-0000-0000211F0000}"/>
    <cellStyle name="Normal 14 2 3 6 2" xfId="16502" xr:uid="{00000000-0005-0000-0000-0000221F0000}"/>
    <cellStyle name="Normal 14 2 3 7" xfId="10356" xr:uid="{00000000-0005-0000-0000-0000231F0000}"/>
    <cellStyle name="Normal 14 2 3 7 2" xfId="22698" xr:uid="{00000000-0005-0000-0000-0000241F0000}"/>
    <cellStyle name="Normal 14 2 3 8" xfId="16490" xr:uid="{00000000-0005-0000-0000-0000251F0000}"/>
    <cellStyle name="Normal 14 2 4" xfId="4131" xr:uid="{00000000-0005-0000-0000-0000261F0000}"/>
    <cellStyle name="Normal 14 2 4 2" xfId="4132" xr:uid="{00000000-0005-0000-0000-0000271F0000}"/>
    <cellStyle name="Normal 14 2 4 2 2" xfId="4133" xr:uid="{00000000-0005-0000-0000-0000281F0000}"/>
    <cellStyle name="Normal 14 2 4 2 2 2" xfId="10370" xr:uid="{00000000-0005-0000-0000-0000291F0000}"/>
    <cellStyle name="Normal 14 2 4 2 2 3" xfId="16505" xr:uid="{00000000-0005-0000-0000-00002A1F0000}"/>
    <cellStyle name="Normal 14 2 4 2 3" xfId="10369" xr:uid="{00000000-0005-0000-0000-00002B1F0000}"/>
    <cellStyle name="Normal 14 2 4 2 4" xfId="16504" xr:uid="{00000000-0005-0000-0000-00002C1F0000}"/>
    <cellStyle name="Normal 14 2 4 3" xfId="4134" xr:uid="{00000000-0005-0000-0000-00002D1F0000}"/>
    <cellStyle name="Normal 14 2 4 3 2" xfId="4135" xr:uid="{00000000-0005-0000-0000-00002E1F0000}"/>
    <cellStyle name="Normal 14 2 4 3 2 2" xfId="10372" xr:uid="{00000000-0005-0000-0000-00002F1F0000}"/>
    <cellStyle name="Normal 14 2 4 3 2 3" xfId="16507" xr:uid="{00000000-0005-0000-0000-0000301F0000}"/>
    <cellStyle name="Normal 14 2 4 3 3" xfId="10371" xr:uid="{00000000-0005-0000-0000-0000311F0000}"/>
    <cellStyle name="Normal 14 2 4 3 4" xfId="16506" xr:uid="{00000000-0005-0000-0000-0000321F0000}"/>
    <cellStyle name="Normal 14 2 4 4" xfId="4136" xr:uid="{00000000-0005-0000-0000-0000331F0000}"/>
    <cellStyle name="Normal 14 2 4 4 2" xfId="10373" xr:uid="{00000000-0005-0000-0000-0000341F0000}"/>
    <cellStyle name="Normal 14 2 4 4 3" xfId="16508" xr:uid="{00000000-0005-0000-0000-0000351F0000}"/>
    <cellStyle name="Normal 14 2 4 5" xfId="10368" xr:uid="{00000000-0005-0000-0000-0000361F0000}"/>
    <cellStyle name="Normal 14 2 4 6" xfId="16503" xr:uid="{00000000-0005-0000-0000-0000371F0000}"/>
    <cellStyle name="Normal 14 2 5" xfId="4137" xr:uid="{00000000-0005-0000-0000-0000381F0000}"/>
    <cellStyle name="Normal 14 2 5 2" xfId="4138" xr:uid="{00000000-0005-0000-0000-0000391F0000}"/>
    <cellStyle name="Normal 14 2 5 2 2" xfId="10375" xr:uid="{00000000-0005-0000-0000-00003A1F0000}"/>
    <cellStyle name="Normal 14 2 5 2 3" xfId="16510" xr:uid="{00000000-0005-0000-0000-00003B1F0000}"/>
    <cellStyle name="Normal 14 2 5 3" xfId="10374" xr:uid="{00000000-0005-0000-0000-00003C1F0000}"/>
    <cellStyle name="Normal 14 2 5 4" xfId="16509" xr:uid="{00000000-0005-0000-0000-00003D1F0000}"/>
    <cellStyle name="Normal 14 2 6" xfId="4139" xr:uid="{00000000-0005-0000-0000-00003E1F0000}"/>
    <cellStyle name="Normal 14 2 6 2" xfId="4140" xr:uid="{00000000-0005-0000-0000-00003F1F0000}"/>
    <cellStyle name="Normal 14 2 6 2 2" xfId="10377" xr:uid="{00000000-0005-0000-0000-0000401F0000}"/>
    <cellStyle name="Normal 14 2 6 2 3" xfId="16512" xr:uid="{00000000-0005-0000-0000-0000411F0000}"/>
    <cellStyle name="Normal 14 2 6 3" xfId="10376" xr:uid="{00000000-0005-0000-0000-0000421F0000}"/>
    <cellStyle name="Normal 14 2 6 4" xfId="16511" xr:uid="{00000000-0005-0000-0000-0000431F0000}"/>
    <cellStyle name="Normal 14 2 7" xfId="4141" xr:uid="{00000000-0005-0000-0000-0000441F0000}"/>
    <cellStyle name="Normal 14 2 7 2" xfId="10378" xr:uid="{00000000-0005-0000-0000-0000451F0000}"/>
    <cellStyle name="Normal 14 2 7 3" xfId="16513" xr:uid="{00000000-0005-0000-0000-0000461F0000}"/>
    <cellStyle name="Normal 14 2 8" xfId="10331" xr:uid="{00000000-0005-0000-0000-0000471F0000}"/>
    <cellStyle name="Normal 14 2 9" xfId="16464" xr:uid="{00000000-0005-0000-0000-0000481F0000}"/>
    <cellStyle name="Normal 14 3" xfId="4142" xr:uid="{00000000-0005-0000-0000-0000491F0000}"/>
    <cellStyle name="Normal 14 3 10" xfId="10379" xr:uid="{00000000-0005-0000-0000-00004A1F0000}"/>
    <cellStyle name="Normal 14 3 11" xfId="16514" xr:uid="{00000000-0005-0000-0000-00004B1F0000}"/>
    <cellStyle name="Normal 14 3 2" xfId="4143" xr:uid="{00000000-0005-0000-0000-00004C1F0000}"/>
    <cellStyle name="Normal 14 3 2 2" xfId="4144" xr:uid="{00000000-0005-0000-0000-00004D1F0000}"/>
    <cellStyle name="Normal 14 3 2 2 2" xfId="4145" xr:uid="{00000000-0005-0000-0000-00004E1F0000}"/>
    <cellStyle name="Normal 14 3 2 2 2 2" xfId="4146" xr:uid="{00000000-0005-0000-0000-00004F1F0000}"/>
    <cellStyle name="Normal 14 3 2 2 2 2 2" xfId="4147" xr:uid="{00000000-0005-0000-0000-0000501F0000}"/>
    <cellStyle name="Normal 14 3 2 2 2 2 2 2" xfId="10384" xr:uid="{00000000-0005-0000-0000-0000511F0000}"/>
    <cellStyle name="Normal 14 3 2 2 2 2 2 3" xfId="16519" xr:uid="{00000000-0005-0000-0000-0000521F0000}"/>
    <cellStyle name="Normal 14 3 2 2 2 2 3" xfId="10383" xr:uid="{00000000-0005-0000-0000-0000531F0000}"/>
    <cellStyle name="Normal 14 3 2 2 2 2 4" xfId="16518" xr:uid="{00000000-0005-0000-0000-0000541F0000}"/>
    <cellStyle name="Normal 14 3 2 2 2 3" xfId="4148" xr:uid="{00000000-0005-0000-0000-0000551F0000}"/>
    <cellStyle name="Normal 14 3 2 2 2 3 2" xfId="4149" xr:uid="{00000000-0005-0000-0000-0000561F0000}"/>
    <cellStyle name="Normal 14 3 2 2 2 3 2 2" xfId="10386" xr:uid="{00000000-0005-0000-0000-0000571F0000}"/>
    <cellStyle name="Normal 14 3 2 2 2 3 2 3" xfId="16521" xr:uid="{00000000-0005-0000-0000-0000581F0000}"/>
    <cellStyle name="Normal 14 3 2 2 2 3 3" xfId="10385" xr:uid="{00000000-0005-0000-0000-0000591F0000}"/>
    <cellStyle name="Normal 14 3 2 2 2 3 4" xfId="16520" xr:uid="{00000000-0005-0000-0000-00005A1F0000}"/>
    <cellStyle name="Normal 14 3 2 2 2 4" xfId="4150" xr:uid="{00000000-0005-0000-0000-00005B1F0000}"/>
    <cellStyle name="Normal 14 3 2 2 2 4 2" xfId="10387" xr:uid="{00000000-0005-0000-0000-00005C1F0000}"/>
    <cellStyle name="Normal 14 3 2 2 2 4 3" xfId="16522" xr:uid="{00000000-0005-0000-0000-00005D1F0000}"/>
    <cellStyle name="Normal 14 3 2 2 2 5" xfId="10382" xr:uid="{00000000-0005-0000-0000-00005E1F0000}"/>
    <cellStyle name="Normal 14 3 2 2 2 6" xfId="16517" xr:uid="{00000000-0005-0000-0000-00005F1F0000}"/>
    <cellStyle name="Normal 14 3 2 2 3" xfId="4151" xr:uid="{00000000-0005-0000-0000-0000601F0000}"/>
    <cellStyle name="Normal 14 3 2 2 3 2" xfId="4152" xr:uid="{00000000-0005-0000-0000-0000611F0000}"/>
    <cellStyle name="Normal 14 3 2 2 3 2 2" xfId="10389" xr:uid="{00000000-0005-0000-0000-0000621F0000}"/>
    <cellStyle name="Normal 14 3 2 2 3 2 3" xfId="16524" xr:uid="{00000000-0005-0000-0000-0000631F0000}"/>
    <cellStyle name="Normal 14 3 2 2 3 3" xfId="10388" xr:uid="{00000000-0005-0000-0000-0000641F0000}"/>
    <cellStyle name="Normal 14 3 2 2 3 4" xfId="16523" xr:uid="{00000000-0005-0000-0000-0000651F0000}"/>
    <cellStyle name="Normal 14 3 2 2 4" xfId="4153" xr:uid="{00000000-0005-0000-0000-0000661F0000}"/>
    <cellStyle name="Normal 14 3 2 2 4 2" xfId="4154" xr:uid="{00000000-0005-0000-0000-0000671F0000}"/>
    <cellStyle name="Normal 14 3 2 2 4 2 2" xfId="10391" xr:uid="{00000000-0005-0000-0000-0000681F0000}"/>
    <cellStyle name="Normal 14 3 2 2 4 2 3" xfId="16526" xr:uid="{00000000-0005-0000-0000-0000691F0000}"/>
    <cellStyle name="Normal 14 3 2 2 4 3" xfId="10390" xr:uid="{00000000-0005-0000-0000-00006A1F0000}"/>
    <cellStyle name="Normal 14 3 2 2 4 4" xfId="16525" xr:uid="{00000000-0005-0000-0000-00006B1F0000}"/>
    <cellStyle name="Normal 14 3 2 2 5" xfId="4155" xr:uid="{00000000-0005-0000-0000-00006C1F0000}"/>
    <cellStyle name="Normal 14 3 2 2 5 2" xfId="10392" xr:uid="{00000000-0005-0000-0000-00006D1F0000}"/>
    <cellStyle name="Normal 14 3 2 2 5 3" xfId="16527" xr:uid="{00000000-0005-0000-0000-00006E1F0000}"/>
    <cellStyle name="Normal 14 3 2 2 6" xfId="10381" xr:uid="{00000000-0005-0000-0000-00006F1F0000}"/>
    <cellStyle name="Normal 14 3 2 2 7" xfId="16516" xr:uid="{00000000-0005-0000-0000-0000701F0000}"/>
    <cellStyle name="Normal 14 3 2 3" xfId="4156" xr:uid="{00000000-0005-0000-0000-0000711F0000}"/>
    <cellStyle name="Normal 14 3 2 3 2" xfId="4157" xr:uid="{00000000-0005-0000-0000-0000721F0000}"/>
    <cellStyle name="Normal 14 3 2 3 2 2" xfId="4158" xr:uid="{00000000-0005-0000-0000-0000731F0000}"/>
    <cellStyle name="Normal 14 3 2 3 2 2 2" xfId="10395" xr:uid="{00000000-0005-0000-0000-0000741F0000}"/>
    <cellStyle name="Normal 14 3 2 3 2 2 3" xfId="16530" xr:uid="{00000000-0005-0000-0000-0000751F0000}"/>
    <cellStyle name="Normal 14 3 2 3 2 3" xfId="10394" xr:uid="{00000000-0005-0000-0000-0000761F0000}"/>
    <cellStyle name="Normal 14 3 2 3 2 4" xfId="16529" xr:uid="{00000000-0005-0000-0000-0000771F0000}"/>
    <cellStyle name="Normal 14 3 2 3 3" xfId="4159" xr:uid="{00000000-0005-0000-0000-0000781F0000}"/>
    <cellStyle name="Normal 14 3 2 3 3 2" xfId="4160" xr:uid="{00000000-0005-0000-0000-0000791F0000}"/>
    <cellStyle name="Normal 14 3 2 3 3 2 2" xfId="10397" xr:uid="{00000000-0005-0000-0000-00007A1F0000}"/>
    <cellStyle name="Normal 14 3 2 3 3 2 3" xfId="16532" xr:uid="{00000000-0005-0000-0000-00007B1F0000}"/>
    <cellStyle name="Normal 14 3 2 3 3 3" xfId="10396" xr:uid="{00000000-0005-0000-0000-00007C1F0000}"/>
    <cellStyle name="Normal 14 3 2 3 3 4" xfId="16531" xr:uid="{00000000-0005-0000-0000-00007D1F0000}"/>
    <cellStyle name="Normal 14 3 2 3 4" xfId="4161" xr:uid="{00000000-0005-0000-0000-00007E1F0000}"/>
    <cellStyle name="Normal 14 3 2 3 4 2" xfId="10398" xr:uid="{00000000-0005-0000-0000-00007F1F0000}"/>
    <cellStyle name="Normal 14 3 2 3 4 3" xfId="16533" xr:uid="{00000000-0005-0000-0000-0000801F0000}"/>
    <cellStyle name="Normal 14 3 2 3 5" xfId="10393" xr:uid="{00000000-0005-0000-0000-0000811F0000}"/>
    <cellStyle name="Normal 14 3 2 3 6" xfId="16528" xr:uid="{00000000-0005-0000-0000-0000821F0000}"/>
    <cellStyle name="Normal 14 3 2 4" xfId="4162" xr:uid="{00000000-0005-0000-0000-0000831F0000}"/>
    <cellStyle name="Normal 14 3 2 4 2" xfId="4163" xr:uid="{00000000-0005-0000-0000-0000841F0000}"/>
    <cellStyle name="Normal 14 3 2 4 2 2" xfId="10400" xr:uid="{00000000-0005-0000-0000-0000851F0000}"/>
    <cellStyle name="Normal 14 3 2 4 2 3" xfId="16535" xr:uid="{00000000-0005-0000-0000-0000861F0000}"/>
    <cellStyle name="Normal 14 3 2 4 3" xfId="10399" xr:uid="{00000000-0005-0000-0000-0000871F0000}"/>
    <cellStyle name="Normal 14 3 2 4 4" xfId="16534" xr:uid="{00000000-0005-0000-0000-0000881F0000}"/>
    <cellStyle name="Normal 14 3 2 5" xfId="4164" xr:uid="{00000000-0005-0000-0000-0000891F0000}"/>
    <cellStyle name="Normal 14 3 2 5 2" xfId="4165" xr:uid="{00000000-0005-0000-0000-00008A1F0000}"/>
    <cellStyle name="Normal 14 3 2 5 2 2" xfId="10402" xr:uid="{00000000-0005-0000-0000-00008B1F0000}"/>
    <cellStyle name="Normal 14 3 2 5 2 3" xfId="16537" xr:uid="{00000000-0005-0000-0000-00008C1F0000}"/>
    <cellStyle name="Normal 14 3 2 5 3" xfId="10401" xr:uid="{00000000-0005-0000-0000-00008D1F0000}"/>
    <cellStyle name="Normal 14 3 2 5 4" xfId="16536" xr:uid="{00000000-0005-0000-0000-00008E1F0000}"/>
    <cellStyle name="Normal 14 3 2 6" xfId="4166" xr:uid="{00000000-0005-0000-0000-00008F1F0000}"/>
    <cellStyle name="Normal 14 3 2 6 2" xfId="10403" xr:uid="{00000000-0005-0000-0000-0000901F0000}"/>
    <cellStyle name="Normal 14 3 2 6 3" xfId="16538" xr:uid="{00000000-0005-0000-0000-0000911F0000}"/>
    <cellStyle name="Normal 14 3 2 7" xfId="10380" xr:uid="{00000000-0005-0000-0000-0000921F0000}"/>
    <cellStyle name="Normal 14 3 2 8" xfId="16515" xr:uid="{00000000-0005-0000-0000-0000931F0000}"/>
    <cellStyle name="Normal 14 3 3" xfId="4167" xr:uid="{00000000-0005-0000-0000-0000941F0000}"/>
    <cellStyle name="Normal 14 3 3 2" xfId="4168" xr:uid="{00000000-0005-0000-0000-0000951F0000}"/>
    <cellStyle name="Normal 14 3 3 2 2" xfId="4169" xr:uid="{00000000-0005-0000-0000-0000961F0000}"/>
    <cellStyle name="Normal 14 3 3 2 2 2" xfId="4170" xr:uid="{00000000-0005-0000-0000-0000971F0000}"/>
    <cellStyle name="Normal 14 3 3 2 2 2 2" xfId="10407" xr:uid="{00000000-0005-0000-0000-0000981F0000}"/>
    <cellStyle name="Normal 14 3 3 2 2 2 3" xfId="16542" xr:uid="{00000000-0005-0000-0000-0000991F0000}"/>
    <cellStyle name="Normal 14 3 3 2 2 3" xfId="10406" xr:uid="{00000000-0005-0000-0000-00009A1F0000}"/>
    <cellStyle name="Normal 14 3 3 2 2 4" xfId="16541" xr:uid="{00000000-0005-0000-0000-00009B1F0000}"/>
    <cellStyle name="Normal 14 3 3 2 3" xfId="4171" xr:uid="{00000000-0005-0000-0000-00009C1F0000}"/>
    <cellStyle name="Normal 14 3 3 2 3 2" xfId="4172" xr:uid="{00000000-0005-0000-0000-00009D1F0000}"/>
    <cellStyle name="Normal 14 3 3 2 3 2 2" xfId="10409" xr:uid="{00000000-0005-0000-0000-00009E1F0000}"/>
    <cellStyle name="Normal 14 3 3 2 3 2 3" xfId="16544" xr:uid="{00000000-0005-0000-0000-00009F1F0000}"/>
    <cellStyle name="Normal 14 3 3 2 3 3" xfId="10408" xr:uid="{00000000-0005-0000-0000-0000A01F0000}"/>
    <cellStyle name="Normal 14 3 3 2 3 4" xfId="16543" xr:uid="{00000000-0005-0000-0000-0000A11F0000}"/>
    <cellStyle name="Normal 14 3 3 2 4" xfId="4173" xr:uid="{00000000-0005-0000-0000-0000A21F0000}"/>
    <cellStyle name="Normal 14 3 3 2 4 2" xfId="10410" xr:uid="{00000000-0005-0000-0000-0000A31F0000}"/>
    <cellStyle name="Normal 14 3 3 2 4 3" xfId="16545" xr:uid="{00000000-0005-0000-0000-0000A41F0000}"/>
    <cellStyle name="Normal 14 3 3 2 5" xfId="10405" xr:uid="{00000000-0005-0000-0000-0000A51F0000}"/>
    <cellStyle name="Normal 14 3 3 2 6" xfId="16540" xr:uid="{00000000-0005-0000-0000-0000A61F0000}"/>
    <cellStyle name="Normal 14 3 3 3" xfId="4174" xr:uid="{00000000-0005-0000-0000-0000A71F0000}"/>
    <cellStyle name="Normal 14 3 3 3 2" xfId="4175" xr:uid="{00000000-0005-0000-0000-0000A81F0000}"/>
    <cellStyle name="Normal 14 3 3 3 2 2" xfId="10412" xr:uid="{00000000-0005-0000-0000-0000A91F0000}"/>
    <cellStyle name="Normal 14 3 3 3 2 3" xfId="16547" xr:uid="{00000000-0005-0000-0000-0000AA1F0000}"/>
    <cellStyle name="Normal 14 3 3 3 3" xfId="10411" xr:uid="{00000000-0005-0000-0000-0000AB1F0000}"/>
    <cellStyle name="Normal 14 3 3 3 4" xfId="16546" xr:uid="{00000000-0005-0000-0000-0000AC1F0000}"/>
    <cellStyle name="Normal 14 3 3 4" xfId="4176" xr:uid="{00000000-0005-0000-0000-0000AD1F0000}"/>
    <cellStyle name="Normal 14 3 3 4 2" xfId="4177" xr:uid="{00000000-0005-0000-0000-0000AE1F0000}"/>
    <cellStyle name="Normal 14 3 3 4 2 2" xfId="10414" xr:uid="{00000000-0005-0000-0000-0000AF1F0000}"/>
    <cellStyle name="Normal 14 3 3 4 2 3" xfId="16549" xr:uid="{00000000-0005-0000-0000-0000B01F0000}"/>
    <cellStyle name="Normal 14 3 3 4 3" xfId="10413" xr:uid="{00000000-0005-0000-0000-0000B11F0000}"/>
    <cellStyle name="Normal 14 3 3 4 4" xfId="16548" xr:uid="{00000000-0005-0000-0000-0000B21F0000}"/>
    <cellStyle name="Normal 14 3 3 5" xfId="4178" xr:uid="{00000000-0005-0000-0000-0000B31F0000}"/>
    <cellStyle name="Normal 14 3 3 5 2" xfId="10415" xr:uid="{00000000-0005-0000-0000-0000B41F0000}"/>
    <cellStyle name="Normal 14 3 3 5 3" xfId="16550" xr:uid="{00000000-0005-0000-0000-0000B51F0000}"/>
    <cellStyle name="Normal 14 3 3 6" xfId="10404" xr:uid="{00000000-0005-0000-0000-0000B61F0000}"/>
    <cellStyle name="Normal 14 3 3 7" xfId="16539" xr:uid="{00000000-0005-0000-0000-0000B71F0000}"/>
    <cellStyle name="Normal 14 3 4" xfId="4179" xr:uid="{00000000-0005-0000-0000-0000B81F0000}"/>
    <cellStyle name="Normal 14 3 4 2" xfId="4180" xr:uid="{00000000-0005-0000-0000-0000B91F0000}"/>
    <cellStyle name="Normal 14 3 4 2 2" xfId="4181" xr:uid="{00000000-0005-0000-0000-0000BA1F0000}"/>
    <cellStyle name="Normal 14 3 4 2 2 2" xfId="10418" xr:uid="{00000000-0005-0000-0000-0000BB1F0000}"/>
    <cellStyle name="Normal 14 3 4 2 2 3" xfId="16553" xr:uid="{00000000-0005-0000-0000-0000BC1F0000}"/>
    <cellStyle name="Normal 14 3 4 2 3" xfId="10417" xr:uid="{00000000-0005-0000-0000-0000BD1F0000}"/>
    <cellStyle name="Normal 14 3 4 2 4" xfId="16552" xr:uid="{00000000-0005-0000-0000-0000BE1F0000}"/>
    <cellStyle name="Normal 14 3 4 3" xfId="4182" xr:uid="{00000000-0005-0000-0000-0000BF1F0000}"/>
    <cellStyle name="Normal 14 3 4 3 2" xfId="4183" xr:uid="{00000000-0005-0000-0000-0000C01F0000}"/>
    <cellStyle name="Normal 14 3 4 3 2 2" xfId="10420" xr:uid="{00000000-0005-0000-0000-0000C11F0000}"/>
    <cellStyle name="Normal 14 3 4 3 2 3" xfId="16555" xr:uid="{00000000-0005-0000-0000-0000C21F0000}"/>
    <cellStyle name="Normal 14 3 4 3 3" xfId="10419" xr:uid="{00000000-0005-0000-0000-0000C31F0000}"/>
    <cellStyle name="Normal 14 3 4 3 4" xfId="16554" xr:uid="{00000000-0005-0000-0000-0000C41F0000}"/>
    <cellStyle name="Normal 14 3 4 4" xfId="4184" xr:uid="{00000000-0005-0000-0000-0000C51F0000}"/>
    <cellStyle name="Normal 14 3 4 4 2" xfId="10421" xr:uid="{00000000-0005-0000-0000-0000C61F0000}"/>
    <cellStyle name="Normal 14 3 4 4 3" xfId="16556" xr:uid="{00000000-0005-0000-0000-0000C71F0000}"/>
    <cellStyle name="Normal 14 3 4 5" xfId="10416" xr:uid="{00000000-0005-0000-0000-0000C81F0000}"/>
    <cellStyle name="Normal 14 3 4 6" xfId="16551" xr:uid="{00000000-0005-0000-0000-0000C91F0000}"/>
    <cellStyle name="Normal 14 3 5" xfId="4185" xr:uid="{00000000-0005-0000-0000-0000CA1F0000}"/>
    <cellStyle name="Normal 14 3 5 2" xfId="4186" xr:uid="{00000000-0005-0000-0000-0000CB1F0000}"/>
    <cellStyle name="Normal 14 3 5 2 2" xfId="10423" xr:uid="{00000000-0005-0000-0000-0000CC1F0000}"/>
    <cellStyle name="Normal 14 3 5 2 3" xfId="16558" xr:uid="{00000000-0005-0000-0000-0000CD1F0000}"/>
    <cellStyle name="Normal 14 3 5 3" xfId="10422" xr:uid="{00000000-0005-0000-0000-0000CE1F0000}"/>
    <cellStyle name="Normal 14 3 5 4" xfId="16557" xr:uid="{00000000-0005-0000-0000-0000CF1F0000}"/>
    <cellStyle name="Normal 14 3 6" xfId="4187" xr:uid="{00000000-0005-0000-0000-0000D01F0000}"/>
    <cellStyle name="Normal 14 3 6 2" xfId="4188" xr:uid="{00000000-0005-0000-0000-0000D11F0000}"/>
    <cellStyle name="Normal 14 3 6 2 2" xfId="10425" xr:uid="{00000000-0005-0000-0000-0000D21F0000}"/>
    <cellStyle name="Normal 14 3 6 2 3" xfId="16560" xr:uid="{00000000-0005-0000-0000-0000D31F0000}"/>
    <cellStyle name="Normal 14 3 6 3" xfId="10424" xr:uid="{00000000-0005-0000-0000-0000D41F0000}"/>
    <cellStyle name="Normal 14 3 6 4" xfId="16559" xr:uid="{00000000-0005-0000-0000-0000D51F0000}"/>
    <cellStyle name="Normal 14 3 7" xfId="4189" xr:uid="{00000000-0005-0000-0000-0000D61F0000}"/>
    <cellStyle name="Normal 14 3 7 2" xfId="10426" xr:uid="{00000000-0005-0000-0000-0000D71F0000}"/>
    <cellStyle name="Normal 14 3 7 3" xfId="16561" xr:uid="{00000000-0005-0000-0000-0000D81F0000}"/>
    <cellStyle name="Normal 14 3 8" xfId="4190" xr:uid="{00000000-0005-0000-0000-0000D91F0000}"/>
    <cellStyle name="Normal 14 3 8 2" xfId="10427" xr:uid="{00000000-0005-0000-0000-0000DA1F0000}"/>
    <cellStyle name="Normal 14 3 8 3" xfId="16562" xr:uid="{00000000-0005-0000-0000-0000DB1F0000}"/>
    <cellStyle name="Normal 14 3 9" xfId="4191" xr:uid="{00000000-0005-0000-0000-0000DC1F0000}"/>
    <cellStyle name="Normal 14 3 9 2" xfId="16563" xr:uid="{00000000-0005-0000-0000-0000DD1F0000}"/>
    <cellStyle name="Normal 14 4" xfId="4192" xr:uid="{00000000-0005-0000-0000-0000DE1F0000}"/>
    <cellStyle name="Normal 14 4 2" xfId="4193" xr:uid="{00000000-0005-0000-0000-0000DF1F0000}"/>
    <cellStyle name="Normal 14 4 2 2" xfId="4194" xr:uid="{00000000-0005-0000-0000-0000E01F0000}"/>
    <cellStyle name="Normal 14 4 2 2 2" xfId="4195" xr:uid="{00000000-0005-0000-0000-0000E11F0000}"/>
    <cellStyle name="Normal 14 4 2 2 2 2" xfId="4196" xr:uid="{00000000-0005-0000-0000-0000E21F0000}"/>
    <cellStyle name="Normal 14 4 2 2 2 2 2" xfId="10432" xr:uid="{00000000-0005-0000-0000-0000E31F0000}"/>
    <cellStyle name="Normal 14 4 2 2 2 2 3" xfId="16568" xr:uid="{00000000-0005-0000-0000-0000E41F0000}"/>
    <cellStyle name="Normal 14 4 2 2 2 3" xfId="10431" xr:uid="{00000000-0005-0000-0000-0000E51F0000}"/>
    <cellStyle name="Normal 14 4 2 2 2 4" xfId="16567" xr:uid="{00000000-0005-0000-0000-0000E61F0000}"/>
    <cellStyle name="Normal 14 4 2 2 3" xfId="4197" xr:uid="{00000000-0005-0000-0000-0000E71F0000}"/>
    <cellStyle name="Normal 14 4 2 2 3 2" xfId="4198" xr:uid="{00000000-0005-0000-0000-0000E81F0000}"/>
    <cellStyle name="Normal 14 4 2 2 3 2 2" xfId="10434" xr:uid="{00000000-0005-0000-0000-0000E91F0000}"/>
    <cellStyle name="Normal 14 4 2 2 3 2 3" xfId="16570" xr:uid="{00000000-0005-0000-0000-0000EA1F0000}"/>
    <cellStyle name="Normal 14 4 2 2 3 3" xfId="10433" xr:uid="{00000000-0005-0000-0000-0000EB1F0000}"/>
    <cellStyle name="Normal 14 4 2 2 3 4" xfId="16569" xr:uid="{00000000-0005-0000-0000-0000EC1F0000}"/>
    <cellStyle name="Normal 14 4 2 2 4" xfId="4199" xr:uid="{00000000-0005-0000-0000-0000ED1F0000}"/>
    <cellStyle name="Normal 14 4 2 2 4 2" xfId="10435" xr:uid="{00000000-0005-0000-0000-0000EE1F0000}"/>
    <cellStyle name="Normal 14 4 2 2 4 3" xfId="16571" xr:uid="{00000000-0005-0000-0000-0000EF1F0000}"/>
    <cellStyle name="Normal 14 4 2 2 5" xfId="10430" xr:uid="{00000000-0005-0000-0000-0000F01F0000}"/>
    <cellStyle name="Normal 14 4 2 2 6" xfId="16566" xr:uid="{00000000-0005-0000-0000-0000F11F0000}"/>
    <cellStyle name="Normal 14 4 2 3" xfId="4200" xr:uid="{00000000-0005-0000-0000-0000F21F0000}"/>
    <cellStyle name="Normal 14 4 2 3 2" xfId="4201" xr:uid="{00000000-0005-0000-0000-0000F31F0000}"/>
    <cellStyle name="Normal 14 4 2 3 2 2" xfId="10437" xr:uid="{00000000-0005-0000-0000-0000F41F0000}"/>
    <cellStyle name="Normal 14 4 2 3 2 3" xfId="16573" xr:uid="{00000000-0005-0000-0000-0000F51F0000}"/>
    <cellStyle name="Normal 14 4 2 3 3" xfId="10436" xr:uid="{00000000-0005-0000-0000-0000F61F0000}"/>
    <cellStyle name="Normal 14 4 2 3 4" xfId="16572" xr:uid="{00000000-0005-0000-0000-0000F71F0000}"/>
    <cellStyle name="Normal 14 4 2 4" xfId="4202" xr:uid="{00000000-0005-0000-0000-0000F81F0000}"/>
    <cellStyle name="Normal 14 4 2 4 2" xfId="4203" xr:uid="{00000000-0005-0000-0000-0000F91F0000}"/>
    <cellStyle name="Normal 14 4 2 4 2 2" xfId="10439" xr:uid="{00000000-0005-0000-0000-0000FA1F0000}"/>
    <cellStyle name="Normal 14 4 2 4 2 3" xfId="16575" xr:uid="{00000000-0005-0000-0000-0000FB1F0000}"/>
    <cellStyle name="Normal 14 4 2 4 3" xfId="10438" xr:uid="{00000000-0005-0000-0000-0000FC1F0000}"/>
    <cellStyle name="Normal 14 4 2 4 4" xfId="16574" xr:uid="{00000000-0005-0000-0000-0000FD1F0000}"/>
    <cellStyle name="Normal 14 4 2 5" xfId="4204" xr:uid="{00000000-0005-0000-0000-0000FE1F0000}"/>
    <cellStyle name="Normal 14 4 2 5 2" xfId="10440" xr:uid="{00000000-0005-0000-0000-0000FF1F0000}"/>
    <cellStyle name="Normal 14 4 2 5 3" xfId="16576" xr:uid="{00000000-0005-0000-0000-000000200000}"/>
    <cellStyle name="Normal 14 4 2 6" xfId="10429" xr:uid="{00000000-0005-0000-0000-000001200000}"/>
    <cellStyle name="Normal 14 4 2 7" xfId="16565" xr:uid="{00000000-0005-0000-0000-000002200000}"/>
    <cellStyle name="Normal 14 4 3" xfId="4205" xr:uid="{00000000-0005-0000-0000-000003200000}"/>
    <cellStyle name="Normal 14 4 3 2" xfId="4206" xr:uid="{00000000-0005-0000-0000-000004200000}"/>
    <cellStyle name="Normal 14 4 3 2 2" xfId="4207" xr:uid="{00000000-0005-0000-0000-000005200000}"/>
    <cellStyle name="Normal 14 4 3 2 2 2" xfId="10443" xr:uid="{00000000-0005-0000-0000-000006200000}"/>
    <cellStyle name="Normal 14 4 3 2 2 3" xfId="16579" xr:uid="{00000000-0005-0000-0000-000007200000}"/>
    <cellStyle name="Normal 14 4 3 2 3" xfId="10442" xr:uid="{00000000-0005-0000-0000-000008200000}"/>
    <cellStyle name="Normal 14 4 3 2 4" xfId="16578" xr:uid="{00000000-0005-0000-0000-000009200000}"/>
    <cellStyle name="Normal 14 4 3 3" xfId="4208" xr:uid="{00000000-0005-0000-0000-00000A200000}"/>
    <cellStyle name="Normal 14 4 3 3 2" xfId="4209" xr:uid="{00000000-0005-0000-0000-00000B200000}"/>
    <cellStyle name="Normal 14 4 3 3 2 2" xfId="10445" xr:uid="{00000000-0005-0000-0000-00000C200000}"/>
    <cellStyle name="Normal 14 4 3 3 2 3" xfId="16581" xr:uid="{00000000-0005-0000-0000-00000D200000}"/>
    <cellStyle name="Normal 14 4 3 3 3" xfId="10444" xr:uid="{00000000-0005-0000-0000-00000E200000}"/>
    <cellStyle name="Normal 14 4 3 3 4" xfId="16580" xr:uid="{00000000-0005-0000-0000-00000F200000}"/>
    <cellStyle name="Normal 14 4 3 4" xfId="4210" xr:uid="{00000000-0005-0000-0000-000010200000}"/>
    <cellStyle name="Normal 14 4 3 4 2" xfId="10446" xr:uid="{00000000-0005-0000-0000-000011200000}"/>
    <cellStyle name="Normal 14 4 3 4 3" xfId="16582" xr:uid="{00000000-0005-0000-0000-000012200000}"/>
    <cellStyle name="Normal 14 4 3 5" xfId="10441" xr:uid="{00000000-0005-0000-0000-000013200000}"/>
    <cellStyle name="Normal 14 4 3 6" xfId="16577" xr:uid="{00000000-0005-0000-0000-000014200000}"/>
    <cellStyle name="Normal 14 4 4" xfId="4211" xr:uid="{00000000-0005-0000-0000-000015200000}"/>
    <cellStyle name="Normal 14 4 4 2" xfId="4212" xr:uid="{00000000-0005-0000-0000-000016200000}"/>
    <cellStyle name="Normal 14 4 4 2 2" xfId="10448" xr:uid="{00000000-0005-0000-0000-000017200000}"/>
    <cellStyle name="Normal 14 4 4 2 3" xfId="16584" xr:uid="{00000000-0005-0000-0000-000018200000}"/>
    <cellStyle name="Normal 14 4 4 3" xfId="10447" xr:uid="{00000000-0005-0000-0000-000019200000}"/>
    <cellStyle name="Normal 14 4 4 4" xfId="16583" xr:uid="{00000000-0005-0000-0000-00001A200000}"/>
    <cellStyle name="Normal 14 4 5" xfId="4213" xr:uid="{00000000-0005-0000-0000-00001B200000}"/>
    <cellStyle name="Normal 14 4 5 2" xfId="4214" xr:uid="{00000000-0005-0000-0000-00001C200000}"/>
    <cellStyle name="Normal 14 4 5 2 2" xfId="10450" xr:uid="{00000000-0005-0000-0000-00001D200000}"/>
    <cellStyle name="Normal 14 4 5 2 3" xfId="16586" xr:uid="{00000000-0005-0000-0000-00001E200000}"/>
    <cellStyle name="Normal 14 4 5 3" xfId="10449" xr:uid="{00000000-0005-0000-0000-00001F200000}"/>
    <cellStyle name="Normal 14 4 5 4" xfId="16585" xr:uid="{00000000-0005-0000-0000-000020200000}"/>
    <cellStyle name="Normal 14 4 6" xfId="4215" xr:uid="{00000000-0005-0000-0000-000021200000}"/>
    <cellStyle name="Normal 14 4 6 2" xfId="10451" xr:uid="{00000000-0005-0000-0000-000022200000}"/>
    <cellStyle name="Normal 14 4 6 3" xfId="16587" xr:uid="{00000000-0005-0000-0000-000023200000}"/>
    <cellStyle name="Normal 14 4 7" xfId="4216" xr:uid="{00000000-0005-0000-0000-000024200000}"/>
    <cellStyle name="Normal 14 4 7 2" xfId="16588" xr:uid="{00000000-0005-0000-0000-000025200000}"/>
    <cellStyle name="Normal 14 4 8" xfId="10428" xr:uid="{00000000-0005-0000-0000-000026200000}"/>
    <cellStyle name="Normal 14 4 9" xfId="16564" xr:uid="{00000000-0005-0000-0000-000027200000}"/>
    <cellStyle name="Normal 14 5" xfId="4217" xr:uid="{00000000-0005-0000-0000-000028200000}"/>
    <cellStyle name="Normal 14 5 2" xfId="4218" xr:uid="{00000000-0005-0000-0000-000029200000}"/>
    <cellStyle name="Normal 14 5 2 2" xfId="4219" xr:uid="{00000000-0005-0000-0000-00002A200000}"/>
    <cellStyle name="Normal 14 5 2 2 2" xfId="4220" xr:uid="{00000000-0005-0000-0000-00002B200000}"/>
    <cellStyle name="Normal 14 5 2 2 2 2" xfId="10455" xr:uid="{00000000-0005-0000-0000-00002C200000}"/>
    <cellStyle name="Normal 14 5 2 2 2 3" xfId="16592" xr:uid="{00000000-0005-0000-0000-00002D200000}"/>
    <cellStyle name="Normal 14 5 2 2 3" xfId="10454" xr:uid="{00000000-0005-0000-0000-00002E200000}"/>
    <cellStyle name="Normal 14 5 2 2 4" xfId="16591" xr:uid="{00000000-0005-0000-0000-00002F200000}"/>
    <cellStyle name="Normal 14 5 2 3" xfId="4221" xr:uid="{00000000-0005-0000-0000-000030200000}"/>
    <cellStyle name="Normal 14 5 2 3 2" xfId="4222" xr:uid="{00000000-0005-0000-0000-000031200000}"/>
    <cellStyle name="Normal 14 5 2 3 2 2" xfId="10457" xr:uid="{00000000-0005-0000-0000-000032200000}"/>
    <cellStyle name="Normal 14 5 2 3 2 3" xfId="16594" xr:uid="{00000000-0005-0000-0000-000033200000}"/>
    <cellStyle name="Normal 14 5 2 3 3" xfId="10456" xr:uid="{00000000-0005-0000-0000-000034200000}"/>
    <cellStyle name="Normal 14 5 2 3 4" xfId="16593" xr:uid="{00000000-0005-0000-0000-000035200000}"/>
    <cellStyle name="Normal 14 5 2 4" xfId="4223" xr:uid="{00000000-0005-0000-0000-000036200000}"/>
    <cellStyle name="Normal 14 5 2 4 2" xfId="10458" xr:uid="{00000000-0005-0000-0000-000037200000}"/>
    <cellStyle name="Normal 14 5 2 4 3" xfId="16595" xr:uid="{00000000-0005-0000-0000-000038200000}"/>
    <cellStyle name="Normal 14 5 2 5" xfId="10453" xr:uid="{00000000-0005-0000-0000-000039200000}"/>
    <cellStyle name="Normal 14 5 2 6" xfId="16590" xr:uid="{00000000-0005-0000-0000-00003A200000}"/>
    <cellStyle name="Normal 14 5 3" xfId="4224" xr:uid="{00000000-0005-0000-0000-00003B200000}"/>
    <cellStyle name="Normal 14 5 3 2" xfId="4225" xr:uid="{00000000-0005-0000-0000-00003C200000}"/>
    <cellStyle name="Normal 14 5 3 2 2" xfId="10460" xr:uid="{00000000-0005-0000-0000-00003D200000}"/>
    <cellStyle name="Normal 14 5 3 2 3" xfId="16597" xr:uid="{00000000-0005-0000-0000-00003E200000}"/>
    <cellStyle name="Normal 14 5 3 3" xfId="10459" xr:uid="{00000000-0005-0000-0000-00003F200000}"/>
    <cellStyle name="Normal 14 5 3 4" xfId="16596" xr:uid="{00000000-0005-0000-0000-000040200000}"/>
    <cellStyle name="Normal 14 5 4" xfId="4226" xr:uid="{00000000-0005-0000-0000-000041200000}"/>
    <cellStyle name="Normal 14 5 4 2" xfId="4227" xr:uid="{00000000-0005-0000-0000-000042200000}"/>
    <cellStyle name="Normal 14 5 4 2 2" xfId="10462" xr:uid="{00000000-0005-0000-0000-000043200000}"/>
    <cellStyle name="Normal 14 5 4 2 3" xfId="16599" xr:uid="{00000000-0005-0000-0000-000044200000}"/>
    <cellStyle name="Normal 14 5 4 3" xfId="10461" xr:uid="{00000000-0005-0000-0000-000045200000}"/>
    <cellStyle name="Normal 14 5 4 4" xfId="16598" xr:uid="{00000000-0005-0000-0000-000046200000}"/>
    <cellStyle name="Normal 14 5 5" xfId="4228" xr:uid="{00000000-0005-0000-0000-000047200000}"/>
    <cellStyle name="Normal 14 5 5 2" xfId="10463" xr:uid="{00000000-0005-0000-0000-000048200000}"/>
    <cellStyle name="Normal 14 5 5 3" xfId="16600" xr:uid="{00000000-0005-0000-0000-000049200000}"/>
    <cellStyle name="Normal 14 5 6" xfId="4229" xr:uid="{00000000-0005-0000-0000-00004A200000}"/>
    <cellStyle name="Normal 14 5 6 2" xfId="16601" xr:uid="{00000000-0005-0000-0000-00004B200000}"/>
    <cellStyle name="Normal 14 5 7" xfId="10452" xr:uid="{00000000-0005-0000-0000-00004C200000}"/>
    <cellStyle name="Normal 14 5 8" xfId="16589" xr:uid="{00000000-0005-0000-0000-00004D200000}"/>
    <cellStyle name="Normal 14 6" xfId="4230" xr:uid="{00000000-0005-0000-0000-00004E200000}"/>
    <cellStyle name="Normal 14 6 2" xfId="4231" xr:uid="{00000000-0005-0000-0000-00004F200000}"/>
    <cellStyle name="Normal 14 6 2 2" xfId="4232" xr:uid="{00000000-0005-0000-0000-000050200000}"/>
    <cellStyle name="Normal 14 6 2 2 2" xfId="10466" xr:uid="{00000000-0005-0000-0000-000051200000}"/>
    <cellStyle name="Normal 14 6 2 2 3" xfId="16604" xr:uid="{00000000-0005-0000-0000-000052200000}"/>
    <cellStyle name="Normal 14 6 2 3" xfId="10465" xr:uid="{00000000-0005-0000-0000-000053200000}"/>
    <cellStyle name="Normal 14 6 2 4" xfId="16603" xr:uid="{00000000-0005-0000-0000-000054200000}"/>
    <cellStyle name="Normal 14 6 3" xfId="4233" xr:uid="{00000000-0005-0000-0000-000055200000}"/>
    <cellStyle name="Normal 14 6 3 2" xfId="4234" xr:uid="{00000000-0005-0000-0000-000056200000}"/>
    <cellStyle name="Normal 14 6 3 2 2" xfId="10468" xr:uid="{00000000-0005-0000-0000-000057200000}"/>
    <cellStyle name="Normal 14 6 3 2 3" xfId="16606" xr:uid="{00000000-0005-0000-0000-000058200000}"/>
    <cellStyle name="Normal 14 6 3 3" xfId="10467" xr:uid="{00000000-0005-0000-0000-000059200000}"/>
    <cellStyle name="Normal 14 6 3 4" xfId="16605" xr:uid="{00000000-0005-0000-0000-00005A200000}"/>
    <cellStyle name="Normal 14 6 4" xfId="4235" xr:uid="{00000000-0005-0000-0000-00005B200000}"/>
    <cellStyle name="Normal 14 6 4 2" xfId="10469" xr:uid="{00000000-0005-0000-0000-00005C200000}"/>
    <cellStyle name="Normal 14 6 4 3" xfId="16607" xr:uid="{00000000-0005-0000-0000-00005D200000}"/>
    <cellStyle name="Normal 14 6 5" xfId="10464" xr:uid="{00000000-0005-0000-0000-00005E200000}"/>
    <cellStyle name="Normal 14 6 6" xfId="16602" xr:uid="{00000000-0005-0000-0000-00005F200000}"/>
    <cellStyle name="Normal 14 7" xfId="4236" xr:uid="{00000000-0005-0000-0000-000060200000}"/>
    <cellStyle name="Normal 14 7 2" xfId="4237" xr:uid="{00000000-0005-0000-0000-000061200000}"/>
    <cellStyle name="Normal 14 7 2 2" xfId="10471" xr:uid="{00000000-0005-0000-0000-000062200000}"/>
    <cellStyle name="Normal 14 7 2 3" xfId="16609" xr:uid="{00000000-0005-0000-0000-000063200000}"/>
    <cellStyle name="Normal 14 7 3" xfId="10470" xr:uid="{00000000-0005-0000-0000-000064200000}"/>
    <cellStyle name="Normal 14 7 4" xfId="16608" xr:uid="{00000000-0005-0000-0000-000065200000}"/>
    <cellStyle name="Normal 14 8" xfId="4238" xr:uid="{00000000-0005-0000-0000-000066200000}"/>
    <cellStyle name="Normal 14 8 2" xfId="4239" xr:uid="{00000000-0005-0000-0000-000067200000}"/>
    <cellStyle name="Normal 14 8 2 2" xfId="10473" xr:uid="{00000000-0005-0000-0000-000068200000}"/>
    <cellStyle name="Normal 14 8 2 3" xfId="16611" xr:uid="{00000000-0005-0000-0000-000069200000}"/>
    <cellStyle name="Normal 14 8 3" xfId="10472" xr:uid="{00000000-0005-0000-0000-00006A200000}"/>
    <cellStyle name="Normal 14 8 4" xfId="16610" xr:uid="{00000000-0005-0000-0000-00006B200000}"/>
    <cellStyle name="Normal 14 9" xfId="4240" xr:uid="{00000000-0005-0000-0000-00006C200000}"/>
    <cellStyle name="Normal 14 9 2" xfId="10474" xr:uid="{00000000-0005-0000-0000-00006D200000}"/>
    <cellStyle name="Normal 14 9 3" xfId="16612" xr:uid="{00000000-0005-0000-0000-00006E200000}"/>
    <cellStyle name="Normal 14_Recycling Tons" xfId="4241" xr:uid="{00000000-0005-0000-0000-00006F200000}"/>
    <cellStyle name="Normal 140" xfId="15205" xr:uid="{00000000-0005-0000-0000-000070200000}"/>
    <cellStyle name="Normal 140 2" xfId="22834" xr:uid="{00000000-0005-0000-0000-000071200000}"/>
    <cellStyle name="Normal 141" xfId="15206" xr:uid="{00000000-0005-0000-0000-000072200000}"/>
    <cellStyle name="Normal 141 2" xfId="22835" xr:uid="{00000000-0005-0000-0000-000073200000}"/>
    <cellStyle name="Normal 142" xfId="15210" xr:uid="{00000000-0005-0000-0000-000074200000}"/>
    <cellStyle name="Normal 142 2" xfId="22836" xr:uid="{00000000-0005-0000-0000-000075200000}"/>
    <cellStyle name="Normal 143" xfId="15212" xr:uid="{00000000-0005-0000-0000-000076200000}"/>
    <cellStyle name="Normal 143 2" xfId="22837" xr:uid="{00000000-0005-0000-0000-000077200000}"/>
    <cellStyle name="Normal 144" xfId="22965" xr:uid="{00000000-0005-0000-0000-000078200000}"/>
    <cellStyle name="Normal 145" xfId="22967" xr:uid="{00000000-0005-0000-0000-000079200000}"/>
    <cellStyle name="Normal 146" xfId="22968" xr:uid="{00000000-0005-0000-0000-00007A200000}"/>
    <cellStyle name="Normal 147" xfId="22969" xr:uid="{00000000-0005-0000-0000-00007B200000}"/>
    <cellStyle name="Normal 148" xfId="22970" xr:uid="{00000000-0005-0000-0000-00007C200000}"/>
    <cellStyle name="Normal 149" xfId="22971" xr:uid="{00000000-0005-0000-0000-00007D200000}"/>
    <cellStyle name="Normal 15" xfId="4242" xr:uid="{00000000-0005-0000-0000-00007E200000}"/>
    <cellStyle name="Normal 15 2" xfId="4243" xr:uid="{00000000-0005-0000-0000-00007F200000}"/>
    <cellStyle name="Normal 15 2 2" xfId="4244" xr:uid="{00000000-0005-0000-0000-000080200000}"/>
    <cellStyle name="Normal 15 2 2 2" xfId="4245" xr:uid="{00000000-0005-0000-0000-000081200000}"/>
    <cellStyle name="Normal 15 2 2 2 2" xfId="10478" xr:uid="{00000000-0005-0000-0000-000082200000}"/>
    <cellStyle name="Normal 15 2 2 2 3" xfId="16616" xr:uid="{00000000-0005-0000-0000-000083200000}"/>
    <cellStyle name="Normal 15 2 2 3" xfId="10477" xr:uid="{00000000-0005-0000-0000-000084200000}"/>
    <cellStyle name="Normal 15 2 2 4" xfId="16615" xr:uid="{00000000-0005-0000-0000-000085200000}"/>
    <cellStyle name="Normal 15 2 3" xfId="4246" xr:uid="{00000000-0005-0000-0000-000086200000}"/>
    <cellStyle name="Normal 15 2 3 2" xfId="10479" xr:uid="{00000000-0005-0000-0000-000087200000}"/>
    <cellStyle name="Normal 15 2 3 3" xfId="16617" xr:uid="{00000000-0005-0000-0000-000088200000}"/>
    <cellStyle name="Normal 15 2 4" xfId="10476" xr:uid="{00000000-0005-0000-0000-000089200000}"/>
    <cellStyle name="Normal 15 2 5" xfId="16614" xr:uid="{00000000-0005-0000-0000-00008A200000}"/>
    <cellStyle name="Normal 15 3" xfId="4247" xr:uid="{00000000-0005-0000-0000-00008B200000}"/>
    <cellStyle name="Normal 15 3 2" xfId="4248" xr:uid="{00000000-0005-0000-0000-00008C200000}"/>
    <cellStyle name="Normal 15 3 2 2" xfId="10481" xr:uid="{00000000-0005-0000-0000-00008D200000}"/>
    <cellStyle name="Normal 15 3 2 3" xfId="16619" xr:uid="{00000000-0005-0000-0000-00008E200000}"/>
    <cellStyle name="Normal 15 3 3" xfId="4249" xr:uid="{00000000-0005-0000-0000-00008F200000}"/>
    <cellStyle name="Normal 15 3 3 2" xfId="10482" xr:uid="{00000000-0005-0000-0000-000090200000}"/>
    <cellStyle name="Normal 15 3 3 3" xfId="16620" xr:uid="{00000000-0005-0000-0000-000091200000}"/>
    <cellStyle name="Normal 15 3 4" xfId="4250" xr:uid="{00000000-0005-0000-0000-000092200000}"/>
    <cellStyle name="Normal 15 3 4 2" xfId="16621" xr:uid="{00000000-0005-0000-0000-000093200000}"/>
    <cellStyle name="Normal 15 3 5" xfId="10480" xr:uid="{00000000-0005-0000-0000-000094200000}"/>
    <cellStyle name="Normal 15 3 6" xfId="16618" xr:uid="{00000000-0005-0000-0000-000095200000}"/>
    <cellStyle name="Normal 15 4" xfId="4251" xr:uid="{00000000-0005-0000-0000-000096200000}"/>
    <cellStyle name="Normal 15 4 2" xfId="4252" xr:uid="{00000000-0005-0000-0000-000097200000}"/>
    <cellStyle name="Normal 15 4 2 2" xfId="10484" xr:uid="{00000000-0005-0000-0000-000098200000}"/>
    <cellStyle name="Normal 15 4 2 3" xfId="16623" xr:uid="{00000000-0005-0000-0000-000099200000}"/>
    <cellStyle name="Normal 15 4 3" xfId="4253" xr:uid="{00000000-0005-0000-0000-00009A200000}"/>
    <cellStyle name="Normal 15 4 3 2" xfId="16624" xr:uid="{00000000-0005-0000-0000-00009B200000}"/>
    <cellStyle name="Normal 15 4 4" xfId="10483" xr:uid="{00000000-0005-0000-0000-00009C200000}"/>
    <cellStyle name="Normal 15 4 5" xfId="16622" xr:uid="{00000000-0005-0000-0000-00009D200000}"/>
    <cellStyle name="Normal 15 5" xfId="4254" xr:uid="{00000000-0005-0000-0000-00009E200000}"/>
    <cellStyle name="Normal 15 5 2" xfId="4255" xr:uid="{00000000-0005-0000-0000-00009F200000}"/>
    <cellStyle name="Normal 15 5 2 2" xfId="16626" xr:uid="{00000000-0005-0000-0000-0000A0200000}"/>
    <cellStyle name="Normal 15 5 3" xfId="10485" xr:uid="{00000000-0005-0000-0000-0000A1200000}"/>
    <cellStyle name="Normal 15 5 4" xfId="16625" xr:uid="{00000000-0005-0000-0000-0000A2200000}"/>
    <cellStyle name="Normal 15 6" xfId="10475" xr:uid="{00000000-0005-0000-0000-0000A3200000}"/>
    <cellStyle name="Normal 15 7" xfId="16613" xr:uid="{00000000-0005-0000-0000-0000A4200000}"/>
    <cellStyle name="Normal 15_Recycling Tons" xfId="4256" xr:uid="{00000000-0005-0000-0000-0000A5200000}"/>
    <cellStyle name="Normal 150" xfId="22972" xr:uid="{00000000-0005-0000-0000-0000A6200000}"/>
    <cellStyle name="Normal 151" xfId="22973" xr:uid="{00000000-0005-0000-0000-0000A7200000}"/>
    <cellStyle name="Normal 152" xfId="22974" xr:uid="{00000000-0005-0000-0000-0000A8200000}"/>
    <cellStyle name="Normal 153" xfId="22975" xr:uid="{00000000-0005-0000-0000-0000A9200000}"/>
    <cellStyle name="Normal 154" xfId="22977" xr:uid="{00000000-0005-0000-0000-0000AA200000}"/>
    <cellStyle name="Normal 155" xfId="22978" xr:uid="{00000000-0005-0000-0000-0000AB200000}"/>
    <cellStyle name="Normal 156" xfId="22979" xr:uid="{00000000-0005-0000-0000-0000AC200000}"/>
    <cellStyle name="Normal 157" xfId="22980" xr:uid="{00000000-0005-0000-0000-0000AD200000}"/>
    <cellStyle name="Normal 158" xfId="22981" xr:uid="{00000000-0005-0000-0000-0000AE200000}"/>
    <cellStyle name="Normal 159" xfId="22982" xr:uid="{00000000-0005-0000-0000-0000AF200000}"/>
    <cellStyle name="Normal 16" xfId="4257" xr:uid="{00000000-0005-0000-0000-0000B0200000}"/>
    <cellStyle name="Normal 16 10" xfId="10486" xr:uid="{00000000-0005-0000-0000-0000B1200000}"/>
    <cellStyle name="Normal 16 11" xfId="16627" xr:uid="{00000000-0005-0000-0000-0000B2200000}"/>
    <cellStyle name="Normal 16 2" xfId="4258" xr:uid="{00000000-0005-0000-0000-0000B3200000}"/>
    <cellStyle name="Normal 16 2 2" xfId="4259" xr:uid="{00000000-0005-0000-0000-0000B4200000}"/>
    <cellStyle name="Normal 16 2 2 2" xfId="4260" xr:uid="{00000000-0005-0000-0000-0000B5200000}"/>
    <cellStyle name="Normal 16 2 2 2 2" xfId="10489" xr:uid="{00000000-0005-0000-0000-0000B6200000}"/>
    <cellStyle name="Normal 16 2 2 2 3" xfId="16630" xr:uid="{00000000-0005-0000-0000-0000B7200000}"/>
    <cellStyle name="Normal 16 2 2 3" xfId="10488" xr:uid="{00000000-0005-0000-0000-0000B8200000}"/>
    <cellStyle name="Normal 16 2 2 4" xfId="16629" xr:uid="{00000000-0005-0000-0000-0000B9200000}"/>
    <cellStyle name="Normal 16 2 3" xfId="4261" xr:uid="{00000000-0005-0000-0000-0000BA200000}"/>
    <cellStyle name="Normal 16 2 3 2" xfId="10490" xr:uid="{00000000-0005-0000-0000-0000BB200000}"/>
    <cellStyle name="Normal 16 2 3 3" xfId="16631" xr:uid="{00000000-0005-0000-0000-0000BC200000}"/>
    <cellStyle name="Normal 16 2 4" xfId="10487" xr:uid="{00000000-0005-0000-0000-0000BD200000}"/>
    <cellStyle name="Normal 16 2 5" xfId="16628" xr:uid="{00000000-0005-0000-0000-0000BE200000}"/>
    <cellStyle name="Normal 16 3" xfId="4262" xr:uid="{00000000-0005-0000-0000-0000BF200000}"/>
    <cellStyle name="Normal 16 3 10" xfId="10491" xr:uid="{00000000-0005-0000-0000-0000C0200000}"/>
    <cellStyle name="Normal 16 3 11" xfId="16632" xr:uid="{00000000-0005-0000-0000-0000C1200000}"/>
    <cellStyle name="Normal 16 3 2" xfId="4263" xr:uid="{00000000-0005-0000-0000-0000C2200000}"/>
    <cellStyle name="Normal 16 3 2 2" xfId="4264" xr:uid="{00000000-0005-0000-0000-0000C3200000}"/>
    <cellStyle name="Normal 16 3 2 2 2" xfId="4265" xr:uid="{00000000-0005-0000-0000-0000C4200000}"/>
    <cellStyle name="Normal 16 3 2 2 2 2" xfId="4266" xr:uid="{00000000-0005-0000-0000-0000C5200000}"/>
    <cellStyle name="Normal 16 3 2 2 2 2 2" xfId="4267" xr:uid="{00000000-0005-0000-0000-0000C6200000}"/>
    <cellStyle name="Normal 16 3 2 2 2 2 2 2" xfId="10496" xr:uid="{00000000-0005-0000-0000-0000C7200000}"/>
    <cellStyle name="Normal 16 3 2 2 2 2 2 3" xfId="16637" xr:uid="{00000000-0005-0000-0000-0000C8200000}"/>
    <cellStyle name="Normal 16 3 2 2 2 2 3" xfId="10495" xr:uid="{00000000-0005-0000-0000-0000C9200000}"/>
    <cellStyle name="Normal 16 3 2 2 2 2 4" xfId="16636" xr:uid="{00000000-0005-0000-0000-0000CA200000}"/>
    <cellStyle name="Normal 16 3 2 2 2 3" xfId="4268" xr:uid="{00000000-0005-0000-0000-0000CB200000}"/>
    <cellStyle name="Normal 16 3 2 2 2 3 2" xfId="4269" xr:uid="{00000000-0005-0000-0000-0000CC200000}"/>
    <cellStyle name="Normal 16 3 2 2 2 3 2 2" xfId="10498" xr:uid="{00000000-0005-0000-0000-0000CD200000}"/>
    <cellStyle name="Normal 16 3 2 2 2 3 2 3" xfId="16639" xr:uid="{00000000-0005-0000-0000-0000CE200000}"/>
    <cellStyle name="Normal 16 3 2 2 2 3 3" xfId="10497" xr:uid="{00000000-0005-0000-0000-0000CF200000}"/>
    <cellStyle name="Normal 16 3 2 2 2 3 4" xfId="16638" xr:uid="{00000000-0005-0000-0000-0000D0200000}"/>
    <cellStyle name="Normal 16 3 2 2 2 4" xfId="4270" xr:uid="{00000000-0005-0000-0000-0000D1200000}"/>
    <cellStyle name="Normal 16 3 2 2 2 4 2" xfId="10499" xr:uid="{00000000-0005-0000-0000-0000D2200000}"/>
    <cellStyle name="Normal 16 3 2 2 2 4 3" xfId="16640" xr:uid="{00000000-0005-0000-0000-0000D3200000}"/>
    <cellStyle name="Normal 16 3 2 2 2 5" xfId="10494" xr:uid="{00000000-0005-0000-0000-0000D4200000}"/>
    <cellStyle name="Normal 16 3 2 2 2 6" xfId="16635" xr:uid="{00000000-0005-0000-0000-0000D5200000}"/>
    <cellStyle name="Normal 16 3 2 2 3" xfId="4271" xr:uid="{00000000-0005-0000-0000-0000D6200000}"/>
    <cellStyle name="Normal 16 3 2 2 3 2" xfId="4272" xr:uid="{00000000-0005-0000-0000-0000D7200000}"/>
    <cellStyle name="Normal 16 3 2 2 3 2 2" xfId="10501" xr:uid="{00000000-0005-0000-0000-0000D8200000}"/>
    <cellStyle name="Normal 16 3 2 2 3 2 3" xfId="16642" xr:uid="{00000000-0005-0000-0000-0000D9200000}"/>
    <cellStyle name="Normal 16 3 2 2 3 3" xfId="10500" xr:uid="{00000000-0005-0000-0000-0000DA200000}"/>
    <cellStyle name="Normal 16 3 2 2 3 4" xfId="16641" xr:uid="{00000000-0005-0000-0000-0000DB200000}"/>
    <cellStyle name="Normal 16 3 2 2 4" xfId="4273" xr:uid="{00000000-0005-0000-0000-0000DC200000}"/>
    <cellStyle name="Normal 16 3 2 2 4 2" xfId="4274" xr:uid="{00000000-0005-0000-0000-0000DD200000}"/>
    <cellStyle name="Normal 16 3 2 2 4 2 2" xfId="10503" xr:uid="{00000000-0005-0000-0000-0000DE200000}"/>
    <cellStyle name="Normal 16 3 2 2 4 2 3" xfId="16644" xr:uid="{00000000-0005-0000-0000-0000DF200000}"/>
    <cellStyle name="Normal 16 3 2 2 4 3" xfId="10502" xr:uid="{00000000-0005-0000-0000-0000E0200000}"/>
    <cellStyle name="Normal 16 3 2 2 4 4" xfId="16643" xr:uid="{00000000-0005-0000-0000-0000E1200000}"/>
    <cellStyle name="Normal 16 3 2 2 5" xfId="4275" xr:uid="{00000000-0005-0000-0000-0000E2200000}"/>
    <cellStyle name="Normal 16 3 2 2 5 2" xfId="10504" xr:uid="{00000000-0005-0000-0000-0000E3200000}"/>
    <cellStyle name="Normal 16 3 2 2 5 3" xfId="16645" xr:uid="{00000000-0005-0000-0000-0000E4200000}"/>
    <cellStyle name="Normal 16 3 2 2 6" xfId="10493" xr:uid="{00000000-0005-0000-0000-0000E5200000}"/>
    <cellStyle name="Normal 16 3 2 2 7" xfId="16634" xr:uid="{00000000-0005-0000-0000-0000E6200000}"/>
    <cellStyle name="Normal 16 3 2 3" xfId="4276" xr:uid="{00000000-0005-0000-0000-0000E7200000}"/>
    <cellStyle name="Normal 16 3 2 3 2" xfId="4277" xr:uid="{00000000-0005-0000-0000-0000E8200000}"/>
    <cellStyle name="Normal 16 3 2 3 2 2" xfId="4278" xr:uid="{00000000-0005-0000-0000-0000E9200000}"/>
    <cellStyle name="Normal 16 3 2 3 2 2 2" xfId="10507" xr:uid="{00000000-0005-0000-0000-0000EA200000}"/>
    <cellStyle name="Normal 16 3 2 3 2 2 3" xfId="16648" xr:uid="{00000000-0005-0000-0000-0000EB200000}"/>
    <cellStyle name="Normal 16 3 2 3 2 3" xfId="10506" xr:uid="{00000000-0005-0000-0000-0000EC200000}"/>
    <cellStyle name="Normal 16 3 2 3 2 4" xfId="16647" xr:uid="{00000000-0005-0000-0000-0000ED200000}"/>
    <cellStyle name="Normal 16 3 2 3 3" xfId="4279" xr:uid="{00000000-0005-0000-0000-0000EE200000}"/>
    <cellStyle name="Normal 16 3 2 3 3 2" xfId="4280" xr:uid="{00000000-0005-0000-0000-0000EF200000}"/>
    <cellStyle name="Normal 16 3 2 3 3 2 2" xfId="10509" xr:uid="{00000000-0005-0000-0000-0000F0200000}"/>
    <cellStyle name="Normal 16 3 2 3 3 2 3" xfId="16650" xr:uid="{00000000-0005-0000-0000-0000F1200000}"/>
    <cellStyle name="Normal 16 3 2 3 3 3" xfId="10508" xr:uid="{00000000-0005-0000-0000-0000F2200000}"/>
    <cellStyle name="Normal 16 3 2 3 3 4" xfId="16649" xr:uid="{00000000-0005-0000-0000-0000F3200000}"/>
    <cellStyle name="Normal 16 3 2 3 4" xfId="4281" xr:uid="{00000000-0005-0000-0000-0000F4200000}"/>
    <cellStyle name="Normal 16 3 2 3 4 2" xfId="10510" xr:uid="{00000000-0005-0000-0000-0000F5200000}"/>
    <cellStyle name="Normal 16 3 2 3 4 3" xfId="16651" xr:uid="{00000000-0005-0000-0000-0000F6200000}"/>
    <cellStyle name="Normal 16 3 2 3 5" xfId="10505" xr:uid="{00000000-0005-0000-0000-0000F7200000}"/>
    <cellStyle name="Normal 16 3 2 3 6" xfId="16646" xr:uid="{00000000-0005-0000-0000-0000F8200000}"/>
    <cellStyle name="Normal 16 3 2 4" xfId="4282" xr:uid="{00000000-0005-0000-0000-0000F9200000}"/>
    <cellStyle name="Normal 16 3 2 4 2" xfId="4283" xr:uid="{00000000-0005-0000-0000-0000FA200000}"/>
    <cellStyle name="Normal 16 3 2 4 2 2" xfId="10512" xr:uid="{00000000-0005-0000-0000-0000FB200000}"/>
    <cellStyle name="Normal 16 3 2 4 2 3" xfId="16653" xr:uid="{00000000-0005-0000-0000-0000FC200000}"/>
    <cellStyle name="Normal 16 3 2 4 3" xfId="10511" xr:uid="{00000000-0005-0000-0000-0000FD200000}"/>
    <cellStyle name="Normal 16 3 2 4 4" xfId="16652" xr:uid="{00000000-0005-0000-0000-0000FE200000}"/>
    <cellStyle name="Normal 16 3 2 5" xfId="4284" xr:uid="{00000000-0005-0000-0000-0000FF200000}"/>
    <cellStyle name="Normal 16 3 2 5 2" xfId="4285" xr:uid="{00000000-0005-0000-0000-000000210000}"/>
    <cellStyle name="Normal 16 3 2 5 2 2" xfId="10514" xr:uid="{00000000-0005-0000-0000-000001210000}"/>
    <cellStyle name="Normal 16 3 2 5 2 3" xfId="16655" xr:uid="{00000000-0005-0000-0000-000002210000}"/>
    <cellStyle name="Normal 16 3 2 5 3" xfId="10513" xr:uid="{00000000-0005-0000-0000-000003210000}"/>
    <cellStyle name="Normal 16 3 2 5 4" xfId="16654" xr:uid="{00000000-0005-0000-0000-000004210000}"/>
    <cellStyle name="Normal 16 3 2 6" xfId="4286" xr:uid="{00000000-0005-0000-0000-000005210000}"/>
    <cellStyle name="Normal 16 3 2 6 2" xfId="10515" xr:uid="{00000000-0005-0000-0000-000006210000}"/>
    <cellStyle name="Normal 16 3 2 6 3" xfId="16656" xr:uid="{00000000-0005-0000-0000-000007210000}"/>
    <cellStyle name="Normal 16 3 2 7" xfId="10492" xr:uid="{00000000-0005-0000-0000-000008210000}"/>
    <cellStyle name="Normal 16 3 2 8" xfId="16633" xr:uid="{00000000-0005-0000-0000-000009210000}"/>
    <cellStyle name="Normal 16 3 3" xfId="4287" xr:uid="{00000000-0005-0000-0000-00000A210000}"/>
    <cellStyle name="Normal 16 3 3 2" xfId="4288" xr:uid="{00000000-0005-0000-0000-00000B210000}"/>
    <cellStyle name="Normal 16 3 3 2 2" xfId="4289" xr:uid="{00000000-0005-0000-0000-00000C210000}"/>
    <cellStyle name="Normal 16 3 3 2 2 2" xfId="4290" xr:uid="{00000000-0005-0000-0000-00000D210000}"/>
    <cellStyle name="Normal 16 3 3 2 2 2 2" xfId="10519" xr:uid="{00000000-0005-0000-0000-00000E210000}"/>
    <cellStyle name="Normal 16 3 3 2 2 2 3" xfId="16660" xr:uid="{00000000-0005-0000-0000-00000F210000}"/>
    <cellStyle name="Normal 16 3 3 2 2 3" xfId="10518" xr:uid="{00000000-0005-0000-0000-000010210000}"/>
    <cellStyle name="Normal 16 3 3 2 2 4" xfId="16659" xr:uid="{00000000-0005-0000-0000-000011210000}"/>
    <cellStyle name="Normal 16 3 3 2 3" xfId="4291" xr:uid="{00000000-0005-0000-0000-000012210000}"/>
    <cellStyle name="Normal 16 3 3 2 3 2" xfId="4292" xr:uid="{00000000-0005-0000-0000-000013210000}"/>
    <cellStyle name="Normal 16 3 3 2 3 2 2" xfId="10521" xr:uid="{00000000-0005-0000-0000-000014210000}"/>
    <cellStyle name="Normal 16 3 3 2 3 2 3" xfId="16662" xr:uid="{00000000-0005-0000-0000-000015210000}"/>
    <cellStyle name="Normal 16 3 3 2 3 3" xfId="10520" xr:uid="{00000000-0005-0000-0000-000016210000}"/>
    <cellStyle name="Normal 16 3 3 2 3 4" xfId="16661" xr:uid="{00000000-0005-0000-0000-000017210000}"/>
    <cellStyle name="Normal 16 3 3 2 4" xfId="4293" xr:uid="{00000000-0005-0000-0000-000018210000}"/>
    <cellStyle name="Normal 16 3 3 2 4 2" xfId="10522" xr:uid="{00000000-0005-0000-0000-000019210000}"/>
    <cellStyle name="Normal 16 3 3 2 4 3" xfId="16663" xr:uid="{00000000-0005-0000-0000-00001A210000}"/>
    <cellStyle name="Normal 16 3 3 2 5" xfId="10517" xr:uid="{00000000-0005-0000-0000-00001B210000}"/>
    <cellStyle name="Normal 16 3 3 2 6" xfId="16658" xr:uid="{00000000-0005-0000-0000-00001C210000}"/>
    <cellStyle name="Normal 16 3 3 3" xfId="4294" xr:uid="{00000000-0005-0000-0000-00001D210000}"/>
    <cellStyle name="Normal 16 3 3 3 2" xfId="4295" xr:uid="{00000000-0005-0000-0000-00001E210000}"/>
    <cellStyle name="Normal 16 3 3 3 2 2" xfId="10524" xr:uid="{00000000-0005-0000-0000-00001F210000}"/>
    <cellStyle name="Normal 16 3 3 3 2 3" xfId="16665" xr:uid="{00000000-0005-0000-0000-000020210000}"/>
    <cellStyle name="Normal 16 3 3 3 3" xfId="10523" xr:uid="{00000000-0005-0000-0000-000021210000}"/>
    <cellStyle name="Normal 16 3 3 3 4" xfId="16664" xr:uid="{00000000-0005-0000-0000-000022210000}"/>
    <cellStyle name="Normal 16 3 3 4" xfId="4296" xr:uid="{00000000-0005-0000-0000-000023210000}"/>
    <cellStyle name="Normal 16 3 3 4 2" xfId="4297" xr:uid="{00000000-0005-0000-0000-000024210000}"/>
    <cellStyle name="Normal 16 3 3 4 2 2" xfId="10526" xr:uid="{00000000-0005-0000-0000-000025210000}"/>
    <cellStyle name="Normal 16 3 3 4 2 3" xfId="16667" xr:uid="{00000000-0005-0000-0000-000026210000}"/>
    <cellStyle name="Normal 16 3 3 4 3" xfId="10525" xr:uid="{00000000-0005-0000-0000-000027210000}"/>
    <cellStyle name="Normal 16 3 3 4 4" xfId="16666" xr:uid="{00000000-0005-0000-0000-000028210000}"/>
    <cellStyle name="Normal 16 3 3 5" xfId="4298" xr:uid="{00000000-0005-0000-0000-000029210000}"/>
    <cellStyle name="Normal 16 3 3 5 2" xfId="10527" xr:uid="{00000000-0005-0000-0000-00002A210000}"/>
    <cellStyle name="Normal 16 3 3 5 3" xfId="16668" xr:uid="{00000000-0005-0000-0000-00002B210000}"/>
    <cellStyle name="Normal 16 3 3 6" xfId="10516" xr:uid="{00000000-0005-0000-0000-00002C210000}"/>
    <cellStyle name="Normal 16 3 3 7" xfId="16657" xr:uid="{00000000-0005-0000-0000-00002D210000}"/>
    <cellStyle name="Normal 16 3 4" xfId="4299" xr:uid="{00000000-0005-0000-0000-00002E210000}"/>
    <cellStyle name="Normal 16 3 4 2" xfId="4300" xr:uid="{00000000-0005-0000-0000-00002F210000}"/>
    <cellStyle name="Normal 16 3 4 2 2" xfId="4301" xr:uid="{00000000-0005-0000-0000-000030210000}"/>
    <cellStyle name="Normal 16 3 4 2 2 2" xfId="10530" xr:uid="{00000000-0005-0000-0000-000031210000}"/>
    <cellStyle name="Normal 16 3 4 2 2 3" xfId="16671" xr:uid="{00000000-0005-0000-0000-000032210000}"/>
    <cellStyle name="Normal 16 3 4 2 3" xfId="10529" xr:uid="{00000000-0005-0000-0000-000033210000}"/>
    <cellStyle name="Normal 16 3 4 2 4" xfId="16670" xr:uid="{00000000-0005-0000-0000-000034210000}"/>
    <cellStyle name="Normal 16 3 4 3" xfId="4302" xr:uid="{00000000-0005-0000-0000-000035210000}"/>
    <cellStyle name="Normal 16 3 4 3 2" xfId="4303" xr:uid="{00000000-0005-0000-0000-000036210000}"/>
    <cellStyle name="Normal 16 3 4 3 2 2" xfId="10532" xr:uid="{00000000-0005-0000-0000-000037210000}"/>
    <cellStyle name="Normal 16 3 4 3 2 3" xfId="16673" xr:uid="{00000000-0005-0000-0000-000038210000}"/>
    <cellStyle name="Normal 16 3 4 3 3" xfId="10531" xr:uid="{00000000-0005-0000-0000-000039210000}"/>
    <cellStyle name="Normal 16 3 4 3 4" xfId="16672" xr:uid="{00000000-0005-0000-0000-00003A210000}"/>
    <cellStyle name="Normal 16 3 4 4" xfId="4304" xr:uid="{00000000-0005-0000-0000-00003B210000}"/>
    <cellStyle name="Normal 16 3 4 4 2" xfId="10533" xr:uid="{00000000-0005-0000-0000-00003C210000}"/>
    <cellStyle name="Normal 16 3 4 4 3" xfId="16674" xr:uid="{00000000-0005-0000-0000-00003D210000}"/>
    <cellStyle name="Normal 16 3 4 5" xfId="10528" xr:uid="{00000000-0005-0000-0000-00003E210000}"/>
    <cellStyle name="Normal 16 3 4 6" xfId="16669" xr:uid="{00000000-0005-0000-0000-00003F210000}"/>
    <cellStyle name="Normal 16 3 5" xfId="4305" xr:uid="{00000000-0005-0000-0000-000040210000}"/>
    <cellStyle name="Normal 16 3 5 2" xfId="4306" xr:uid="{00000000-0005-0000-0000-000041210000}"/>
    <cellStyle name="Normal 16 3 5 2 2" xfId="10535" xr:uid="{00000000-0005-0000-0000-000042210000}"/>
    <cellStyle name="Normal 16 3 5 2 3" xfId="16676" xr:uid="{00000000-0005-0000-0000-000043210000}"/>
    <cellStyle name="Normal 16 3 5 3" xfId="10534" xr:uid="{00000000-0005-0000-0000-000044210000}"/>
    <cellStyle name="Normal 16 3 5 4" xfId="16675" xr:uid="{00000000-0005-0000-0000-000045210000}"/>
    <cellStyle name="Normal 16 3 6" xfId="4307" xr:uid="{00000000-0005-0000-0000-000046210000}"/>
    <cellStyle name="Normal 16 3 6 2" xfId="4308" xr:uid="{00000000-0005-0000-0000-000047210000}"/>
    <cellStyle name="Normal 16 3 6 2 2" xfId="10537" xr:uid="{00000000-0005-0000-0000-000048210000}"/>
    <cellStyle name="Normal 16 3 6 2 3" xfId="16678" xr:uid="{00000000-0005-0000-0000-000049210000}"/>
    <cellStyle name="Normal 16 3 6 3" xfId="10536" xr:uid="{00000000-0005-0000-0000-00004A210000}"/>
    <cellStyle name="Normal 16 3 6 4" xfId="16677" xr:uid="{00000000-0005-0000-0000-00004B210000}"/>
    <cellStyle name="Normal 16 3 7" xfId="4309" xr:uid="{00000000-0005-0000-0000-00004C210000}"/>
    <cellStyle name="Normal 16 3 7 2" xfId="10538" xr:uid="{00000000-0005-0000-0000-00004D210000}"/>
    <cellStyle name="Normal 16 3 7 3" xfId="16679" xr:uid="{00000000-0005-0000-0000-00004E210000}"/>
    <cellStyle name="Normal 16 3 8" xfId="4310" xr:uid="{00000000-0005-0000-0000-00004F210000}"/>
    <cellStyle name="Normal 16 3 8 2" xfId="10539" xr:uid="{00000000-0005-0000-0000-000050210000}"/>
    <cellStyle name="Normal 16 3 8 3" xfId="16680" xr:uid="{00000000-0005-0000-0000-000051210000}"/>
    <cellStyle name="Normal 16 3 9" xfId="4311" xr:uid="{00000000-0005-0000-0000-000052210000}"/>
    <cellStyle name="Normal 16 3 9 2" xfId="16681" xr:uid="{00000000-0005-0000-0000-000053210000}"/>
    <cellStyle name="Normal 16 4" xfId="4312" xr:uid="{00000000-0005-0000-0000-000054210000}"/>
    <cellStyle name="Normal 16 4 2" xfId="4313" xr:uid="{00000000-0005-0000-0000-000055210000}"/>
    <cellStyle name="Normal 16 4 2 2" xfId="4314" xr:uid="{00000000-0005-0000-0000-000056210000}"/>
    <cellStyle name="Normal 16 4 2 2 2" xfId="4315" xr:uid="{00000000-0005-0000-0000-000057210000}"/>
    <cellStyle name="Normal 16 4 2 2 2 2" xfId="4316" xr:uid="{00000000-0005-0000-0000-000058210000}"/>
    <cellStyle name="Normal 16 4 2 2 2 2 2" xfId="10544" xr:uid="{00000000-0005-0000-0000-000059210000}"/>
    <cellStyle name="Normal 16 4 2 2 2 2 3" xfId="16686" xr:uid="{00000000-0005-0000-0000-00005A210000}"/>
    <cellStyle name="Normal 16 4 2 2 2 3" xfId="10543" xr:uid="{00000000-0005-0000-0000-00005B210000}"/>
    <cellStyle name="Normal 16 4 2 2 2 4" xfId="16685" xr:uid="{00000000-0005-0000-0000-00005C210000}"/>
    <cellStyle name="Normal 16 4 2 2 3" xfId="4317" xr:uid="{00000000-0005-0000-0000-00005D210000}"/>
    <cellStyle name="Normal 16 4 2 2 3 2" xfId="4318" xr:uid="{00000000-0005-0000-0000-00005E210000}"/>
    <cellStyle name="Normal 16 4 2 2 3 2 2" xfId="10546" xr:uid="{00000000-0005-0000-0000-00005F210000}"/>
    <cellStyle name="Normal 16 4 2 2 3 2 3" xfId="16688" xr:uid="{00000000-0005-0000-0000-000060210000}"/>
    <cellStyle name="Normal 16 4 2 2 3 3" xfId="10545" xr:uid="{00000000-0005-0000-0000-000061210000}"/>
    <cellStyle name="Normal 16 4 2 2 3 4" xfId="16687" xr:uid="{00000000-0005-0000-0000-000062210000}"/>
    <cellStyle name="Normal 16 4 2 2 4" xfId="4319" xr:uid="{00000000-0005-0000-0000-000063210000}"/>
    <cellStyle name="Normal 16 4 2 2 4 2" xfId="10547" xr:uid="{00000000-0005-0000-0000-000064210000}"/>
    <cellStyle name="Normal 16 4 2 2 4 3" xfId="16689" xr:uid="{00000000-0005-0000-0000-000065210000}"/>
    <cellStyle name="Normal 16 4 2 2 5" xfId="10542" xr:uid="{00000000-0005-0000-0000-000066210000}"/>
    <cellStyle name="Normal 16 4 2 2 6" xfId="16684" xr:uid="{00000000-0005-0000-0000-000067210000}"/>
    <cellStyle name="Normal 16 4 2 3" xfId="4320" xr:uid="{00000000-0005-0000-0000-000068210000}"/>
    <cellStyle name="Normal 16 4 2 3 2" xfId="4321" xr:uid="{00000000-0005-0000-0000-000069210000}"/>
    <cellStyle name="Normal 16 4 2 3 2 2" xfId="10549" xr:uid="{00000000-0005-0000-0000-00006A210000}"/>
    <cellStyle name="Normal 16 4 2 3 2 3" xfId="16691" xr:uid="{00000000-0005-0000-0000-00006B210000}"/>
    <cellStyle name="Normal 16 4 2 3 3" xfId="10548" xr:uid="{00000000-0005-0000-0000-00006C210000}"/>
    <cellStyle name="Normal 16 4 2 3 4" xfId="16690" xr:uid="{00000000-0005-0000-0000-00006D210000}"/>
    <cellStyle name="Normal 16 4 2 4" xfId="4322" xr:uid="{00000000-0005-0000-0000-00006E210000}"/>
    <cellStyle name="Normal 16 4 2 4 2" xfId="4323" xr:uid="{00000000-0005-0000-0000-00006F210000}"/>
    <cellStyle name="Normal 16 4 2 4 2 2" xfId="10551" xr:uid="{00000000-0005-0000-0000-000070210000}"/>
    <cellStyle name="Normal 16 4 2 4 2 3" xfId="16693" xr:uid="{00000000-0005-0000-0000-000071210000}"/>
    <cellStyle name="Normal 16 4 2 4 3" xfId="10550" xr:uid="{00000000-0005-0000-0000-000072210000}"/>
    <cellStyle name="Normal 16 4 2 4 4" xfId="16692" xr:uid="{00000000-0005-0000-0000-000073210000}"/>
    <cellStyle name="Normal 16 4 2 5" xfId="4324" xr:uid="{00000000-0005-0000-0000-000074210000}"/>
    <cellStyle name="Normal 16 4 2 5 2" xfId="10552" xr:uid="{00000000-0005-0000-0000-000075210000}"/>
    <cellStyle name="Normal 16 4 2 5 3" xfId="16694" xr:uid="{00000000-0005-0000-0000-000076210000}"/>
    <cellStyle name="Normal 16 4 2 6" xfId="10541" xr:uid="{00000000-0005-0000-0000-000077210000}"/>
    <cellStyle name="Normal 16 4 2 7" xfId="16683" xr:uid="{00000000-0005-0000-0000-000078210000}"/>
    <cellStyle name="Normal 16 4 3" xfId="4325" xr:uid="{00000000-0005-0000-0000-000079210000}"/>
    <cellStyle name="Normal 16 4 3 2" xfId="4326" xr:uid="{00000000-0005-0000-0000-00007A210000}"/>
    <cellStyle name="Normal 16 4 3 2 2" xfId="4327" xr:uid="{00000000-0005-0000-0000-00007B210000}"/>
    <cellStyle name="Normal 16 4 3 2 2 2" xfId="10555" xr:uid="{00000000-0005-0000-0000-00007C210000}"/>
    <cellStyle name="Normal 16 4 3 2 2 3" xfId="16697" xr:uid="{00000000-0005-0000-0000-00007D210000}"/>
    <cellStyle name="Normal 16 4 3 2 3" xfId="10554" xr:uid="{00000000-0005-0000-0000-00007E210000}"/>
    <cellStyle name="Normal 16 4 3 2 4" xfId="16696" xr:uid="{00000000-0005-0000-0000-00007F210000}"/>
    <cellStyle name="Normal 16 4 3 3" xfId="4328" xr:uid="{00000000-0005-0000-0000-000080210000}"/>
    <cellStyle name="Normal 16 4 3 3 2" xfId="4329" xr:uid="{00000000-0005-0000-0000-000081210000}"/>
    <cellStyle name="Normal 16 4 3 3 2 2" xfId="10557" xr:uid="{00000000-0005-0000-0000-000082210000}"/>
    <cellStyle name="Normal 16 4 3 3 2 3" xfId="16699" xr:uid="{00000000-0005-0000-0000-000083210000}"/>
    <cellStyle name="Normal 16 4 3 3 3" xfId="10556" xr:uid="{00000000-0005-0000-0000-000084210000}"/>
    <cellStyle name="Normal 16 4 3 3 4" xfId="16698" xr:uid="{00000000-0005-0000-0000-000085210000}"/>
    <cellStyle name="Normal 16 4 3 4" xfId="4330" xr:uid="{00000000-0005-0000-0000-000086210000}"/>
    <cellStyle name="Normal 16 4 3 4 2" xfId="10558" xr:uid="{00000000-0005-0000-0000-000087210000}"/>
    <cellStyle name="Normal 16 4 3 4 3" xfId="16700" xr:uid="{00000000-0005-0000-0000-000088210000}"/>
    <cellStyle name="Normal 16 4 3 5" xfId="10553" xr:uid="{00000000-0005-0000-0000-000089210000}"/>
    <cellStyle name="Normal 16 4 3 6" xfId="16695" xr:uid="{00000000-0005-0000-0000-00008A210000}"/>
    <cellStyle name="Normal 16 4 4" xfId="4331" xr:uid="{00000000-0005-0000-0000-00008B210000}"/>
    <cellStyle name="Normal 16 4 4 2" xfId="4332" xr:uid="{00000000-0005-0000-0000-00008C210000}"/>
    <cellStyle name="Normal 16 4 4 2 2" xfId="10560" xr:uid="{00000000-0005-0000-0000-00008D210000}"/>
    <cellStyle name="Normal 16 4 4 2 3" xfId="16702" xr:uid="{00000000-0005-0000-0000-00008E210000}"/>
    <cellStyle name="Normal 16 4 4 3" xfId="10559" xr:uid="{00000000-0005-0000-0000-00008F210000}"/>
    <cellStyle name="Normal 16 4 4 4" xfId="16701" xr:uid="{00000000-0005-0000-0000-000090210000}"/>
    <cellStyle name="Normal 16 4 5" xfId="4333" xr:uid="{00000000-0005-0000-0000-000091210000}"/>
    <cellStyle name="Normal 16 4 5 2" xfId="4334" xr:uid="{00000000-0005-0000-0000-000092210000}"/>
    <cellStyle name="Normal 16 4 5 2 2" xfId="10562" xr:uid="{00000000-0005-0000-0000-000093210000}"/>
    <cellStyle name="Normal 16 4 5 2 3" xfId="16704" xr:uid="{00000000-0005-0000-0000-000094210000}"/>
    <cellStyle name="Normal 16 4 5 3" xfId="10561" xr:uid="{00000000-0005-0000-0000-000095210000}"/>
    <cellStyle name="Normal 16 4 5 4" xfId="16703" xr:uid="{00000000-0005-0000-0000-000096210000}"/>
    <cellStyle name="Normal 16 4 6" xfId="4335" xr:uid="{00000000-0005-0000-0000-000097210000}"/>
    <cellStyle name="Normal 16 4 6 2" xfId="10563" xr:uid="{00000000-0005-0000-0000-000098210000}"/>
    <cellStyle name="Normal 16 4 6 3" xfId="16705" xr:uid="{00000000-0005-0000-0000-000099210000}"/>
    <cellStyle name="Normal 16 4 7" xfId="4336" xr:uid="{00000000-0005-0000-0000-00009A210000}"/>
    <cellStyle name="Normal 16 4 7 2" xfId="16706" xr:uid="{00000000-0005-0000-0000-00009B210000}"/>
    <cellStyle name="Normal 16 4 8" xfId="10540" xr:uid="{00000000-0005-0000-0000-00009C210000}"/>
    <cellStyle name="Normal 16 4 9" xfId="16682" xr:uid="{00000000-0005-0000-0000-00009D210000}"/>
    <cellStyle name="Normal 16 5" xfId="4337" xr:uid="{00000000-0005-0000-0000-00009E210000}"/>
    <cellStyle name="Normal 16 5 2" xfId="4338" xr:uid="{00000000-0005-0000-0000-00009F210000}"/>
    <cellStyle name="Normal 16 5 2 2" xfId="4339" xr:uid="{00000000-0005-0000-0000-0000A0210000}"/>
    <cellStyle name="Normal 16 5 2 2 2" xfId="4340" xr:uid="{00000000-0005-0000-0000-0000A1210000}"/>
    <cellStyle name="Normal 16 5 2 2 2 2" xfId="10567" xr:uid="{00000000-0005-0000-0000-0000A2210000}"/>
    <cellStyle name="Normal 16 5 2 2 2 3" xfId="16710" xr:uid="{00000000-0005-0000-0000-0000A3210000}"/>
    <cellStyle name="Normal 16 5 2 2 3" xfId="10566" xr:uid="{00000000-0005-0000-0000-0000A4210000}"/>
    <cellStyle name="Normal 16 5 2 2 4" xfId="16709" xr:uid="{00000000-0005-0000-0000-0000A5210000}"/>
    <cellStyle name="Normal 16 5 2 3" xfId="4341" xr:uid="{00000000-0005-0000-0000-0000A6210000}"/>
    <cellStyle name="Normal 16 5 2 3 2" xfId="4342" xr:uid="{00000000-0005-0000-0000-0000A7210000}"/>
    <cellStyle name="Normal 16 5 2 3 2 2" xfId="10569" xr:uid="{00000000-0005-0000-0000-0000A8210000}"/>
    <cellStyle name="Normal 16 5 2 3 2 3" xfId="16712" xr:uid="{00000000-0005-0000-0000-0000A9210000}"/>
    <cellStyle name="Normal 16 5 2 3 3" xfId="10568" xr:uid="{00000000-0005-0000-0000-0000AA210000}"/>
    <cellStyle name="Normal 16 5 2 3 4" xfId="16711" xr:uid="{00000000-0005-0000-0000-0000AB210000}"/>
    <cellStyle name="Normal 16 5 2 4" xfId="4343" xr:uid="{00000000-0005-0000-0000-0000AC210000}"/>
    <cellStyle name="Normal 16 5 2 4 2" xfId="10570" xr:uid="{00000000-0005-0000-0000-0000AD210000}"/>
    <cellStyle name="Normal 16 5 2 4 3" xfId="16713" xr:uid="{00000000-0005-0000-0000-0000AE210000}"/>
    <cellStyle name="Normal 16 5 2 5" xfId="10565" xr:uid="{00000000-0005-0000-0000-0000AF210000}"/>
    <cellStyle name="Normal 16 5 2 6" xfId="16708" xr:uid="{00000000-0005-0000-0000-0000B0210000}"/>
    <cellStyle name="Normal 16 5 3" xfId="4344" xr:uid="{00000000-0005-0000-0000-0000B1210000}"/>
    <cellStyle name="Normal 16 5 3 2" xfId="4345" xr:uid="{00000000-0005-0000-0000-0000B2210000}"/>
    <cellStyle name="Normal 16 5 3 2 2" xfId="10572" xr:uid="{00000000-0005-0000-0000-0000B3210000}"/>
    <cellStyle name="Normal 16 5 3 2 3" xfId="16715" xr:uid="{00000000-0005-0000-0000-0000B4210000}"/>
    <cellStyle name="Normal 16 5 3 3" xfId="10571" xr:uid="{00000000-0005-0000-0000-0000B5210000}"/>
    <cellStyle name="Normal 16 5 3 4" xfId="16714" xr:uid="{00000000-0005-0000-0000-0000B6210000}"/>
    <cellStyle name="Normal 16 5 4" xfId="4346" xr:uid="{00000000-0005-0000-0000-0000B7210000}"/>
    <cellStyle name="Normal 16 5 4 2" xfId="4347" xr:uid="{00000000-0005-0000-0000-0000B8210000}"/>
    <cellStyle name="Normal 16 5 4 2 2" xfId="10574" xr:uid="{00000000-0005-0000-0000-0000B9210000}"/>
    <cellStyle name="Normal 16 5 4 2 3" xfId="16717" xr:uid="{00000000-0005-0000-0000-0000BA210000}"/>
    <cellStyle name="Normal 16 5 4 3" xfId="10573" xr:uid="{00000000-0005-0000-0000-0000BB210000}"/>
    <cellStyle name="Normal 16 5 4 4" xfId="16716" xr:uid="{00000000-0005-0000-0000-0000BC210000}"/>
    <cellStyle name="Normal 16 5 5" xfId="4348" xr:uid="{00000000-0005-0000-0000-0000BD210000}"/>
    <cellStyle name="Normal 16 5 5 2" xfId="10575" xr:uid="{00000000-0005-0000-0000-0000BE210000}"/>
    <cellStyle name="Normal 16 5 5 3" xfId="16718" xr:uid="{00000000-0005-0000-0000-0000BF210000}"/>
    <cellStyle name="Normal 16 5 6" xfId="10564" xr:uid="{00000000-0005-0000-0000-0000C0210000}"/>
    <cellStyle name="Normal 16 5 7" xfId="16707" xr:uid="{00000000-0005-0000-0000-0000C1210000}"/>
    <cellStyle name="Normal 16 6" xfId="4349" xr:uid="{00000000-0005-0000-0000-0000C2210000}"/>
    <cellStyle name="Normal 16 6 2" xfId="4350" xr:uid="{00000000-0005-0000-0000-0000C3210000}"/>
    <cellStyle name="Normal 16 6 2 2" xfId="4351" xr:uid="{00000000-0005-0000-0000-0000C4210000}"/>
    <cellStyle name="Normal 16 6 2 2 2" xfId="10578" xr:uid="{00000000-0005-0000-0000-0000C5210000}"/>
    <cellStyle name="Normal 16 6 2 2 3" xfId="16721" xr:uid="{00000000-0005-0000-0000-0000C6210000}"/>
    <cellStyle name="Normal 16 6 2 3" xfId="10577" xr:uid="{00000000-0005-0000-0000-0000C7210000}"/>
    <cellStyle name="Normal 16 6 2 4" xfId="16720" xr:uid="{00000000-0005-0000-0000-0000C8210000}"/>
    <cellStyle name="Normal 16 6 3" xfId="4352" xr:uid="{00000000-0005-0000-0000-0000C9210000}"/>
    <cellStyle name="Normal 16 6 3 2" xfId="4353" xr:uid="{00000000-0005-0000-0000-0000CA210000}"/>
    <cellStyle name="Normal 16 6 3 2 2" xfId="10580" xr:uid="{00000000-0005-0000-0000-0000CB210000}"/>
    <cellStyle name="Normal 16 6 3 2 3" xfId="16723" xr:uid="{00000000-0005-0000-0000-0000CC210000}"/>
    <cellStyle name="Normal 16 6 3 3" xfId="10579" xr:uid="{00000000-0005-0000-0000-0000CD210000}"/>
    <cellStyle name="Normal 16 6 3 4" xfId="16722" xr:uid="{00000000-0005-0000-0000-0000CE210000}"/>
    <cellStyle name="Normal 16 6 4" xfId="4354" xr:uid="{00000000-0005-0000-0000-0000CF210000}"/>
    <cellStyle name="Normal 16 6 4 2" xfId="10581" xr:uid="{00000000-0005-0000-0000-0000D0210000}"/>
    <cellStyle name="Normal 16 6 4 3" xfId="16724" xr:uid="{00000000-0005-0000-0000-0000D1210000}"/>
    <cellStyle name="Normal 16 6 5" xfId="10576" xr:uid="{00000000-0005-0000-0000-0000D2210000}"/>
    <cellStyle name="Normal 16 6 6" xfId="16719" xr:uid="{00000000-0005-0000-0000-0000D3210000}"/>
    <cellStyle name="Normal 16 7" xfId="4355" xr:uid="{00000000-0005-0000-0000-0000D4210000}"/>
    <cellStyle name="Normal 16 7 2" xfId="4356" xr:uid="{00000000-0005-0000-0000-0000D5210000}"/>
    <cellStyle name="Normal 16 7 2 2" xfId="10583" xr:uid="{00000000-0005-0000-0000-0000D6210000}"/>
    <cellStyle name="Normal 16 7 2 3" xfId="16726" xr:uid="{00000000-0005-0000-0000-0000D7210000}"/>
    <cellStyle name="Normal 16 7 3" xfId="10582" xr:uid="{00000000-0005-0000-0000-0000D8210000}"/>
    <cellStyle name="Normal 16 7 4" xfId="16725" xr:uid="{00000000-0005-0000-0000-0000D9210000}"/>
    <cellStyle name="Normal 16 8" xfId="4357" xr:uid="{00000000-0005-0000-0000-0000DA210000}"/>
    <cellStyle name="Normal 16 8 2" xfId="4358" xr:uid="{00000000-0005-0000-0000-0000DB210000}"/>
    <cellStyle name="Normal 16 8 2 2" xfId="10585" xr:uid="{00000000-0005-0000-0000-0000DC210000}"/>
    <cellStyle name="Normal 16 8 2 3" xfId="16728" xr:uid="{00000000-0005-0000-0000-0000DD210000}"/>
    <cellStyle name="Normal 16 8 3" xfId="10584" xr:uid="{00000000-0005-0000-0000-0000DE210000}"/>
    <cellStyle name="Normal 16 8 4" xfId="16727" xr:uid="{00000000-0005-0000-0000-0000DF210000}"/>
    <cellStyle name="Normal 16 9" xfId="4359" xr:uid="{00000000-0005-0000-0000-0000E0210000}"/>
    <cellStyle name="Normal 16 9 2" xfId="10586" xr:uid="{00000000-0005-0000-0000-0000E1210000}"/>
    <cellStyle name="Normal 16 9 3" xfId="16729" xr:uid="{00000000-0005-0000-0000-0000E2210000}"/>
    <cellStyle name="Normal 160" xfId="22983" xr:uid="{00000000-0005-0000-0000-0000E3210000}"/>
    <cellStyle name="Normal 161" xfId="22976" xr:uid="{00000000-0005-0000-0000-0000E4210000}"/>
    <cellStyle name="Normal 162" xfId="22984" xr:uid="{00000000-0005-0000-0000-0000E5210000}"/>
    <cellStyle name="Normal 163" xfId="22986" xr:uid="{00000000-0005-0000-0000-0000E6210000}"/>
    <cellStyle name="Normal 164" xfId="22987" xr:uid="{00000000-0005-0000-0000-0000E7210000}"/>
    <cellStyle name="Normal 165" xfId="22988" xr:uid="{00000000-0005-0000-0000-0000E8210000}"/>
    <cellStyle name="Normal 166" xfId="22989" xr:uid="{00000000-0005-0000-0000-0000E9210000}"/>
    <cellStyle name="Normal 167" xfId="22990" xr:uid="{00000000-0005-0000-0000-0000EA210000}"/>
    <cellStyle name="Normal 168" xfId="22991" xr:uid="{00000000-0005-0000-0000-0000EB210000}"/>
    <cellStyle name="Normal 169" xfId="22992" xr:uid="{00000000-0005-0000-0000-0000EC210000}"/>
    <cellStyle name="Normal 17" xfId="4360" xr:uid="{00000000-0005-0000-0000-0000ED210000}"/>
    <cellStyle name="Normal 17 2" xfId="4361" xr:uid="{00000000-0005-0000-0000-0000EE210000}"/>
    <cellStyle name="Normal 17 2 2" xfId="4362" xr:uid="{00000000-0005-0000-0000-0000EF210000}"/>
    <cellStyle name="Normal 17 2 2 2" xfId="4363" xr:uid="{00000000-0005-0000-0000-0000F0210000}"/>
    <cellStyle name="Normal 17 2 2 2 2" xfId="10590" xr:uid="{00000000-0005-0000-0000-0000F1210000}"/>
    <cellStyle name="Normal 17 2 2 2 3" xfId="16733" xr:uid="{00000000-0005-0000-0000-0000F2210000}"/>
    <cellStyle name="Normal 17 2 2 3" xfId="10589" xr:uid="{00000000-0005-0000-0000-0000F3210000}"/>
    <cellStyle name="Normal 17 2 2 4" xfId="16732" xr:uid="{00000000-0005-0000-0000-0000F4210000}"/>
    <cellStyle name="Normal 17 2 3" xfId="4364" xr:uid="{00000000-0005-0000-0000-0000F5210000}"/>
    <cellStyle name="Normal 17 2 3 2" xfId="10591" xr:uid="{00000000-0005-0000-0000-0000F6210000}"/>
    <cellStyle name="Normal 17 2 3 3" xfId="16734" xr:uid="{00000000-0005-0000-0000-0000F7210000}"/>
    <cellStyle name="Normal 17 2 4" xfId="10588" xr:uid="{00000000-0005-0000-0000-0000F8210000}"/>
    <cellStyle name="Normal 17 2 5" xfId="16731" xr:uid="{00000000-0005-0000-0000-0000F9210000}"/>
    <cellStyle name="Normal 17 3" xfId="4365" xr:uid="{00000000-0005-0000-0000-0000FA210000}"/>
    <cellStyle name="Normal 17 3 2" xfId="4366" xr:uid="{00000000-0005-0000-0000-0000FB210000}"/>
    <cellStyle name="Normal 17 3 2 2" xfId="10593" xr:uid="{00000000-0005-0000-0000-0000FC210000}"/>
    <cellStyle name="Normal 17 3 2 3" xfId="16736" xr:uid="{00000000-0005-0000-0000-0000FD210000}"/>
    <cellStyle name="Normal 17 3 3" xfId="4367" xr:uid="{00000000-0005-0000-0000-0000FE210000}"/>
    <cellStyle name="Normal 17 3 3 2" xfId="10594" xr:uid="{00000000-0005-0000-0000-0000FF210000}"/>
    <cellStyle name="Normal 17 3 3 3" xfId="16737" xr:uid="{00000000-0005-0000-0000-000000220000}"/>
    <cellStyle name="Normal 17 3 4" xfId="4368" xr:uid="{00000000-0005-0000-0000-000001220000}"/>
    <cellStyle name="Normal 17 3 4 2" xfId="16738" xr:uid="{00000000-0005-0000-0000-000002220000}"/>
    <cellStyle name="Normal 17 3 5" xfId="10592" xr:uid="{00000000-0005-0000-0000-000003220000}"/>
    <cellStyle name="Normal 17 3 6" xfId="16735" xr:uid="{00000000-0005-0000-0000-000004220000}"/>
    <cellStyle name="Normal 17 4" xfId="4369" xr:uid="{00000000-0005-0000-0000-000005220000}"/>
    <cellStyle name="Normal 17 4 2" xfId="4370" xr:uid="{00000000-0005-0000-0000-000006220000}"/>
    <cellStyle name="Normal 17 4 2 2" xfId="16740" xr:uid="{00000000-0005-0000-0000-000007220000}"/>
    <cellStyle name="Normal 17 4 3" xfId="10595" xr:uid="{00000000-0005-0000-0000-000008220000}"/>
    <cellStyle name="Normal 17 4 4" xfId="16739" xr:uid="{00000000-0005-0000-0000-000009220000}"/>
    <cellStyle name="Normal 17 5" xfId="10587" xr:uid="{00000000-0005-0000-0000-00000A220000}"/>
    <cellStyle name="Normal 17 6" xfId="16730" xr:uid="{00000000-0005-0000-0000-00000B220000}"/>
    <cellStyle name="Normal 170" xfId="22993" xr:uid="{00000000-0005-0000-0000-00000C220000}"/>
    <cellStyle name="Normal 171" xfId="22994" xr:uid="{00000000-0005-0000-0000-00000D220000}"/>
    <cellStyle name="Normal 172" xfId="22995" xr:uid="{00000000-0005-0000-0000-00000E220000}"/>
    <cellStyle name="Normal 173" xfId="22996" xr:uid="{00000000-0005-0000-0000-00000F220000}"/>
    <cellStyle name="Normal 174" xfId="22997" xr:uid="{00000000-0005-0000-0000-000010220000}"/>
    <cellStyle name="Normal 175" xfId="22998" xr:uid="{00000000-0005-0000-0000-000011220000}"/>
    <cellStyle name="Normal 176" xfId="22999" xr:uid="{00000000-0005-0000-0000-000012220000}"/>
    <cellStyle name="Normal 177" xfId="23000" xr:uid="{00000000-0005-0000-0000-000013220000}"/>
    <cellStyle name="Normal 178" xfId="23001" xr:uid="{00000000-0005-0000-0000-000014220000}"/>
    <cellStyle name="Normal 179" xfId="23004" xr:uid="{00000000-0005-0000-0000-000015220000}"/>
    <cellStyle name="Normal 18" xfId="4371" xr:uid="{00000000-0005-0000-0000-000016220000}"/>
    <cellStyle name="Normal 18 10" xfId="4372" xr:uid="{00000000-0005-0000-0000-000017220000}"/>
    <cellStyle name="Normal 18 10 2" xfId="10597" xr:uid="{00000000-0005-0000-0000-000018220000}"/>
    <cellStyle name="Normal 18 10 3" xfId="16742" xr:uid="{00000000-0005-0000-0000-000019220000}"/>
    <cellStyle name="Normal 18 11" xfId="10596" xr:uid="{00000000-0005-0000-0000-00001A220000}"/>
    <cellStyle name="Normal 18 12" xfId="16741" xr:uid="{00000000-0005-0000-0000-00001B220000}"/>
    <cellStyle name="Normal 18 2" xfId="4373" xr:uid="{00000000-0005-0000-0000-00001C220000}"/>
    <cellStyle name="Normal 18 2 2" xfId="4374" xr:uid="{00000000-0005-0000-0000-00001D220000}"/>
    <cellStyle name="Normal 18 2 2 2" xfId="4375" xr:uid="{00000000-0005-0000-0000-00001E220000}"/>
    <cellStyle name="Normal 18 2 2 2 2" xfId="4376" xr:uid="{00000000-0005-0000-0000-00001F220000}"/>
    <cellStyle name="Normal 18 2 2 2 2 2" xfId="4377" xr:uid="{00000000-0005-0000-0000-000020220000}"/>
    <cellStyle name="Normal 18 2 2 2 2 2 2" xfId="4378" xr:uid="{00000000-0005-0000-0000-000021220000}"/>
    <cellStyle name="Normal 18 2 2 2 2 2 2 2" xfId="10603" xr:uid="{00000000-0005-0000-0000-000022220000}"/>
    <cellStyle name="Normal 18 2 2 2 2 2 2 3" xfId="16748" xr:uid="{00000000-0005-0000-0000-000023220000}"/>
    <cellStyle name="Normal 18 2 2 2 2 2 3" xfId="10602" xr:uid="{00000000-0005-0000-0000-000024220000}"/>
    <cellStyle name="Normal 18 2 2 2 2 2 4" xfId="16747" xr:uid="{00000000-0005-0000-0000-000025220000}"/>
    <cellStyle name="Normal 18 2 2 2 2 3" xfId="4379" xr:uid="{00000000-0005-0000-0000-000026220000}"/>
    <cellStyle name="Normal 18 2 2 2 2 3 2" xfId="4380" xr:uid="{00000000-0005-0000-0000-000027220000}"/>
    <cellStyle name="Normal 18 2 2 2 2 3 2 2" xfId="10605" xr:uid="{00000000-0005-0000-0000-000028220000}"/>
    <cellStyle name="Normal 18 2 2 2 2 3 2 3" xfId="16750" xr:uid="{00000000-0005-0000-0000-000029220000}"/>
    <cellStyle name="Normal 18 2 2 2 2 3 3" xfId="10604" xr:uid="{00000000-0005-0000-0000-00002A220000}"/>
    <cellStyle name="Normal 18 2 2 2 2 3 4" xfId="16749" xr:uid="{00000000-0005-0000-0000-00002B220000}"/>
    <cellStyle name="Normal 18 2 2 2 2 4" xfId="4381" xr:uid="{00000000-0005-0000-0000-00002C220000}"/>
    <cellStyle name="Normal 18 2 2 2 2 4 2" xfId="10606" xr:uid="{00000000-0005-0000-0000-00002D220000}"/>
    <cellStyle name="Normal 18 2 2 2 2 4 3" xfId="16751" xr:uid="{00000000-0005-0000-0000-00002E220000}"/>
    <cellStyle name="Normal 18 2 2 2 2 5" xfId="10601" xr:uid="{00000000-0005-0000-0000-00002F220000}"/>
    <cellStyle name="Normal 18 2 2 2 2 6" xfId="16746" xr:uid="{00000000-0005-0000-0000-000030220000}"/>
    <cellStyle name="Normal 18 2 2 2 3" xfId="4382" xr:uid="{00000000-0005-0000-0000-000031220000}"/>
    <cellStyle name="Normal 18 2 2 2 3 2" xfId="4383" xr:uid="{00000000-0005-0000-0000-000032220000}"/>
    <cellStyle name="Normal 18 2 2 2 3 2 2" xfId="10608" xr:uid="{00000000-0005-0000-0000-000033220000}"/>
    <cellStyle name="Normal 18 2 2 2 3 2 3" xfId="16753" xr:uid="{00000000-0005-0000-0000-000034220000}"/>
    <cellStyle name="Normal 18 2 2 2 3 3" xfId="10607" xr:uid="{00000000-0005-0000-0000-000035220000}"/>
    <cellStyle name="Normal 18 2 2 2 3 4" xfId="16752" xr:uid="{00000000-0005-0000-0000-000036220000}"/>
    <cellStyle name="Normal 18 2 2 2 4" xfId="4384" xr:uid="{00000000-0005-0000-0000-000037220000}"/>
    <cellStyle name="Normal 18 2 2 2 4 2" xfId="4385" xr:uid="{00000000-0005-0000-0000-000038220000}"/>
    <cellStyle name="Normal 18 2 2 2 4 2 2" xfId="10610" xr:uid="{00000000-0005-0000-0000-000039220000}"/>
    <cellStyle name="Normal 18 2 2 2 4 2 3" xfId="16755" xr:uid="{00000000-0005-0000-0000-00003A220000}"/>
    <cellStyle name="Normal 18 2 2 2 4 3" xfId="10609" xr:uid="{00000000-0005-0000-0000-00003B220000}"/>
    <cellStyle name="Normal 18 2 2 2 4 4" xfId="16754" xr:uid="{00000000-0005-0000-0000-00003C220000}"/>
    <cellStyle name="Normal 18 2 2 2 5" xfId="4386" xr:uid="{00000000-0005-0000-0000-00003D220000}"/>
    <cellStyle name="Normal 18 2 2 2 5 2" xfId="10611" xr:uid="{00000000-0005-0000-0000-00003E220000}"/>
    <cellStyle name="Normal 18 2 2 2 5 3" xfId="16756" xr:uid="{00000000-0005-0000-0000-00003F220000}"/>
    <cellStyle name="Normal 18 2 2 2 6" xfId="10600" xr:uid="{00000000-0005-0000-0000-000040220000}"/>
    <cellStyle name="Normal 18 2 2 2 7" xfId="16745" xr:uid="{00000000-0005-0000-0000-000041220000}"/>
    <cellStyle name="Normal 18 2 2 3" xfId="4387" xr:uid="{00000000-0005-0000-0000-000042220000}"/>
    <cellStyle name="Normal 18 2 2 3 2" xfId="4388" xr:uid="{00000000-0005-0000-0000-000043220000}"/>
    <cellStyle name="Normal 18 2 2 3 2 2" xfId="4389" xr:uid="{00000000-0005-0000-0000-000044220000}"/>
    <cellStyle name="Normal 18 2 2 3 2 2 2" xfId="10614" xr:uid="{00000000-0005-0000-0000-000045220000}"/>
    <cellStyle name="Normal 18 2 2 3 2 2 3" xfId="16759" xr:uid="{00000000-0005-0000-0000-000046220000}"/>
    <cellStyle name="Normal 18 2 2 3 2 3" xfId="10613" xr:uid="{00000000-0005-0000-0000-000047220000}"/>
    <cellStyle name="Normal 18 2 2 3 2 4" xfId="16758" xr:uid="{00000000-0005-0000-0000-000048220000}"/>
    <cellStyle name="Normal 18 2 2 3 3" xfId="4390" xr:uid="{00000000-0005-0000-0000-000049220000}"/>
    <cellStyle name="Normal 18 2 2 3 3 2" xfId="4391" xr:uid="{00000000-0005-0000-0000-00004A220000}"/>
    <cellStyle name="Normal 18 2 2 3 3 2 2" xfId="10616" xr:uid="{00000000-0005-0000-0000-00004B220000}"/>
    <cellStyle name="Normal 18 2 2 3 3 2 3" xfId="16761" xr:uid="{00000000-0005-0000-0000-00004C220000}"/>
    <cellStyle name="Normal 18 2 2 3 3 3" xfId="10615" xr:uid="{00000000-0005-0000-0000-00004D220000}"/>
    <cellStyle name="Normal 18 2 2 3 3 4" xfId="16760" xr:uid="{00000000-0005-0000-0000-00004E220000}"/>
    <cellStyle name="Normal 18 2 2 3 4" xfId="4392" xr:uid="{00000000-0005-0000-0000-00004F220000}"/>
    <cellStyle name="Normal 18 2 2 3 4 2" xfId="10617" xr:uid="{00000000-0005-0000-0000-000050220000}"/>
    <cellStyle name="Normal 18 2 2 3 4 3" xfId="16762" xr:uid="{00000000-0005-0000-0000-000051220000}"/>
    <cellStyle name="Normal 18 2 2 3 5" xfId="10612" xr:uid="{00000000-0005-0000-0000-000052220000}"/>
    <cellStyle name="Normal 18 2 2 3 6" xfId="16757" xr:uid="{00000000-0005-0000-0000-000053220000}"/>
    <cellStyle name="Normal 18 2 2 4" xfId="4393" xr:uid="{00000000-0005-0000-0000-000054220000}"/>
    <cellStyle name="Normal 18 2 2 4 2" xfId="4394" xr:uid="{00000000-0005-0000-0000-000055220000}"/>
    <cellStyle name="Normal 18 2 2 4 2 2" xfId="10619" xr:uid="{00000000-0005-0000-0000-000056220000}"/>
    <cellStyle name="Normal 18 2 2 4 2 3" xfId="16764" xr:uid="{00000000-0005-0000-0000-000057220000}"/>
    <cellStyle name="Normal 18 2 2 4 3" xfId="10618" xr:uid="{00000000-0005-0000-0000-000058220000}"/>
    <cellStyle name="Normal 18 2 2 4 4" xfId="16763" xr:uid="{00000000-0005-0000-0000-000059220000}"/>
    <cellStyle name="Normal 18 2 2 5" xfId="4395" xr:uid="{00000000-0005-0000-0000-00005A220000}"/>
    <cellStyle name="Normal 18 2 2 5 2" xfId="4396" xr:uid="{00000000-0005-0000-0000-00005B220000}"/>
    <cellStyle name="Normal 18 2 2 5 2 2" xfId="10621" xr:uid="{00000000-0005-0000-0000-00005C220000}"/>
    <cellStyle name="Normal 18 2 2 5 2 3" xfId="16766" xr:uid="{00000000-0005-0000-0000-00005D220000}"/>
    <cellStyle name="Normal 18 2 2 5 3" xfId="10620" xr:uid="{00000000-0005-0000-0000-00005E220000}"/>
    <cellStyle name="Normal 18 2 2 5 4" xfId="16765" xr:uid="{00000000-0005-0000-0000-00005F220000}"/>
    <cellStyle name="Normal 18 2 2 6" xfId="4397" xr:uid="{00000000-0005-0000-0000-000060220000}"/>
    <cellStyle name="Normal 18 2 2 6 2" xfId="10622" xr:uid="{00000000-0005-0000-0000-000061220000}"/>
    <cellStyle name="Normal 18 2 2 6 3" xfId="16767" xr:uid="{00000000-0005-0000-0000-000062220000}"/>
    <cellStyle name="Normal 18 2 2 7" xfId="10599" xr:uid="{00000000-0005-0000-0000-000063220000}"/>
    <cellStyle name="Normal 18 2 2 8" xfId="16744" xr:uid="{00000000-0005-0000-0000-000064220000}"/>
    <cellStyle name="Normal 18 2 3" xfId="4398" xr:uid="{00000000-0005-0000-0000-000065220000}"/>
    <cellStyle name="Normal 18 2 3 2" xfId="4399" xr:uid="{00000000-0005-0000-0000-000066220000}"/>
    <cellStyle name="Normal 18 2 3 2 2" xfId="4400" xr:uid="{00000000-0005-0000-0000-000067220000}"/>
    <cellStyle name="Normal 18 2 3 2 2 2" xfId="4401" xr:uid="{00000000-0005-0000-0000-000068220000}"/>
    <cellStyle name="Normal 18 2 3 2 2 2 2" xfId="10626" xr:uid="{00000000-0005-0000-0000-000069220000}"/>
    <cellStyle name="Normal 18 2 3 2 2 2 3" xfId="16771" xr:uid="{00000000-0005-0000-0000-00006A220000}"/>
    <cellStyle name="Normal 18 2 3 2 2 3" xfId="10625" xr:uid="{00000000-0005-0000-0000-00006B220000}"/>
    <cellStyle name="Normal 18 2 3 2 2 4" xfId="16770" xr:uid="{00000000-0005-0000-0000-00006C220000}"/>
    <cellStyle name="Normal 18 2 3 2 3" xfId="4402" xr:uid="{00000000-0005-0000-0000-00006D220000}"/>
    <cellStyle name="Normal 18 2 3 2 3 2" xfId="4403" xr:uid="{00000000-0005-0000-0000-00006E220000}"/>
    <cellStyle name="Normal 18 2 3 2 3 2 2" xfId="10628" xr:uid="{00000000-0005-0000-0000-00006F220000}"/>
    <cellStyle name="Normal 18 2 3 2 3 2 3" xfId="16773" xr:uid="{00000000-0005-0000-0000-000070220000}"/>
    <cellStyle name="Normal 18 2 3 2 3 3" xfId="10627" xr:uid="{00000000-0005-0000-0000-000071220000}"/>
    <cellStyle name="Normal 18 2 3 2 3 4" xfId="16772" xr:uid="{00000000-0005-0000-0000-000072220000}"/>
    <cellStyle name="Normal 18 2 3 2 4" xfId="4404" xr:uid="{00000000-0005-0000-0000-000073220000}"/>
    <cellStyle name="Normal 18 2 3 2 4 2" xfId="10629" xr:uid="{00000000-0005-0000-0000-000074220000}"/>
    <cellStyle name="Normal 18 2 3 2 4 3" xfId="16774" xr:uid="{00000000-0005-0000-0000-000075220000}"/>
    <cellStyle name="Normal 18 2 3 2 5" xfId="10624" xr:uid="{00000000-0005-0000-0000-000076220000}"/>
    <cellStyle name="Normal 18 2 3 2 6" xfId="16769" xr:uid="{00000000-0005-0000-0000-000077220000}"/>
    <cellStyle name="Normal 18 2 3 3" xfId="4405" xr:uid="{00000000-0005-0000-0000-000078220000}"/>
    <cellStyle name="Normal 18 2 3 3 2" xfId="4406" xr:uid="{00000000-0005-0000-0000-000079220000}"/>
    <cellStyle name="Normal 18 2 3 3 2 2" xfId="10631" xr:uid="{00000000-0005-0000-0000-00007A220000}"/>
    <cellStyle name="Normal 18 2 3 3 2 3" xfId="16776" xr:uid="{00000000-0005-0000-0000-00007B220000}"/>
    <cellStyle name="Normal 18 2 3 3 3" xfId="10630" xr:uid="{00000000-0005-0000-0000-00007C220000}"/>
    <cellStyle name="Normal 18 2 3 3 4" xfId="16775" xr:uid="{00000000-0005-0000-0000-00007D220000}"/>
    <cellStyle name="Normal 18 2 3 4" xfId="4407" xr:uid="{00000000-0005-0000-0000-00007E220000}"/>
    <cellStyle name="Normal 18 2 3 4 2" xfId="4408" xr:uid="{00000000-0005-0000-0000-00007F220000}"/>
    <cellStyle name="Normal 18 2 3 4 2 2" xfId="10633" xr:uid="{00000000-0005-0000-0000-000080220000}"/>
    <cellStyle name="Normal 18 2 3 4 2 3" xfId="16778" xr:uid="{00000000-0005-0000-0000-000081220000}"/>
    <cellStyle name="Normal 18 2 3 4 3" xfId="10632" xr:uid="{00000000-0005-0000-0000-000082220000}"/>
    <cellStyle name="Normal 18 2 3 4 4" xfId="16777" xr:uid="{00000000-0005-0000-0000-000083220000}"/>
    <cellStyle name="Normal 18 2 3 5" xfId="4409" xr:uid="{00000000-0005-0000-0000-000084220000}"/>
    <cellStyle name="Normal 18 2 3 5 2" xfId="10634" xr:uid="{00000000-0005-0000-0000-000085220000}"/>
    <cellStyle name="Normal 18 2 3 5 3" xfId="16779" xr:uid="{00000000-0005-0000-0000-000086220000}"/>
    <cellStyle name="Normal 18 2 3 6" xfId="10623" xr:uid="{00000000-0005-0000-0000-000087220000}"/>
    <cellStyle name="Normal 18 2 3 7" xfId="16768" xr:uid="{00000000-0005-0000-0000-000088220000}"/>
    <cellStyle name="Normal 18 2 4" xfId="4410" xr:uid="{00000000-0005-0000-0000-000089220000}"/>
    <cellStyle name="Normal 18 2 4 2" xfId="4411" xr:uid="{00000000-0005-0000-0000-00008A220000}"/>
    <cellStyle name="Normal 18 2 4 2 2" xfId="4412" xr:uid="{00000000-0005-0000-0000-00008B220000}"/>
    <cellStyle name="Normal 18 2 4 2 2 2" xfId="10637" xr:uid="{00000000-0005-0000-0000-00008C220000}"/>
    <cellStyle name="Normal 18 2 4 2 2 3" xfId="16782" xr:uid="{00000000-0005-0000-0000-00008D220000}"/>
    <cellStyle name="Normal 18 2 4 2 3" xfId="10636" xr:uid="{00000000-0005-0000-0000-00008E220000}"/>
    <cellStyle name="Normal 18 2 4 2 4" xfId="16781" xr:uid="{00000000-0005-0000-0000-00008F220000}"/>
    <cellStyle name="Normal 18 2 4 3" xfId="4413" xr:uid="{00000000-0005-0000-0000-000090220000}"/>
    <cellStyle name="Normal 18 2 4 3 2" xfId="4414" xr:uid="{00000000-0005-0000-0000-000091220000}"/>
    <cellStyle name="Normal 18 2 4 3 2 2" xfId="10639" xr:uid="{00000000-0005-0000-0000-000092220000}"/>
    <cellStyle name="Normal 18 2 4 3 2 3" xfId="16784" xr:uid="{00000000-0005-0000-0000-000093220000}"/>
    <cellStyle name="Normal 18 2 4 3 3" xfId="10638" xr:uid="{00000000-0005-0000-0000-000094220000}"/>
    <cellStyle name="Normal 18 2 4 3 4" xfId="16783" xr:uid="{00000000-0005-0000-0000-000095220000}"/>
    <cellStyle name="Normal 18 2 4 4" xfId="4415" xr:uid="{00000000-0005-0000-0000-000096220000}"/>
    <cellStyle name="Normal 18 2 4 4 2" xfId="10640" xr:uid="{00000000-0005-0000-0000-000097220000}"/>
    <cellStyle name="Normal 18 2 4 4 3" xfId="16785" xr:uid="{00000000-0005-0000-0000-000098220000}"/>
    <cellStyle name="Normal 18 2 4 5" xfId="10635" xr:uid="{00000000-0005-0000-0000-000099220000}"/>
    <cellStyle name="Normal 18 2 4 6" xfId="16780" xr:uid="{00000000-0005-0000-0000-00009A220000}"/>
    <cellStyle name="Normal 18 2 5" xfId="4416" xr:uid="{00000000-0005-0000-0000-00009B220000}"/>
    <cellStyle name="Normal 18 2 5 2" xfId="4417" xr:uid="{00000000-0005-0000-0000-00009C220000}"/>
    <cellStyle name="Normal 18 2 5 2 2" xfId="10642" xr:uid="{00000000-0005-0000-0000-00009D220000}"/>
    <cellStyle name="Normal 18 2 5 2 3" xfId="16787" xr:uid="{00000000-0005-0000-0000-00009E220000}"/>
    <cellStyle name="Normal 18 2 5 3" xfId="10641" xr:uid="{00000000-0005-0000-0000-00009F220000}"/>
    <cellStyle name="Normal 18 2 5 4" xfId="16786" xr:uid="{00000000-0005-0000-0000-0000A0220000}"/>
    <cellStyle name="Normal 18 2 6" xfId="4418" xr:uid="{00000000-0005-0000-0000-0000A1220000}"/>
    <cellStyle name="Normal 18 2 6 2" xfId="4419" xr:uid="{00000000-0005-0000-0000-0000A2220000}"/>
    <cellStyle name="Normal 18 2 6 2 2" xfId="10644" xr:uid="{00000000-0005-0000-0000-0000A3220000}"/>
    <cellStyle name="Normal 18 2 6 2 3" xfId="16789" xr:uid="{00000000-0005-0000-0000-0000A4220000}"/>
    <cellStyle name="Normal 18 2 6 3" xfId="10643" xr:uid="{00000000-0005-0000-0000-0000A5220000}"/>
    <cellStyle name="Normal 18 2 6 4" xfId="16788" xr:uid="{00000000-0005-0000-0000-0000A6220000}"/>
    <cellStyle name="Normal 18 2 7" xfId="4420" xr:uid="{00000000-0005-0000-0000-0000A7220000}"/>
    <cellStyle name="Normal 18 2 7 2" xfId="10645" xr:uid="{00000000-0005-0000-0000-0000A8220000}"/>
    <cellStyle name="Normal 18 2 7 3" xfId="16790" xr:uid="{00000000-0005-0000-0000-0000A9220000}"/>
    <cellStyle name="Normal 18 2 8" xfId="10598" xr:uid="{00000000-0005-0000-0000-0000AA220000}"/>
    <cellStyle name="Normal 18 2 9" xfId="16743" xr:uid="{00000000-0005-0000-0000-0000AB220000}"/>
    <cellStyle name="Normal 18 3" xfId="4421" xr:uid="{00000000-0005-0000-0000-0000AC220000}"/>
    <cellStyle name="Normal 18 3 10" xfId="10646" xr:uid="{00000000-0005-0000-0000-0000AD220000}"/>
    <cellStyle name="Normal 18 3 11" xfId="16791" xr:uid="{00000000-0005-0000-0000-0000AE220000}"/>
    <cellStyle name="Normal 18 3 2" xfId="4422" xr:uid="{00000000-0005-0000-0000-0000AF220000}"/>
    <cellStyle name="Normal 18 3 2 2" xfId="4423" xr:uid="{00000000-0005-0000-0000-0000B0220000}"/>
    <cellStyle name="Normal 18 3 2 2 2" xfId="4424" xr:uid="{00000000-0005-0000-0000-0000B1220000}"/>
    <cellStyle name="Normal 18 3 2 2 2 2" xfId="4425" xr:uid="{00000000-0005-0000-0000-0000B2220000}"/>
    <cellStyle name="Normal 18 3 2 2 2 2 2" xfId="4426" xr:uid="{00000000-0005-0000-0000-0000B3220000}"/>
    <cellStyle name="Normal 18 3 2 2 2 2 2 2" xfId="10651" xr:uid="{00000000-0005-0000-0000-0000B4220000}"/>
    <cellStyle name="Normal 18 3 2 2 2 2 2 3" xfId="16796" xr:uid="{00000000-0005-0000-0000-0000B5220000}"/>
    <cellStyle name="Normal 18 3 2 2 2 2 3" xfId="10650" xr:uid="{00000000-0005-0000-0000-0000B6220000}"/>
    <cellStyle name="Normal 18 3 2 2 2 2 4" xfId="16795" xr:uid="{00000000-0005-0000-0000-0000B7220000}"/>
    <cellStyle name="Normal 18 3 2 2 2 3" xfId="4427" xr:uid="{00000000-0005-0000-0000-0000B8220000}"/>
    <cellStyle name="Normal 18 3 2 2 2 3 2" xfId="4428" xr:uid="{00000000-0005-0000-0000-0000B9220000}"/>
    <cellStyle name="Normal 18 3 2 2 2 3 2 2" xfId="10653" xr:uid="{00000000-0005-0000-0000-0000BA220000}"/>
    <cellStyle name="Normal 18 3 2 2 2 3 2 3" xfId="16798" xr:uid="{00000000-0005-0000-0000-0000BB220000}"/>
    <cellStyle name="Normal 18 3 2 2 2 3 3" xfId="10652" xr:uid="{00000000-0005-0000-0000-0000BC220000}"/>
    <cellStyle name="Normal 18 3 2 2 2 3 4" xfId="16797" xr:uid="{00000000-0005-0000-0000-0000BD220000}"/>
    <cellStyle name="Normal 18 3 2 2 2 4" xfId="4429" xr:uid="{00000000-0005-0000-0000-0000BE220000}"/>
    <cellStyle name="Normal 18 3 2 2 2 4 2" xfId="10654" xr:uid="{00000000-0005-0000-0000-0000BF220000}"/>
    <cellStyle name="Normal 18 3 2 2 2 4 3" xfId="16799" xr:uid="{00000000-0005-0000-0000-0000C0220000}"/>
    <cellStyle name="Normal 18 3 2 2 2 5" xfId="10649" xr:uid="{00000000-0005-0000-0000-0000C1220000}"/>
    <cellStyle name="Normal 18 3 2 2 2 6" xfId="16794" xr:uid="{00000000-0005-0000-0000-0000C2220000}"/>
    <cellStyle name="Normal 18 3 2 2 3" xfId="4430" xr:uid="{00000000-0005-0000-0000-0000C3220000}"/>
    <cellStyle name="Normal 18 3 2 2 3 2" xfId="4431" xr:uid="{00000000-0005-0000-0000-0000C4220000}"/>
    <cellStyle name="Normal 18 3 2 2 3 2 2" xfId="10656" xr:uid="{00000000-0005-0000-0000-0000C5220000}"/>
    <cellStyle name="Normal 18 3 2 2 3 2 3" xfId="16801" xr:uid="{00000000-0005-0000-0000-0000C6220000}"/>
    <cellStyle name="Normal 18 3 2 2 3 3" xfId="10655" xr:uid="{00000000-0005-0000-0000-0000C7220000}"/>
    <cellStyle name="Normal 18 3 2 2 3 4" xfId="16800" xr:uid="{00000000-0005-0000-0000-0000C8220000}"/>
    <cellStyle name="Normal 18 3 2 2 4" xfId="4432" xr:uid="{00000000-0005-0000-0000-0000C9220000}"/>
    <cellStyle name="Normal 18 3 2 2 4 2" xfId="4433" xr:uid="{00000000-0005-0000-0000-0000CA220000}"/>
    <cellStyle name="Normal 18 3 2 2 4 2 2" xfId="10658" xr:uid="{00000000-0005-0000-0000-0000CB220000}"/>
    <cellStyle name="Normal 18 3 2 2 4 2 3" xfId="16803" xr:uid="{00000000-0005-0000-0000-0000CC220000}"/>
    <cellStyle name="Normal 18 3 2 2 4 3" xfId="10657" xr:uid="{00000000-0005-0000-0000-0000CD220000}"/>
    <cellStyle name="Normal 18 3 2 2 4 4" xfId="16802" xr:uid="{00000000-0005-0000-0000-0000CE220000}"/>
    <cellStyle name="Normal 18 3 2 2 5" xfId="4434" xr:uid="{00000000-0005-0000-0000-0000CF220000}"/>
    <cellStyle name="Normal 18 3 2 2 5 2" xfId="10659" xr:uid="{00000000-0005-0000-0000-0000D0220000}"/>
    <cellStyle name="Normal 18 3 2 2 5 3" xfId="16804" xr:uid="{00000000-0005-0000-0000-0000D1220000}"/>
    <cellStyle name="Normal 18 3 2 2 6" xfId="10648" xr:uid="{00000000-0005-0000-0000-0000D2220000}"/>
    <cellStyle name="Normal 18 3 2 2 7" xfId="16793" xr:uid="{00000000-0005-0000-0000-0000D3220000}"/>
    <cellStyle name="Normal 18 3 2 3" xfId="4435" xr:uid="{00000000-0005-0000-0000-0000D4220000}"/>
    <cellStyle name="Normal 18 3 2 3 2" xfId="4436" xr:uid="{00000000-0005-0000-0000-0000D5220000}"/>
    <cellStyle name="Normal 18 3 2 3 2 2" xfId="4437" xr:uid="{00000000-0005-0000-0000-0000D6220000}"/>
    <cellStyle name="Normal 18 3 2 3 2 2 2" xfId="10662" xr:uid="{00000000-0005-0000-0000-0000D7220000}"/>
    <cellStyle name="Normal 18 3 2 3 2 2 3" xfId="16807" xr:uid="{00000000-0005-0000-0000-0000D8220000}"/>
    <cellStyle name="Normal 18 3 2 3 2 3" xfId="10661" xr:uid="{00000000-0005-0000-0000-0000D9220000}"/>
    <cellStyle name="Normal 18 3 2 3 2 4" xfId="16806" xr:uid="{00000000-0005-0000-0000-0000DA220000}"/>
    <cellStyle name="Normal 18 3 2 3 3" xfId="4438" xr:uid="{00000000-0005-0000-0000-0000DB220000}"/>
    <cellStyle name="Normal 18 3 2 3 3 2" xfId="4439" xr:uid="{00000000-0005-0000-0000-0000DC220000}"/>
    <cellStyle name="Normal 18 3 2 3 3 2 2" xfId="10664" xr:uid="{00000000-0005-0000-0000-0000DD220000}"/>
    <cellStyle name="Normal 18 3 2 3 3 2 3" xfId="16809" xr:uid="{00000000-0005-0000-0000-0000DE220000}"/>
    <cellStyle name="Normal 18 3 2 3 3 3" xfId="10663" xr:uid="{00000000-0005-0000-0000-0000DF220000}"/>
    <cellStyle name="Normal 18 3 2 3 3 4" xfId="16808" xr:uid="{00000000-0005-0000-0000-0000E0220000}"/>
    <cellStyle name="Normal 18 3 2 3 4" xfId="4440" xr:uid="{00000000-0005-0000-0000-0000E1220000}"/>
    <cellStyle name="Normal 18 3 2 3 4 2" xfId="10665" xr:uid="{00000000-0005-0000-0000-0000E2220000}"/>
    <cellStyle name="Normal 18 3 2 3 4 3" xfId="16810" xr:uid="{00000000-0005-0000-0000-0000E3220000}"/>
    <cellStyle name="Normal 18 3 2 3 5" xfId="10660" xr:uid="{00000000-0005-0000-0000-0000E4220000}"/>
    <cellStyle name="Normal 18 3 2 3 6" xfId="16805" xr:uid="{00000000-0005-0000-0000-0000E5220000}"/>
    <cellStyle name="Normal 18 3 2 4" xfId="4441" xr:uid="{00000000-0005-0000-0000-0000E6220000}"/>
    <cellStyle name="Normal 18 3 2 4 2" xfId="4442" xr:uid="{00000000-0005-0000-0000-0000E7220000}"/>
    <cellStyle name="Normal 18 3 2 4 2 2" xfId="10667" xr:uid="{00000000-0005-0000-0000-0000E8220000}"/>
    <cellStyle name="Normal 18 3 2 4 2 3" xfId="16812" xr:uid="{00000000-0005-0000-0000-0000E9220000}"/>
    <cellStyle name="Normal 18 3 2 4 3" xfId="10666" xr:uid="{00000000-0005-0000-0000-0000EA220000}"/>
    <cellStyle name="Normal 18 3 2 4 4" xfId="16811" xr:uid="{00000000-0005-0000-0000-0000EB220000}"/>
    <cellStyle name="Normal 18 3 2 5" xfId="4443" xr:uid="{00000000-0005-0000-0000-0000EC220000}"/>
    <cellStyle name="Normal 18 3 2 5 2" xfId="4444" xr:uid="{00000000-0005-0000-0000-0000ED220000}"/>
    <cellStyle name="Normal 18 3 2 5 2 2" xfId="10669" xr:uid="{00000000-0005-0000-0000-0000EE220000}"/>
    <cellStyle name="Normal 18 3 2 5 2 3" xfId="16814" xr:uid="{00000000-0005-0000-0000-0000EF220000}"/>
    <cellStyle name="Normal 18 3 2 5 3" xfId="10668" xr:uid="{00000000-0005-0000-0000-0000F0220000}"/>
    <cellStyle name="Normal 18 3 2 5 4" xfId="16813" xr:uid="{00000000-0005-0000-0000-0000F1220000}"/>
    <cellStyle name="Normal 18 3 2 6" xfId="4445" xr:uid="{00000000-0005-0000-0000-0000F2220000}"/>
    <cellStyle name="Normal 18 3 2 6 2" xfId="10670" xr:uid="{00000000-0005-0000-0000-0000F3220000}"/>
    <cellStyle name="Normal 18 3 2 6 3" xfId="16815" xr:uid="{00000000-0005-0000-0000-0000F4220000}"/>
    <cellStyle name="Normal 18 3 2 7" xfId="10647" xr:uid="{00000000-0005-0000-0000-0000F5220000}"/>
    <cellStyle name="Normal 18 3 2 8" xfId="16792" xr:uid="{00000000-0005-0000-0000-0000F6220000}"/>
    <cellStyle name="Normal 18 3 3" xfId="4446" xr:uid="{00000000-0005-0000-0000-0000F7220000}"/>
    <cellStyle name="Normal 18 3 3 2" xfId="4447" xr:uid="{00000000-0005-0000-0000-0000F8220000}"/>
    <cellStyle name="Normal 18 3 3 2 2" xfId="4448" xr:uid="{00000000-0005-0000-0000-0000F9220000}"/>
    <cellStyle name="Normal 18 3 3 2 2 2" xfId="4449" xr:uid="{00000000-0005-0000-0000-0000FA220000}"/>
    <cellStyle name="Normal 18 3 3 2 2 2 2" xfId="10674" xr:uid="{00000000-0005-0000-0000-0000FB220000}"/>
    <cellStyle name="Normal 18 3 3 2 2 2 3" xfId="16819" xr:uid="{00000000-0005-0000-0000-0000FC220000}"/>
    <cellStyle name="Normal 18 3 3 2 2 3" xfId="10673" xr:uid="{00000000-0005-0000-0000-0000FD220000}"/>
    <cellStyle name="Normal 18 3 3 2 2 4" xfId="16818" xr:uid="{00000000-0005-0000-0000-0000FE220000}"/>
    <cellStyle name="Normal 18 3 3 2 3" xfId="4450" xr:uid="{00000000-0005-0000-0000-0000FF220000}"/>
    <cellStyle name="Normal 18 3 3 2 3 2" xfId="4451" xr:uid="{00000000-0005-0000-0000-000000230000}"/>
    <cellStyle name="Normal 18 3 3 2 3 2 2" xfId="10676" xr:uid="{00000000-0005-0000-0000-000001230000}"/>
    <cellStyle name="Normal 18 3 3 2 3 2 3" xfId="16821" xr:uid="{00000000-0005-0000-0000-000002230000}"/>
    <cellStyle name="Normal 18 3 3 2 3 3" xfId="10675" xr:uid="{00000000-0005-0000-0000-000003230000}"/>
    <cellStyle name="Normal 18 3 3 2 3 4" xfId="16820" xr:uid="{00000000-0005-0000-0000-000004230000}"/>
    <cellStyle name="Normal 18 3 3 2 4" xfId="4452" xr:uid="{00000000-0005-0000-0000-000005230000}"/>
    <cellStyle name="Normal 18 3 3 2 4 2" xfId="10677" xr:uid="{00000000-0005-0000-0000-000006230000}"/>
    <cellStyle name="Normal 18 3 3 2 4 3" xfId="16822" xr:uid="{00000000-0005-0000-0000-000007230000}"/>
    <cellStyle name="Normal 18 3 3 2 5" xfId="10672" xr:uid="{00000000-0005-0000-0000-000008230000}"/>
    <cellStyle name="Normal 18 3 3 2 6" xfId="16817" xr:uid="{00000000-0005-0000-0000-000009230000}"/>
    <cellStyle name="Normal 18 3 3 3" xfId="4453" xr:uid="{00000000-0005-0000-0000-00000A230000}"/>
    <cellStyle name="Normal 18 3 3 3 2" xfId="4454" xr:uid="{00000000-0005-0000-0000-00000B230000}"/>
    <cellStyle name="Normal 18 3 3 3 2 2" xfId="10679" xr:uid="{00000000-0005-0000-0000-00000C230000}"/>
    <cellStyle name="Normal 18 3 3 3 2 3" xfId="16824" xr:uid="{00000000-0005-0000-0000-00000D230000}"/>
    <cellStyle name="Normal 18 3 3 3 3" xfId="10678" xr:uid="{00000000-0005-0000-0000-00000E230000}"/>
    <cellStyle name="Normal 18 3 3 3 4" xfId="16823" xr:uid="{00000000-0005-0000-0000-00000F230000}"/>
    <cellStyle name="Normal 18 3 3 4" xfId="4455" xr:uid="{00000000-0005-0000-0000-000010230000}"/>
    <cellStyle name="Normal 18 3 3 4 2" xfId="4456" xr:uid="{00000000-0005-0000-0000-000011230000}"/>
    <cellStyle name="Normal 18 3 3 4 2 2" xfId="10681" xr:uid="{00000000-0005-0000-0000-000012230000}"/>
    <cellStyle name="Normal 18 3 3 4 2 3" xfId="16826" xr:uid="{00000000-0005-0000-0000-000013230000}"/>
    <cellStyle name="Normal 18 3 3 4 3" xfId="10680" xr:uid="{00000000-0005-0000-0000-000014230000}"/>
    <cellStyle name="Normal 18 3 3 4 4" xfId="16825" xr:uid="{00000000-0005-0000-0000-000015230000}"/>
    <cellStyle name="Normal 18 3 3 5" xfId="4457" xr:uid="{00000000-0005-0000-0000-000016230000}"/>
    <cellStyle name="Normal 18 3 3 5 2" xfId="10682" xr:uid="{00000000-0005-0000-0000-000017230000}"/>
    <cellStyle name="Normal 18 3 3 5 3" xfId="16827" xr:uid="{00000000-0005-0000-0000-000018230000}"/>
    <cellStyle name="Normal 18 3 3 6" xfId="10671" xr:uid="{00000000-0005-0000-0000-000019230000}"/>
    <cellStyle name="Normal 18 3 3 7" xfId="16816" xr:uid="{00000000-0005-0000-0000-00001A230000}"/>
    <cellStyle name="Normal 18 3 4" xfId="4458" xr:uid="{00000000-0005-0000-0000-00001B230000}"/>
    <cellStyle name="Normal 18 3 4 2" xfId="4459" xr:uid="{00000000-0005-0000-0000-00001C230000}"/>
    <cellStyle name="Normal 18 3 4 2 2" xfId="4460" xr:uid="{00000000-0005-0000-0000-00001D230000}"/>
    <cellStyle name="Normal 18 3 4 2 2 2" xfId="10685" xr:uid="{00000000-0005-0000-0000-00001E230000}"/>
    <cellStyle name="Normal 18 3 4 2 2 3" xfId="16830" xr:uid="{00000000-0005-0000-0000-00001F230000}"/>
    <cellStyle name="Normal 18 3 4 2 3" xfId="10684" xr:uid="{00000000-0005-0000-0000-000020230000}"/>
    <cellStyle name="Normal 18 3 4 2 4" xfId="16829" xr:uid="{00000000-0005-0000-0000-000021230000}"/>
    <cellStyle name="Normal 18 3 4 3" xfId="4461" xr:uid="{00000000-0005-0000-0000-000022230000}"/>
    <cellStyle name="Normal 18 3 4 3 2" xfId="4462" xr:uid="{00000000-0005-0000-0000-000023230000}"/>
    <cellStyle name="Normal 18 3 4 3 2 2" xfId="10687" xr:uid="{00000000-0005-0000-0000-000024230000}"/>
    <cellStyle name="Normal 18 3 4 3 2 3" xfId="16832" xr:uid="{00000000-0005-0000-0000-000025230000}"/>
    <cellStyle name="Normal 18 3 4 3 3" xfId="10686" xr:uid="{00000000-0005-0000-0000-000026230000}"/>
    <cellStyle name="Normal 18 3 4 3 4" xfId="16831" xr:uid="{00000000-0005-0000-0000-000027230000}"/>
    <cellStyle name="Normal 18 3 4 4" xfId="4463" xr:uid="{00000000-0005-0000-0000-000028230000}"/>
    <cellStyle name="Normal 18 3 4 4 2" xfId="10688" xr:uid="{00000000-0005-0000-0000-000029230000}"/>
    <cellStyle name="Normal 18 3 4 4 3" xfId="16833" xr:uid="{00000000-0005-0000-0000-00002A230000}"/>
    <cellStyle name="Normal 18 3 4 5" xfId="10683" xr:uid="{00000000-0005-0000-0000-00002B230000}"/>
    <cellStyle name="Normal 18 3 4 6" xfId="16828" xr:uid="{00000000-0005-0000-0000-00002C230000}"/>
    <cellStyle name="Normal 18 3 5" xfId="4464" xr:uid="{00000000-0005-0000-0000-00002D230000}"/>
    <cellStyle name="Normal 18 3 5 2" xfId="4465" xr:uid="{00000000-0005-0000-0000-00002E230000}"/>
    <cellStyle name="Normal 18 3 5 2 2" xfId="10690" xr:uid="{00000000-0005-0000-0000-00002F230000}"/>
    <cellStyle name="Normal 18 3 5 2 3" xfId="16835" xr:uid="{00000000-0005-0000-0000-000030230000}"/>
    <cellStyle name="Normal 18 3 5 3" xfId="10689" xr:uid="{00000000-0005-0000-0000-000031230000}"/>
    <cellStyle name="Normal 18 3 5 4" xfId="16834" xr:uid="{00000000-0005-0000-0000-000032230000}"/>
    <cellStyle name="Normal 18 3 6" xfId="4466" xr:uid="{00000000-0005-0000-0000-000033230000}"/>
    <cellStyle name="Normal 18 3 6 2" xfId="4467" xr:uid="{00000000-0005-0000-0000-000034230000}"/>
    <cellStyle name="Normal 18 3 6 2 2" xfId="10692" xr:uid="{00000000-0005-0000-0000-000035230000}"/>
    <cellStyle name="Normal 18 3 6 2 3" xfId="16837" xr:uid="{00000000-0005-0000-0000-000036230000}"/>
    <cellStyle name="Normal 18 3 6 3" xfId="10691" xr:uid="{00000000-0005-0000-0000-000037230000}"/>
    <cellStyle name="Normal 18 3 6 4" xfId="16836" xr:uid="{00000000-0005-0000-0000-000038230000}"/>
    <cellStyle name="Normal 18 3 7" xfId="4468" xr:uid="{00000000-0005-0000-0000-000039230000}"/>
    <cellStyle name="Normal 18 3 7 2" xfId="10693" xr:uid="{00000000-0005-0000-0000-00003A230000}"/>
    <cellStyle name="Normal 18 3 7 3" xfId="16838" xr:uid="{00000000-0005-0000-0000-00003B230000}"/>
    <cellStyle name="Normal 18 3 8" xfId="4469" xr:uid="{00000000-0005-0000-0000-00003C230000}"/>
    <cellStyle name="Normal 18 3 8 2" xfId="10694" xr:uid="{00000000-0005-0000-0000-00003D230000}"/>
    <cellStyle name="Normal 18 3 8 3" xfId="16839" xr:uid="{00000000-0005-0000-0000-00003E230000}"/>
    <cellStyle name="Normal 18 3 9" xfId="4470" xr:uid="{00000000-0005-0000-0000-00003F230000}"/>
    <cellStyle name="Normal 18 3 9 2" xfId="16840" xr:uid="{00000000-0005-0000-0000-000040230000}"/>
    <cellStyle name="Normal 18 4" xfId="4471" xr:uid="{00000000-0005-0000-0000-000041230000}"/>
    <cellStyle name="Normal 18 4 2" xfId="4472" xr:uid="{00000000-0005-0000-0000-000042230000}"/>
    <cellStyle name="Normal 18 4 2 2" xfId="10696" xr:uid="{00000000-0005-0000-0000-000043230000}"/>
    <cellStyle name="Normal 18 4 2 3" xfId="16842" xr:uid="{00000000-0005-0000-0000-000044230000}"/>
    <cellStyle name="Normal 18 4 3" xfId="4473" xr:uid="{00000000-0005-0000-0000-000045230000}"/>
    <cellStyle name="Normal 18 4 3 2" xfId="16843" xr:uid="{00000000-0005-0000-0000-000046230000}"/>
    <cellStyle name="Normal 18 4 4" xfId="10695" xr:uid="{00000000-0005-0000-0000-000047230000}"/>
    <cellStyle name="Normal 18 4 5" xfId="16841" xr:uid="{00000000-0005-0000-0000-000048230000}"/>
    <cellStyle name="Normal 18 5" xfId="4474" xr:uid="{00000000-0005-0000-0000-000049230000}"/>
    <cellStyle name="Normal 18 5 2" xfId="4475" xr:uid="{00000000-0005-0000-0000-00004A230000}"/>
    <cellStyle name="Normal 18 5 2 2" xfId="4476" xr:uid="{00000000-0005-0000-0000-00004B230000}"/>
    <cellStyle name="Normal 18 5 2 2 2" xfId="4477" xr:uid="{00000000-0005-0000-0000-00004C230000}"/>
    <cellStyle name="Normal 18 5 2 2 2 2" xfId="4478" xr:uid="{00000000-0005-0000-0000-00004D230000}"/>
    <cellStyle name="Normal 18 5 2 2 2 2 2" xfId="10701" xr:uid="{00000000-0005-0000-0000-00004E230000}"/>
    <cellStyle name="Normal 18 5 2 2 2 2 3" xfId="16848" xr:uid="{00000000-0005-0000-0000-00004F230000}"/>
    <cellStyle name="Normal 18 5 2 2 2 3" xfId="10700" xr:uid="{00000000-0005-0000-0000-000050230000}"/>
    <cellStyle name="Normal 18 5 2 2 2 4" xfId="16847" xr:uid="{00000000-0005-0000-0000-000051230000}"/>
    <cellStyle name="Normal 18 5 2 2 3" xfId="4479" xr:uid="{00000000-0005-0000-0000-000052230000}"/>
    <cellStyle name="Normal 18 5 2 2 3 2" xfId="4480" xr:uid="{00000000-0005-0000-0000-000053230000}"/>
    <cellStyle name="Normal 18 5 2 2 3 2 2" xfId="10703" xr:uid="{00000000-0005-0000-0000-000054230000}"/>
    <cellStyle name="Normal 18 5 2 2 3 2 3" xfId="16850" xr:uid="{00000000-0005-0000-0000-000055230000}"/>
    <cellStyle name="Normal 18 5 2 2 3 3" xfId="10702" xr:uid="{00000000-0005-0000-0000-000056230000}"/>
    <cellStyle name="Normal 18 5 2 2 3 4" xfId="16849" xr:uid="{00000000-0005-0000-0000-000057230000}"/>
    <cellStyle name="Normal 18 5 2 2 4" xfId="4481" xr:uid="{00000000-0005-0000-0000-000058230000}"/>
    <cellStyle name="Normal 18 5 2 2 4 2" xfId="10704" xr:uid="{00000000-0005-0000-0000-000059230000}"/>
    <cellStyle name="Normal 18 5 2 2 4 3" xfId="16851" xr:uid="{00000000-0005-0000-0000-00005A230000}"/>
    <cellStyle name="Normal 18 5 2 2 5" xfId="10699" xr:uid="{00000000-0005-0000-0000-00005B230000}"/>
    <cellStyle name="Normal 18 5 2 2 6" xfId="16846" xr:uid="{00000000-0005-0000-0000-00005C230000}"/>
    <cellStyle name="Normal 18 5 2 3" xfId="4482" xr:uid="{00000000-0005-0000-0000-00005D230000}"/>
    <cellStyle name="Normal 18 5 2 3 2" xfId="4483" xr:uid="{00000000-0005-0000-0000-00005E230000}"/>
    <cellStyle name="Normal 18 5 2 3 2 2" xfId="10706" xr:uid="{00000000-0005-0000-0000-00005F230000}"/>
    <cellStyle name="Normal 18 5 2 3 2 3" xfId="16853" xr:uid="{00000000-0005-0000-0000-000060230000}"/>
    <cellStyle name="Normal 18 5 2 3 3" xfId="10705" xr:uid="{00000000-0005-0000-0000-000061230000}"/>
    <cellStyle name="Normal 18 5 2 3 4" xfId="16852" xr:uid="{00000000-0005-0000-0000-000062230000}"/>
    <cellStyle name="Normal 18 5 2 4" xfId="4484" xr:uid="{00000000-0005-0000-0000-000063230000}"/>
    <cellStyle name="Normal 18 5 2 4 2" xfId="4485" xr:uid="{00000000-0005-0000-0000-000064230000}"/>
    <cellStyle name="Normal 18 5 2 4 2 2" xfId="10708" xr:uid="{00000000-0005-0000-0000-000065230000}"/>
    <cellStyle name="Normal 18 5 2 4 2 3" xfId="16855" xr:uid="{00000000-0005-0000-0000-000066230000}"/>
    <cellStyle name="Normal 18 5 2 4 3" xfId="10707" xr:uid="{00000000-0005-0000-0000-000067230000}"/>
    <cellStyle name="Normal 18 5 2 4 4" xfId="16854" xr:uid="{00000000-0005-0000-0000-000068230000}"/>
    <cellStyle name="Normal 18 5 2 5" xfId="4486" xr:uid="{00000000-0005-0000-0000-000069230000}"/>
    <cellStyle name="Normal 18 5 2 5 2" xfId="10709" xr:uid="{00000000-0005-0000-0000-00006A230000}"/>
    <cellStyle name="Normal 18 5 2 5 3" xfId="16856" xr:uid="{00000000-0005-0000-0000-00006B230000}"/>
    <cellStyle name="Normal 18 5 2 6" xfId="10698" xr:uid="{00000000-0005-0000-0000-00006C230000}"/>
    <cellStyle name="Normal 18 5 2 7" xfId="16845" xr:uid="{00000000-0005-0000-0000-00006D230000}"/>
    <cellStyle name="Normal 18 5 3" xfId="4487" xr:uid="{00000000-0005-0000-0000-00006E230000}"/>
    <cellStyle name="Normal 18 5 3 2" xfId="4488" xr:uid="{00000000-0005-0000-0000-00006F230000}"/>
    <cellStyle name="Normal 18 5 3 2 2" xfId="4489" xr:uid="{00000000-0005-0000-0000-000070230000}"/>
    <cellStyle name="Normal 18 5 3 2 2 2" xfId="10712" xr:uid="{00000000-0005-0000-0000-000071230000}"/>
    <cellStyle name="Normal 18 5 3 2 2 3" xfId="16859" xr:uid="{00000000-0005-0000-0000-000072230000}"/>
    <cellStyle name="Normal 18 5 3 2 3" xfId="10711" xr:uid="{00000000-0005-0000-0000-000073230000}"/>
    <cellStyle name="Normal 18 5 3 2 4" xfId="16858" xr:uid="{00000000-0005-0000-0000-000074230000}"/>
    <cellStyle name="Normal 18 5 3 3" xfId="4490" xr:uid="{00000000-0005-0000-0000-000075230000}"/>
    <cellStyle name="Normal 18 5 3 3 2" xfId="4491" xr:uid="{00000000-0005-0000-0000-000076230000}"/>
    <cellStyle name="Normal 18 5 3 3 2 2" xfId="10714" xr:uid="{00000000-0005-0000-0000-000077230000}"/>
    <cellStyle name="Normal 18 5 3 3 2 3" xfId="16861" xr:uid="{00000000-0005-0000-0000-000078230000}"/>
    <cellStyle name="Normal 18 5 3 3 3" xfId="10713" xr:uid="{00000000-0005-0000-0000-000079230000}"/>
    <cellStyle name="Normal 18 5 3 3 4" xfId="16860" xr:uid="{00000000-0005-0000-0000-00007A230000}"/>
    <cellStyle name="Normal 18 5 3 4" xfId="4492" xr:uid="{00000000-0005-0000-0000-00007B230000}"/>
    <cellStyle name="Normal 18 5 3 4 2" xfId="10715" xr:uid="{00000000-0005-0000-0000-00007C230000}"/>
    <cellStyle name="Normal 18 5 3 4 3" xfId="16862" xr:uid="{00000000-0005-0000-0000-00007D230000}"/>
    <cellStyle name="Normal 18 5 3 5" xfId="10710" xr:uid="{00000000-0005-0000-0000-00007E230000}"/>
    <cellStyle name="Normal 18 5 3 6" xfId="16857" xr:uid="{00000000-0005-0000-0000-00007F230000}"/>
    <cellStyle name="Normal 18 5 4" xfId="4493" xr:uid="{00000000-0005-0000-0000-000080230000}"/>
    <cellStyle name="Normal 18 5 4 2" xfId="4494" xr:uid="{00000000-0005-0000-0000-000081230000}"/>
    <cellStyle name="Normal 18 5 4 2 2" xfId="10717" xr:uid="{00000000-0005-0000-0000-000082230000}"/>
    <cellStyle name="Normal 18 5 4 2 3" xfId="16864" xr:uid="{00000000-0005-0000-0000-000083230000}"/>
    <cellStyle name="Normal 18 5 4 3" xfId="10716" xr:uid="{00000000-0005-0000-0000-000084230000}"/>
    <cellStyle name="Normal 18 5 4 4" xfId="16863" xr:uid="{00000000-0005-0000-0000-000085230000}"/>
    <cellStyle name="Normal 18 5 5" xfId="4495" xr:uid="{00000000-0005-0000-0000-000086230000}"/>
    <cellStyle name="Normal 18 5 5 2" xfId="4496" xr:uid="{00000000-0005-0000-0000-000087230000}"/>
    <cellStyle name="Normal 18 5 5 2 2" xfId="10719" xr:uid="{00000000-0005-0000-0000-000088230000}"/>
    <cellStyle name="Normal 18 5 5 2 3" xfId="16866" xr:uid="{00000000-0005-0000-0000-000089230000}"/>
    <cellStyle name="Normal 18 5 5 3" xfId="10718" xr:uid="{00000000-0005-0000-0000-00008A230000}"/>
    <cellStyle name="Normal 18 5 5 4" xfId="16865" xr:uid="{00000000-0005-0000-0000-00008B230000}"/>
    <cellStyle name="Normal 18 5 6" xfId="4497" xr:uid="{00000000-0005-0000-0000-00008C230000}"/>
    <cellStyle name="Normal 18 5 6 2" xfId="10720" xr:uid="{00000000-0005-0000-0000-00008D230000}"/>
    <cellStyle name="Normal 18 5 6 3" xfId="16867" xr:uid="{00000000-0005-0000-0000-00008E230000}"/>
    <cellStyle name="Normal 18 5 7" xfId="10697" xr:uid="{00000000-0005-0000-0000-00008F230000}"/>
    <cellStyle name="Normal 18 5 8" xfId="16844" xr:uid="{00000000-0005-0000-0000-000090230000}"/>
    <cellStyle name="Normal 18 6" xfId="4498" xr:uid="{00000000-0005-0000-0000-000091230000}"/>
    <cellStyle name="Normal 18 6 2" xfId="4499" xr:uid="{00000000-0005-0000-0000-000092230000}"/>
    <cellStyle name="Normal 18 6 2 2" xfId="4500" xr:uid="{00000000-0005-0000-0000-000093230000}"/>
    <cellStyle name="Normal 18 6 2 2 2" xfId="4501" xr:uid="{00000000-0005-0000-0000-000094230000}"/>
    <cellStyle name="Normal 18 6 2 2 2 2" xfId="10724" xr:uid="{00000000-0005-0000-0000-000095230000}"/>
    <cellStyle name="Normal 18 6 2 2 2 3" xfId="16871" xr:uid="{00000000-0005-0000-0000-000096230000}"/>
    <cellStyle name="Normal 18 6 2 2 3" xfId="10723" xr:uid="{00000000-0005-0000-0000-000097230000}"/>
    <cellStyle name="Normal 18 6 2 2 4" xfId="16870" xr:uid="{00000000-0005-0000-0000-000098230000}"/>
    <cellStyle name="Normal 18 6 2 3" xfId="4502" xr:uid="{00000000-0005-0000-0000-000099230000}"/>
    <cellStyle name="Normal 18 6 2 3 2" xfId="4503" xr:uid="{00000000-0005-0000-0000-00009A230000}"/>
    <cellStyle name="Normal 18 6 2 3 2 2" xfId="10726" xr:uid="{00000000-0005-0000-0000-00009B230000}"/>
    <cellStyle name="Normal 18 6 2 3 2 3" xfId="16873" xr:uid="{00000000-0005-0000-0000-00009C230000}"/>
    <cellStyle name="Normal 18 6 2 3 3" xfId="10725" xr:uid="{00000000-0005-0000-0000-00009D230000}"/>
    <cellStyle name="Normal 18 6 2 3 4" xfId="16872" xr:uid="{00000000-0005-0000-0000-00009E230000}"/>
    <cellStyle name="Normal 18 6 2 4" xfId="4504" xr:uid="{00000000-0005-0000-0000-00009F230000}"/>
    <cellStyle name="Normal 18 6 2 4 2" xfId="10727" xr:uid="{00000000-0005-0000-0000-0000A0230000}"/>
    <cellStyle name="Normal 18 6 2 4 3" xfId="16874" xr:uid="{00000000-0005-0000-0000-0000A1230000}"/>
    <cellStyle name="Normal 18 6 2 5" xfId="10722" xr:uid="{00000000-0005-0000-0000-0000A2230000}"/>
    <cellStyle name="Normal 18 6 2 6" xfId="16869" xr:uid="{00000000-0005-0000-0000-0000A3230000}"/>
    <cellStyle name="Normal 18 6 3" xfId="4505" xr:uid="{00000000-0005-0000-0000-0000A4230000}"/>
    <cellStyle name="Normal 18 6 3 2" xfId="4506" xr:uid="{00000000-0005-0000-0000-0000A5230000}"/>
    <cellStyle name="Normal 18 6 3 2 2" xfId="10729" xr:uid="{00000000-0005-0000-0000-0000A6230000}"/>
    <cellStyle name="Normal 18 6 3 2 3" xfId="16876" xr:uid="{00000000-0005-0000-0000-0000A7230000}"/>
    <cellStyle name="Normal 18 6 3 3" xfId="10728" xr:uid="{00000000-0005-0000-0000-0000A8230000}"/>
    <cellStyle name="Normal 18 6 3 4" xfId="16875" xr:uid="{00000000-0005-0000-0000-0000A9230000}"/>
    <cellStyle name="Normal 18 6 4" xfId="4507" xr:uid="{00000000-0005-0000-0000-0000AA230000}"/>
    <cellStyle name="Normal 18 6 4 2" xfId="4508" xr:uid="{00000000-0005-0000-0000-0000AB230000}"/>
    <cellStyle name="Normal 18 6 4 2 2" xfId="10731" xr:uid="{00000000-0005-0000-0000-0000AC230000}"/>
    <cellStyle name="Normal 18 6 4 2 3" xfId="16878" xr:uid="{00000000-0005-0000-0000-0000AD230000}"/>
    <cellStyle name="Normal 18 6 4 3" xfId="10730" xr:uid="{00000000-0005-0000-0000-0000AE230000}"/>
    <cellStyle name="Normal 18 6 4 4" xfId="16877" xr:uid="{00000000-0005-0000-0000-0000AF230000}"/>
    <cellStyle name="Normal 18 6 5" xfId="4509" xr:uid="{00000000-0005-0000-0000-0000B0230000}"/>
    <cellStyle name="Normal 18 6 5 2" xfId="10732" xr:uid="{00000000-0005-0000-0000-0000B1230000}"/>
    <cellStyle name="Normal 18 6 5 3" xfId="16879" xr:uid="{00000000-0005-0000-0000-0000B2230000}"/>
    <cellStyle name="Normal 18 6 6" xfId="10721" xr:uid="{00000000-0005-0000-0000-0000B3230000}"/>
    <cellStyle name="Normal 18 6 7" xfId="16868" xr:uid="{00000000-0005-0000-0000-0000B4230000}"/>
    <cellStyle name="Normal 18 7" xfId="4510" xr:uid="{00000000-0005-0000-0000-0000B5230000}"/>
    <cellStyle name="Normal 18 7 2" xfId="4511" xr:uid="{00000000-0005-0000-0000-0000B6230000}"/>
    <cellStyle name="Normal 18 7 2 2" xfId="4512" xr:uid="{00000000-0005-0000-0000-0000B7230000}"/>
    <cellStyle name="Normal 18 7 2 2 2" xfId="10735" xr:uid="{00000000-0005-0000-0000-0000B8230000}"/>
    <cellStyle name="Normal 18 7 2 2 3" xfId="16882" xr:uid="{00000000-0005-0000-0000-0000B9230000}"/>
    <cellStyle name="Normal 18 7 2 3" xfId="10734" xr:uid="{00000000-0005-0000-0000-0000BA230000}"/>
    <cellStyle name="Normal 18 7 2 4" xfId="16881" xr:uid="{00000000-0005-0000-0000-0000BB230000}"/>
    <cellStyle name="Normal 18 7 3" xfId="4513" xr:uid="{00000000-0005-0000-0000-0000BC230000}"/>
    <cellStyle name="Normal 18 7 3 2" xfId="4514" xr:uid="{00000000-0005-0000-0000-0000BD230000}"/>
    <cellStyle name="Normal 18 7 3 2 2" xfId="10737" xr:uid="{00000000-0005-0000-0000-0000BE230000}"/>
    <cellStyle name="Normal 18 7 3 2 3" xfId="16884" xr:uid="{00000000-0005-0000-0000-0000BF230000}"/>
    <cellStyle name="Normal 18 7 3 3" xfId="10736" xr:uid="{00000000-0005-0000-0000-0000C0230000}"/>
    <cellStyle name="Normal 18 7 3 4" xfId="16883" xr:uid="{00000000-0005-0000-0000-0000C1230000}"/>
    <cellStyle name="Normal 18 7 4" xfId="4515" xr:uid="{00000000-0005-0000-0000-0000C2230000}"/>
    <cellStyle name="Normal 18 7 4 2" xfId="10738" xr:uid="{00000000-0005-0000-0000-0000C3230000}"/>
    <cellStyle name="Normal 18 7 4 3" xfId="16885" xr:uid="{00000000-0005-0000-0000-0000C4230000}"/>
    <cellStyle name="Normal 18 7 5" xfId="10733" xr:uid="{00000000-0005-0000-0000-0000C5230000}"/>
    <cellStyle name="Normal 18 7 6" xfId="16880" xr:uid="{00000000-0005-0000-0000-0000C6230000}"/>
    <cellStyle name="Normal 18 8" xfId="4516" xr:uid="{00000000-0005-0000-0000-0000C7230000}"/>
    <cellStyle name="Normal 18 8 2" xfId="4517" xr:uid="{00000000-0005-0000-0000-0000C8230000}"/>
    <cellStyle name="Normal 18 8 2 2" xfId="10740" xr:uid="{00000000-0005-0000-0000-0000C9230000}"/>
    <cellStyle name="Normal 18 8 2 3" xfId="16887" xr:uid="{00000000-0005-0000-0000-0000CA230000}"/>
    <cellStyle name="Normal 18 8 3" xfId="10739" xr:uid="{00000000-0005-0000-0000-0000CB230000}"/>
    <cellStyle name="Normal 18 8 4" xfId="16886" xr:uid="{00000000-0005-0000-0000-0000CC230000}"/>
    <cellStyle name="Normal 18 9" xfId="4518" xr:uid="{00000000-0005-0000-0000-0000CD230000}"/>
    <cellStyle name="Normal 18 9 2" xfId="4519" xr:uid="{00000000-0005-0000-0000-0000CE230000}"/>
    <cellStyle name="Normal 18 9 2 2" xfId="10742" xr:uid="{00000000-0005-0000-0000-0000CF230000}"/>
    <cellStyle name="Normal 18 9 2 3" xfId="16889" xr:uid="{00000000-0005-0000-0000-0000D0230000}"/>
    <cellStyle name="Normal 18 9 3" xfId="10741" xr:uid="{00000000-0005-0000-0000-0000D1230000}"/>
    <cellStyle name="Normal 18 9 4" xfId="16888" xr:uid="{00000000-0005-0000-0000-0000D2230000}"/>
    <cellStyle name="Normal 180" xfId="23005" xr:uid="{00000000-0005-0000-0000-0000D3230000}"/>
    <cellStyle name="Normal 180 2" xfId="23024" xr:uid="{00000000-0005-0000-0000-0000D4230000}"/>
    <cellStyle name="Normal 181" xfId="23008" xr:uid="{00000000-0005-0000-0000-0000D5230000}"/>
    <cellStyle name="Normal 182" xfId="23010" xr:uid="{00000000-0005-0000-0000-0000D6230000}"/>
    <cellStyle name="Normal 183" xfId="23012" xr:uid="{00000000-0005-0000-0000-0000D7230000}"/>
    <cellStyle name="Normal 184" xfId="23014" xr:uid="{00000000-0005-0000-0000-0000D8230000}"/>
    <cellStyle name="Normal 185" xfId="23016" xr:uid="{00000000-0005-0000-0000-0000D9230000}"/>
    <cellStyle name="Normal 186" xfId="23018" xr:uid="{00000000-0005-0000-0000-0000DA230000}"/>
    <cellStyle name="Normal 187" xfId="23020" xr:uid="{00000000-0005-0000-0000-0000DB230000}"/>
    <cellStyle name="Normal 187 2" xfId="23031" xr:uid="{2BE2F454-C707-4BAB-9C8A-5342CC13E3DC}"/>
    <cellStyle name="Normal 188" xfId="23022" xr:uid="{00000000-0005-0000-0000-0000DC230000}"/>
    <cellStyle name="Normal 189" xfId="23026" xr:uid="{0A8BE360-494F-4052-AE5D-32956EE5BC21}"/>
    <cellStyle name="Normal 19" xfId="4520" xr:uid="{00000000-0005-0000-0000-0000DD230000}"/>
    <cellStyle name="Normal 19 2" xfId="4521" xr:uid="{00000000-0005-0000-0000-0000DE230000}"/>
    <cellStyle name="Normal 19 2 2" xfId="4522" xr:uid="{00000000-0005-0000-0000-0000DF230000}"/>
    <cellStyle name="Normal 19 2 2 2" xfId="10745" xr:uid="{00000000-0005-0000-0000-0000E0230000}"/>
    <cellStyle name="Normal 19 2 2 3" xfId="16892" xr:uid="{00000000-0005-0000-0000-0000E1230000}"/>
    <cellStyle name="Normal 19 2 3" xfId="4523" xr:uid="{00000000-0005-0000-0000-0000E2230000}"/>
    <cellStyle name="Normal 19 2 3 2" xfId="10746" xr:uid="{00000000-0005-0000-0000-0000E3230000}"/>
    <cellStyle name="Normal 19 2 3 3" xfId="16893" xr:uid="{00000000-0005-0000-0000-0000E4230000}"/>
    <cellStyle name="Normal 19 2 4" xfId="10744" xr:uid="{00000000-0005-0000-0000-0000E5230000}"/>
    <cellStyle name="Normal 19 2 5" xfId="16891" xr:uid="{00000000-0005-0000-0000-0000E6230000}"/>
    <cellStyle name="Normal 19 3" xfId="4524" xr:uid="{00000000-0005-0000-0000-0000E7230000}"/>
    <cellStyle name="Normal 19 3 2" xfId="4525" xr:uid="{00000000-0005-0000-0000-0000E8230000}"/>
    <cellStyle name="Normal 19 3 2 2" xfId="10748" xr:uid="{00000000-0005-0000-0000-0000E9230000}"/>
    <cellStyle name="Normal 19 3 2 3" xfId="16895" xr:uid="{00000000-0005-0000-0000-0000EA230000}"/>
    <cellStyle name="Normal 19 3 3" xfId="4526" xr:uid="{00000000-0005-0000-0000-0000EB230000}"/>
    <cellStyle name="Normal 19 3 3 2" xfId="10749" xr:uid="{00000000-0005-0000-0000-0000EC230000}"/>
    <cellStyle name="Normal 19 3 3 3" xfId="16896" xr:uid="{00000000-0005-0000-0000-0000ED230000}"/>
    <cellStyle name="Normal 19 3 4" xfId="4527" xr:uid="{00000000-0005-0000-0000-0000EE230000}"/>
    <cellStyle name="Normal 19 3 4 2" xfId="16897" xr:uid="{00000000-0005-0000-0000-0000EF230000}"/>
    <cellStyle name="Normal 19 3 5" xfId="10747" xr:uid="{00000000-0005-0000-0000-0000F0230000}"/>
    <cellStyle name="Normal 19 3 6" xfId="16894" xr:uid="{00000000-0005-0000-0000-0000F1230000}"/>
    <cellStyle name="Normal 19 4" xfId="4528" xr:uid="{00000000-0005-0000-0000-0000F2230000}"/>
    <cellStyle name="Normal 19 4 2" xfId="4529" xr:uid="{00000000-0005-0000-0000-0000F3230000}"/>
    <cellStyle name="Normal 19 4 2 2" xfId="16899" xr:uid="{00000000-0005-0000-0000-0000F4230000}"/>
    <cellStyle name="Normal 19 4 3" xfId="10750" xr:uid="{00000000-0005-0000-0000-0000F5230000}"/>
    <cellStyle name="Normal 19 4 4" xfId="16898" xr:uid="{00000000-0005-0000-0000-0000F6230000}"/>
    <cellStyle name="Normal 19 5" xfId="4530" xr:uid="{00000000-0005-0000-0000-0000F7230000}"/>
    <cellStyle name="Normal 19 5 2" xfId="10751" xr:uid="{00000000-0005-0000-0000-0000F8230000}"/>
    <cellStyle name="Normal 19 5 3" xfId="16900" xr:uid="{00000000-0005-0000-0000-0000F9230000}"/>
    <cellStyle name="Normal 19 6" xfId="4531" xr:uid="{00000000-0005-0000-0000-0000FA230000}"/>
    <cellStyle name="Normal 19 6 2" xfId="10752" xr:uid="{00000000-0005-0000-0000-0000FB230000}"/>
    <cellStyle name="Normal 19 6 3" xfId="16901" xr:uid="{00000000-0005-0000-0000-0000FC230000}"/>
    <cellStyle name="Normal 19 7" xfId="10743" xr:uid="{00000000-0005-0000-0000-0000FD230000}"/>
    <cellStyle name="Normal 19 8" xfId="16890" xr:uid="{00000000-0005-0000-0000-0000FE230000}"/>
    <cellStyle name="Normal 190" xfId="23028" xr:uid="{DFA7AB20-75F8-4B5D-BEB9-6C577F6BE653}"/>
    <cellStyle name="Normal 191" xfId="23034" xr:uid="{3C7A8D6F-E692-4917-B078-9AE9F957D97A}"/>
    <cellStyle name="Normal 192" xfId="23038" xr:uid="{84A69933-2F9F-494E-A12C-3912BE114F85}"/>
    <cellStyle name="Normal 192 2" xfId="23046" xr:uid="{692BF089-5A5B-4F23-B2A2-91DFD654A18A}"/>
    <cellStyle name="Normal 193" xfId="23043" xr:uid="{0E2F372E-C6F5-472A-A712-7488ECE1267D}"/>
    <cellStyle name="Normal 194" xfId="23047" xr:uid="{5D103799-18B0-4C54-82F5-835299964846}"/>
    <cellStyle name="Normal 2" xfId="4532" xr:uid="{00000000-0005-0000-0000-0000FF230000}"/>
    <cellStyle name="Normal 2 10" xfId="4533" xr:uid="{00000000-0005-0000-0000-000000240000}"/>
    <cellStyle name="Normal 2 10 2" xfId="4534" xr:uid="{00000000-0005-0000-0000-000001240000}"/>
    <cellStyle name="Normal 2 10 2 2" xfId="4535" xr:uid="{00000000-0005-0000-0000-000002240000}"/>
    <cellStyle name="Normal 2 10 2 2 2" xfId="10756" xr:uid="{00000000-0005-0000-0000-000003240000}"/>
    <cellStyle name="Normal 2 10 2 2 3" xfId="16905" xr:uid="{00000000-0005-0000-0000-000004240000}"/>
    <cellStyle name="Normal 2 10 2 3" xfId="10755" xr:uid="{00000000-0005-0000-0000-000005240000}"/>
    <cellStyle name="Normal 2 10 2 4" xfId="16904" xr:uid="{00000000-0005-0000-0000-000006240000}"/>
    <cellStyle name="Normal 2 10 3" xfId="4536" xr:uid="{00000000-0005-0000-0000-000007240000}"/>
    <cellStyle name="Normal 2 10 3 2" xfId="10757" xr:uid="{00000000-0005-0000-0000-000008240000}"/>
    <cellStyle name="Normal 2 10 3 3" xfId="16906" xr:uid="{00000000-0005-0000-0000-000009240000}"/>
    <cellStyle name="Normal 2 10 4" xfId="4537" xr:uid="{00000000-0005-0000-0000-00000A240000}"/>
    <cellStyle name="Normal 2 10 4 2" xfId="10758" xr:uid="{00000000-0005-0000-0000-00000B240000}"/>
    <cellStyle name="Normal 2 10 4 3" xfId="16907" xr:uid="{00000000-0005-0000-0000-00000C240000}"/>
    <cellStyle name="Normal 2 10 5" xfId="4538" xr:uid="{00000000-0005-0000-0000-00000D240000}"/>
    <cellStyle name="Normal 2 10 5 2" xfId="10759" xr:uid="{00000000-0005-0000-0000-00000E240000}"/>
    <cellStyle name="Normal 2 10 5 3" xfId="16908" xr:uid="{00000000-0005-0000-0000-00000F240000}"/>
    <cellStyle name="Normal 2 10 6" xfId="4539" xr:uid="{00000000-0005-0000-0000-000010240000}"/>
    <cellStyle name="Normal 2 10 6 2" xfId="16909" xr:uid="{00000000-0005-0000-0000-000011240000}"/>
    <cellStyle name="Normal 2 10 7" xfId="10754" xr:uid="{00000000-0005-0000-0000-000012240000}"/>
    <cellStyle name="Normal 2 10 8" xfId="16903" xr:uid="{00000000-0005-0000-0000-000013240000}"/>
    <cellStyle name="Normal 2 11" xfId="4540" xr:uid="{00000000-0005-0000-0000-000014240000}"/>
    <cellStyle name="Normal 2 11 2" xfId="4541" xr:uid="{00000000-0005-0000-0000-000015240000}"/>
    <cellStyle name="Normal 2 11 2 2" xfId="10761" xr:uid="{00000000-0005-0000-0000-000016240000}"/>
    <cellStyle name="Normal 2 11 2 3" xfId="16911" xr:uid="{00000000-0005-0000-0000-000017240000}"/>
    <cellStyle name="Normal 2 11 3" xfId="4542" xr:uid="{00000000-0005-0000-0000-000018240000}"/>
    <cellStyle name="Normal 2 11 3 2" xfId="10762" xr:uid="{00000000-0005-0000-0000-000019240000}"/>
    <cellStyle name="Normal 2 11 3 3" xfId="16912" xr:uid="{00000000-0005-0000-0000-00001A240000}"/>
    <cellStyle name="Normal 2 11 4" xfId="4543" xr:uid="{00000000-0005-0000-0000-00001B240000}"/>
    <cellStyle name="Normal 2 11 4 2" xfId="16913" xr:uid="{00000000-0005-0000-0000-00001C240000}"/>
    <cellStyle name="Normal 2 11 5" xfId="10760" xr:uid="{00000000-0005-0000-0000-00001D240000}"/>
    <cellStyle name="Normal 2 11 6" xfId="16910" xr:uid="{00000000-0005-0000-0000-00001E240000}"/>
    <cellStyle name="Normal 2 12" xfId="4544" xr:uid="{00000000-0005-0000-0000-00001F240000}"/>
    <cellStyle name="Normal 2 12 2" xfId="4545" xr:uid="{00000000-0005-0000-0000-000020240000}"/>
    <cellStyle name="Normal 2 12 2 2" xfId="10764" xr:uid="{00000000-0005-0000-0000-000021240000}"/>
    <cellStyle name="Normal 2 12 2 3" xfId="16915" xr:uid="{00000000-0005-0000-0000-000022240000}"/>
    <cellStyle name="Normal 2 12 3" xfId="10763" xr:uid="{00000000-0005-0000-0000-000023240000}"/>
    <cellStyle name="Normal 2 12 4" xfId="16914" xr:uid="{00000000-0005-0000-0000-000024240000}"/>
    <cellStyle name="Normal 2 13" xfId="4546" xr:uid="{00000000-0005-0000-0000-000025240000}"/>
    <cellStyle name="Normal 2 13 2" xfId="10765" xr:uid="{00000000-0005-0000-0000-000026240000}"/>
    <cellStyle name="Normal 2 13 3" xfId="16916" xr:uid="{00000000-0005-0000-0000-000027240000}"/>
    <cellStyle name="Normal 2 14" xfId="4547" xr:uid="{00000000-0005-0000-0000-000028240000}"/>
    <cellStyle name="Normal 2 14 2" xfId="10766" xr:uid="{00000000-0005-0000-0000-000029240000}"/>
    <cellStyle name="Normal 2 14 3" xfId="16917" xr:uid="{00000000-0005-0000-0000-00002A240000}"/>
    <cellStyle name="Normal 2 15" xfId="4548" xr:uid="{00000000-0005-0000-0000-00002B240000}"/>
    <cellStyle name="Normal 2 15 2" xfId="10767" xr:uid="{00000000-0005-0000-0000-00002C240000}"/>
    <cellStyle name="Normal 2 15 3" xfId="16918" xr:uid="{00000000-0005-0000-0000-00002D240000}"/>
    <cellStyle name="Normal 2 16" xfId="4549" xr:uid="{00000000-0005-0000-0000-00002E240000}"/>
    <cellStyle name="Normal 2 16 2" xfId="10768" xr:uid="{00000000-0005-0000-0000-00002F240000}"/>
    <cellStyle name="Normal 2 16 3" xfId="16919" xr:uid="{00000000-0005-0000-0000-000030240000}"/>
    <cellStyle name="Normal 2 17" xfId="4550" xr:uid="{00000000-0005-0000-0000-000031240000}"/>
    <cellStyle name="Normal 2 17 2" xfId="10769" xr:uid="{00000000-0005-0000-0000-000032240000}"/>
    <cellStyle name="Normal 2 17 3" xfId="16920" xr:uid="{00000000-0005-0000-0000-000033240000}"/>
    <cellStyle name="Normal 2 18" xfId="4551" xr:uid="{00000000-0005-0000-0000-000034240000}"/>
    <cellStyle name="Normal 2 18 2" xfId="16921" xr:uid="{00000000-0005-0000-0000-000035240000}"/>
    <cellStyle name="Normal 2 19" xfId="10753" xr:uid="{00000000-0005-0000-0000-000036240000}"/>
    <cellStyle name="Normal 2 2" xfId="4552" xr:uid="{00000000-0005-0000-0000-000037240000}"/>
    <cellStyle name="Normal 2 2 10" xfId="4553" xr:uid="{00000000-0005-0000-0000-000038240000}"/>
    <cellStyle name="Normal 2 2 10 2" xfId="10771" xr:uid="{00000000-0005-0000-0000-000039240000}"/>
    <cellStyle name="Normal 2 2 10 3" xfId="16923" xr:uid="{00000000-0005-0000-0000-00003A240000}"/>
    <cellStyle name="Normal 2 2 11" xfId="4554" xr:uid="{00000000-0005-0000-0000-00003B240000}"/>
    <cellStyle name="Normal 2 2 11 2" xfId="10772" xr:uid="{00000000-0005-0000-0000-00003C240000}"/>
    <cellStyle name="Normal 2 2 11 3" xfId="16924" xr:uid="{00000000-0005-0000-0000-00003D240000}"/>
    <cellStyle name="Normal 2 2 12" xfId="4555" xr:uid="{00000000-0005-0000-0000-00003E240000}"/>
    <cellStyle name="Normal 2 2 12 2" xfId="16925" xr:uid="{00000000-0005-0000-0000-00003F240000}"/>
    <cellStyle name="Normal 2 2 13" xfId="10770" xr:uid="{00000000-0005-0000-0000-000040240000}"/>
    <cellStyle name="Normal 2 2 14" xfId="16922" xr:uid="{00000000-0005-0000-0000-000041240000}"/>
    <cellStyle name="Normal 2 2 2" xfId="4556" xr:uid="{00000000-0005-0000-0000-000042240000}"/>
    <cellStyle name="Normal 2 2 2 10" xfId="4557" xr:uid="{00000000-0005-0000-0000-000043240000}"/>
    <cellStyle name="Normal 2 2 2 10 2" xfId="16927" xr:uid="{00000000-0005-0000-0000-000044240000}"/>
    <cellStyle name="Normal 2 2 2 11" xfId="10773" xr:uid="{00000000-0005-0000-0000-000045240000}"/>
    <cellStyle name="Normal 2 2 2 12" xfId="16926" xr:uid="{00000000-0005-0000-0000-000046240000}"/>
    <cellStyle name="Normal 2 2 2 2" xfId="4558" xr:uid="{00000000-0005-0000-0000-000047240000}"/>
    <cellStyle name="Normal 2 2 2 2 10" xfId="16928" xr:uid="{00000000-0005-0000-0000-000048240000}"/>
    <cellStyle name="Normal 2 2 2 2 2" xfId="4559" xr:uid="{00000000-0005-0000-0000-000049240000}"/>
    <cellStyle name="Normal 2 2 2 2 2 2" xfId="4560" xr:uid="{00000000-0005-0000-0000-00004A240000}"/>
    <cellStyle name="Normal 2 2 2 2 2 2 2" xfId="4561" xr:uid="{00000000-0005-0000-0000-00004B240000}"/>
    <cellStyle name="Normal 2 2 2 2 2 2 2 2" xfId="10777" xr:uid="{00000000-0005-0000-0000-00004C240000}"/>
    <cellStyle name="Normal 2 2 2 2 2 2 2 3" xfId="16931" xr:uid="{00000000-0005-0000-0000-00004D240000}"/>
    <cellStyle name="Normal 2 2 2 2 2 2 3" xfId="4562" xr:uid="{00000000-0005-0000-0000-00004E240000}"/>
    <cellStyle name="Normal 2 2 2 2 2 2 3 2" xfId="10778" xr:uid="{00000000-0005-0000-0000-00004F240000}"/>
    <cellStyle name="Normal 2 2 2 2 2 2 3 3" xfId="16932" xr:uid="{00000000-0005-0000-0000-000050240000}"/>
    <cellStyle name="Normal 2 2 2 2 2 2 4" xfId="10776" xr:uid="{00000000-0005-0000-0000-000051240000}"/>
    <cellStyle name="Normal 2 2 2 2 2 2 5" xfId="16930" xr:uid="{00000000-0005-0000-0000-000052240000}"/>
    <cellStyle name="Normal 2 2 2 2 2 3" xfId="4563" xr:uid="{00000000-0005-0000-0000-000053240000}"/>
    <cellStyle name="Normal 2 2 2 2 2 3 2" xfId="4564" xr:uid="{00000000-0005-0000-0000-000054240000}"/>
    <cellStyle name="Normal 2 2 2 2 2 3 2 2" xfId="10780" xr:uid="{00000000-0005-0000-0000-000055240000}"/>
    <cellStyle name="Normal 2 2 2 2 2 3 2 3" xfId="16934" xr:uid="{00000000-0005-0000-0000-000056240000}"/>
    <cellStyle name="Normal 2 2 2 2 2 3 3" xfId="4565" xr:uid="{00000000-0005-0000-0000-000057240000}"/>
    <cellStyle name="Normal 2 2 2 2 2 3 3 2" xfId="10781" xr:uid="{00000000-0005-0000-0000-000058240000}"/>
    <cellStyle name="Normal 2 2 2 2 2 3 3 3" xfId="16935" xr:uid="{00000000-0005-0000-0000-000059240000}"/>
    <cellStyle name="Normal 2 2 2 2 2 3 4" xfId="10779" xr:uid="{00000000-0005-0000-0000-00005A240000}"/>
    <cellStyle name="Normal 2 2 2 2 2 3 5" xfId="16933" xr:uid="{00000000-0005-0000-0000-00005B240000}"/>
    <cellStyle name="Normal 2 2 2 2 2 4" xfId="4566" xr:uid="{00000000-0005-0000-0000-00005C240000}"/>
    <cellStyle name="Normal 2 2 2 2 2 4 2" xfId="10782" xr:uid="{00000000-0005-0000-0000-00005D240000}"/>
    <cellStyle name="Normal 2 2 2 2 2 4 3" xfId="16936" xr:uid="{00000000-0005-0000-0000-00005E240000}"/>
    <cellStyle name="Normal 2 2 2 2 2 5" xfId="4567" xr:uid="{00000000-0005-0000-0000-00005F240000}"/>
    <cellStyle name="Normal 2 2 2 2 2 5 2" xfId="10783" xr:uid="{00000000-0005-0000-0000-000060240000}"/>
    <cellStyle name="Normal 2 2 2 2 2 5 3" xfId="16937" xr:uid="{00000000-0005-0000-0000-000061240000}"/>
    <cellStyle name="Normal 2 2 2 2 2 6" xfId="10775" xr:uid="{00000000-0005-0000-0000-000062240000}"/>
    <cellStyle name="Normal 2 2 2 2 2 7" xfId="16929" xr:uid="{00000000-0005-0000-0000-000063240000}"/>
    <cellStyle name="Normal 2 2 2 2 3" xfId="4568" xr:uid="{00000000-0005-0000-0000-000064240000}"/>
    <cellStyle name="Normal 2 2 2 2 3 2" xfId="4569" xr:uid="{00000000-0005-0000-0000-000065240000}"/>
    <cellStyle name="Normal 2 2 2 2 3 2 2" xfId="10785" xr:uid="{00000000-0005-0000-0000-000066240000}"/>
    <cellStyle name="Normal 2 2 2 2 3 2 3" xfId="16939" xr:uid="{00000000-0005-0000-0000-000067240000}"/>
    <cellStyle name="Normal 2 2 2 2 3 3" xfId="4570" xr:uid="{00000000-0005-0000-0000-000068240000}"/>
    <cellStyle name="Normal 2 2 2 2 3 3 2" xfId="10786" xr:uid="{00000000-0005-0000-0000-000069240000}"/>
    <cellStyle name="Normal 2 2 2 2 3 3 3" xfId="16940" xr:uid="{00000000-0005-0000-0000-00006A240000}"/>
    <cellStyle name="Normal 2 2 2 2 3 4" xfId="4571" xr:uid="{00000000-0005-0000-0000-00006B240000}"/>
    <cellStyle name="Normal 2 2 2 2 3 4 2" xfId="10787" xr:uid="{00000000-0005-0000-0000-00006C240000}"/>
    <cellStyle name="Normal 2 2 2 2 3 4 3" xfId="16941" xr:uid="{00000000-0005-0000-0000-00006D240000}"/>
    <cellStyle name="Normal 2 2 2 2 3 5" xfId="4572" xr:uid="{00000000-0005-0000-0000-00006E240000}"/>
    <cellStyle name="Normal 2 2 2 2 3 5 2" xfId="10788" xr:uid="{00000000-0005-0000-0000-00006F240000}"/>
    <cellStyle name="Normal 2 2 2 2 3 5 3" xfId="16942" xr:uid="{00000000-0005-0000-0000-000070240000}"/>
    <cellStyle name="Normal 2 2 2 2 3 6" xfId="10784" xr:uid="{00000000-0005-0000-0000-000071240000}"/>
    <cellStyle name="Normal 2 2 2 2 3 7" xfId="16938" xr:uid="{00000000-0005-0000-0000-000072240000}"/>
    <cellStyle name="Normal 2 2 2 2 4" xfId="4573" xr:uid="{00000000-0005-0000-0000-000073240000}"/>
    <cellStyle name="Normal 2 2 2 2 4 2" xfId="4574" xr:uid="{00000000-0005-0000-0000-000074240000}"/>
    <cellStyle name="Normal 2 2 2 2 4 2 2" xfId="10790" xr:uid="{00000000-0005-0000-0000-000075240000}"/>
    <cellStyle name="Normal 2 2 2 2 4 2 3" xfId="16944" xr:uid="{00000000-0005-0000-0000-000076240000}"/>
    <cellStyle name="Normal 2 2 2 2 4 3" xfId="4575" xr:uid="{00000000-0005-0000-0000-000077240000}"/>
    <cellStyle name="Normal 2 2 2 2 4 3 2" xfId="10791" xr:uid="{00000000-0005-0000-0000-000078240000}"/>
    <cellStyle name="Normal 2 2 2 2 4 3 3" xfId="16945" xr:uid="{00000000-0005-0000-0000-000079240000}"/>
    <cellStyle name="Normal 2 2 2 2 4 4" xfId="10789" xr:uid="{00000000-0005-0000-0000-00007A240000}"/>
    <cellStyle name="Normal 2 2 2 2 4 5" xfId="16943" xr:uid="{00000000-0005-0000-0000-00007B240000}"/>
    <cellStyle name="Normal 2 2 2 2 5" xfId="4576" xr:uid="{00000000-0005-0000-0000-00007C240000}"/>
    <cellStyle name="Normal 2 2 2 2 5 2" xfId="4577" xr:uid="{00000000-0005-0000-0000-00007D240000}"/>
    <cellStyle name="Normal 2 2 2 2 5 2 2" xfId="10793" xr:uid="{00000000-0005-0000-0000-00007E240000}"/>
    <cellStyle name="Normal 2 2 2 2 5 2 3" xfId="16947" xr:uid="{00000000-0005-0000-0000-00007F240000}"/>
    <cellStyle name="Normal 2 2 2 2 5 3" xfId="4578" xr:uid="{00000000-0005-0000-0000-000080240000}"/>
    <cellStyle name="Normal 2 2 2 2 5 3 2" xfId="10794" xr:uid="{00000000-0005-0000-0000-000081240000}"/>
    <cellStyle name="Normal 2 2 2 2 5 3 3" xfId="16948" xr:uid="{00000000-0005-0000-0000-000082240000}"/>
    <cellStyle name="Normal 2 2 2 2 5 4" xfId="10792" xr:uid="{00000000-0005-0000-0000-000083240000}"/>
    <cellStyle name="Normal 2 2 2 2 5 5" xfId="16946" xr:uid="{00000000-0005-0000-0000-000084240000}"/>
    <cellStyle name="Normal 2 2 2 2 6" xfId="4579" xr:uid="{00000000-0005-0000-0000-000085240000}"/>
    <cellStyle name="Normal 2 2 2 2 6 2" xfId="10795" xr:uid="{00000000-0005-0000-0000-000086240000}"/>
    <cellStyle name="Normal 2 2 2 2 6 3" xfId="16949" xr:uid="{00000000-0005-0000-0000-000087240000}"/>
    <cellStyle name="Normal 2 2 2 2 7" xfId="4580" xr:uid="{00000000-0005-0000-0000-000088240000}"/>
    <cellStyle name="Normal 2 2 2 2 7 2" xfId="10796" xr:uid="{00000000-0005-0000-0000-000089240000}"/>
    <cellStyle name="Normal 2 2 2 2 7 3" xfId="16950" xr:uid="{00000000-0005-0000-0000-00008A240000}"/>
    <cellStyle name="Normal 2 2 2 2 8" xfId="4581" xr:uid="{00000000-0005-0000-0000-00008B240000}"/>
    <cellStyle name="Normal 2 2 2 2 8 2" xfId="16951" xr:uid="{00000000-0005-0000-0000-00008C240000}"/>
    <cellStyle name="Normal 2 2 2 2 9" xfId="10774" xr:uid="{00000000-0005-0000-0000-00008D240000}"/>
    <cellStyle name="Normal 2 2 2 3" xfId="4582" xr:uid="{00000000-0005-0000-0000-00008E240000}"/>
    <cellStyle name="Normal 2 2 2 3 2" xfId="4583" xr:uid="{00000000-0005-0000-0000-00008F240000}"/>
    <cellStyle name="Normal 2 2 2 3 2 2" xfId="4584" xr:uid="{00000000-0005-0000-0000-000090240000}"/>
    <cellStyle name="Normal 2 2 2 3 2 2 2" xfId="10799" xr:uid="{00000000-0005-0000-0000-000091240000}"/>
    <cellStyle name="Normal 2 2 2 3 2 2 3" xfId="16954" xr:uid="{00000000-0005-0000-0000-000092240000}"/>
    <cellStyle name="Normal 2 2 2 3 2 3" xfId="4585" xr:uid="{00000000-0005-0000-0000-000093240000}"/>
    <cellStyle name="Normal 2 2 2 3 2 3 2" xfId="10800" xr:uid="{00000000-0005-0000-0000-000094240000}"/>
    <cellStyle name="Normal 2 2 2 3 2 3 3" xfId="16955" xr:uid="{00000000-0005-0000-0000-000095240000}"/>
    <cellStyle name="Normal 2 2 2 3 2 4" xfId="10798" xr:uid="{00000000-0005-0000-0000-000096240000}"/>
    <cellStyle name="Normal 2 2 2 3 2 5" xfId="16953" xr:uid="{00000000-0005-0000-0000-000097240000}"/>
    <cellStyle name="Normal 2 2 2 3 3" xfId="4586" xr:uid="{00000000-0005-0000-0000-000098240000}"/>
    <cellStyle name="Normal 2 2 2 3 3 2" xfId="4587" xr:uid="{00000000-0005-0000-0000-000099240000}"/>
    <cellStyle name="Normal 2 2 2 3 3 2 2" xfId="10802" xr:uid="{00000000-0005-0000-0000-00009A240000}"/>
    <cellStyle name="Normal 2 2 2 3 3 2 3" xfId="16957" xr:uid="{00000000-0005-0000-0000-00009B240000}"/>
    <cellStyle name="Normal 2 2 2 3 3 3" xfId="4588" xr:uid="{00000000-0005-0000-0000-00009C240000}"/>
    <cellStyle name="Normal 2 2 2 3 3 3 2" xfId="10803" xr:uid="{00000000-0005-0000-0000-00009D240000}"/>
    <cellStyle name="Normal 2 2 2 3 3 3 3" xfId="16958" xr:uid="{00000000-0005-0000-0000-00009E240000}"/>
    <cellStyle name="Normal 2 2 2 3 3 4" xfId="10801" xr:uid="{00000000-0005-0000-0000-00009F240000}"/>
    <cellStyle name="Normal 2 2 2 3 3 5" xfId="16956" xr:uid="{00000000-0005-0000-0000-0000A0240000}"/>
    <cellStyle name="Normal 2 2 2 3 4" xfId="4589" xr:uid="{00000000-0005-0000-0000-0000A1240000}"/>
    <cellStyle name="Normal 2 2 2 3 4 2" xfId="10804" xr:uid="{00000000-0005-0000-0000-0000A2240000}"/>
    <cellStyle name="Normal 2 2 2 3 4 3" xfId="16959" xr:uid="{00000000-0005-0000-0000-0000A3240000}"/>
    <cellStyle name="Normal 2 2 2 3 5" xfId="4590" xr:uid="{00000000-0005-0000-0000-0000A4240000}"/>
    <cellStyle name="Normal 2 2 2 3 5 2" xfId="10805" xr:uid="{00000000-0005-0000-0000-0000A5240000}"/>
    <cellStyle name="Normal 2 2 2 3 5 3" xfId="16960" xr:uid="{00000000-0005-0000-0000-0000A6240000}"/>
    <cellStyle name="Normal 2 2 2 3 6" xfId="10797" xr:uid="{00000000-0005-0000-0000-0000A7240000}"/>
    <cellStyle name="Normal 2 2 2 3 7" xfId="16952" xr:uid="{00000000-0005-0000-0000-0000A8240000}"/>
    <cellStyle name="Normal 2 2 2 4" xfId="4591" xr:uid="{00000000-0005-0000-0000-0000A9240000}"/>
    <cellStyle name="Normal 2 2 2 4 2" xfId="4592" xr:uid="{00000000-0005-0000-0000-0000AA240000}"/>
    <cellStyle name="Normal 2 2 2 4 2 2" xfId="10807" xr:uid="{00000000-0005-0000-0000-0000AB240000}"/>
    <cellStyle name="Normal 2 2 2 4 2 3" xfId="16962" xr:uid="{00000000-0005-0000-0000-0000AC240000}"/>
    <cellStyle name="Normal 2 2 2 4 3" xfId="4593" xr:uid="{00000000-0005-0000-0000-0000AD240000}"/>
    <cellStyle name="Normal 2 2 2 4 3 2" xfId="10808" xr:uid="{00000000-0005-0000-0000-0000AE240000}"/>
    <cellStyle name="Normal 2 2 2 4 3 3" xfId="16963" xr:uid="{00000000-0005-0000-0000-0000AF240000}"/>
    <cellStyle name="Normal 2 2 2 4 4" xfId="4594" xr:uid="{00000000-0005-0000-0000-0000B0240000}"/>
    <cellStyle name="Normal 2 2 2 4 4 2" xfId="10809" xr:uid="{00000000-0005-0000-0000-0000B1240000}"/>
    <cellStyle name="Normal 2 2 2 4 4 3" xfId="16964" xr:uid="{00000000-0005-0000-0000-0000B2240000}"/>
    <cellStyle name="Normal 2 2 2 4 5" xfId="4595" xr:uid="{00000000-0005-0000-0000-0000B3240000}"/>
    <cellStyle name="Normal 2 2 2 4 5 2" xfId="10810" xr:uid="{00000000-0005-0000-0000-0000B4240000}"/>
    <cellStyle name="Normal 2 2 2 4 5 3" xfId="16965" xr:uid="{00000000-0005-0000-0000-0000B5240000}"/>
    <cellStyle name="Normal 2 2 2 4 6" xfId="10806" xr:uid="{00000000-0005-0000-0000-0000B6240000}"/>
    <cellStyle name="Normal 2 2 2 4 7" xfId="16961" xr:uid="{00000000-0005-0000-0000-0000B7240000}"/>
    <cellStyle name="Normal 2 2 2 5" xfId="4596" xr:uid="{00000000-0005-0000-0000-0000B8240000}"/>
    <cellStyle name="Normal 2 2 2 5 2" xfId="4597" xr:uid="{00000000-0005-0000-0000-0000B9240000}"/>
    <cellStyle name="Normal 2 2 2 5 2 2" xfId="10812" xr:uid="{00000000-0005-0000-0000-0000BA240000}"/>
    <cellStyle name="Normal 2 2 2 5 2 3" xfId="16967" xr:uid="{00000000-0005-0000-0000-0000BB240000}"/>
    <cellStyle name="Normal 2 2 2 5 3" xfId="4598" xr:uid="{00000000-0005-0000-0000-0000BC240000}"/>
    <cellStyle name="Normal 2 2 2 5 3 2" xfId="10813" xr:uid="{00000000-0005-0000-0000-0000BD240000}"/>
    <cellStyle name="Normal 2 2 2 5 3 3" xfId="16968" xr:uid="{00000000-0005-0000-0000-0000BE240000}"/>
    <cellStyle name="Normal 2 2 2 5 4" xfId="10811" xr:uid="{00000000-0005-0000-0000-0000BF240000}"/>
    <cellStyle name="Normal 2 2 2 5 5" xfId="16966" xr:uid="{00000000-0005-0000-0000-0000C0240000}"/>
    <cellStyle name="Normal 2 2 2 6" xfId="4599" xr:uid="{00000000-0005-0000-0000-0000C1240000}"/>
    <cellStyle name="Normal 2 2 2 6 2" xfId="4600" xr:uid="{00000000-0005-0000-0000-0000C2240000}"/>
    <cellStyle name="Normal 2 2 2 6 2 2" xfId="10815" xr:uid="{00000000-0005-0000-0000-0000C3240000}"/>
    <cellStyle name="Normal 2 2 2 6 2 3" xfId="16970" xr:uid="{00000000-0005-0000-0000-0000C4240000}"/>
    <cellStyle name="Normal 2 2 2 6 3" xfId="4601" xr:uid="{00000000-0005-0000-0000-0000C5240000}"/>
    <cellStyle name="Normal 2 2 2 6 3 2" xfId="10816" xr:uid="{00000000-0005-0000-0000-0000C6240000}"/>
    <cellStyle name="Normal 2 2 2 6 3 3" xfId="16971" xr:uid="{00000000-0005-0000-0000-0000C7240000}"/>
    <cellStyle name="Normal 2 2 2 6 4" xfId="10814" xr:uid="{00000000-0005-0000-0000-0000C8240000}"/>
    <cellStyle name="Normal 2 2 2 6 5" xfId="16969" xr:uid="{00000000-0005-0000-0000-0000C9240000}"/>
    <cellStyle name="Normal 2 2 2 7" xfId="4602" xr:uid="{00000000-0005-0000-0000-0000CA240000}"/>
    <cellStyle name="Normal 2 2 2 7 2" xfId="10817" xr:uid="{00000000-0005-0000-0000-0000CB240000}"/>
    <cellStyle name="Normal 2 2 2 7 3" xfId="16972" xr:uid="{00000000-0005-0000-0000-0000CC240000}"/>
    <cellStyle name="Normal 2 2 2 8" xfId="4603" xr:uid="{00000000-0005-0000-0000-0000CD240000}"/>
    <cellStyle name="Normal 2 2 2 8 2" xfId="10818" xr:uid="{00000000-0005-0000-0000-0000CE240000}"/>
    <cellStyle name="Normal 2 2 2 8 3" xfId="16973" xr:uid="{00000000-0005-0000-0000-0000CF240000}"/>
    <cellStyle name="Normal 2 2 2 9" xfId="4604" xr:uid="{00000000-0005-0000-0000-0000D0240000}"/>
    <cellStyle name="Normal 2 2 2 9 2" xfId="10819" xr:uid="{00000000-0005-0000-0000-0000D1240000}"/>
    <cellStyle name="Normal 2 2 2 9 3" xfId="16974" xr:uid="{00000000-0005-0000-0000-0000D2240000}"/>
    <cellStyle name="Normal 2 2 2_Epicor" xfId="4605" xr:uid="{00000000-0005-0000-0000-0000D3240000}"/>
    <cellStyle name="Normal 2 2 3" xfId="4606" xr:uid="{00000000-0005-0000-0000-0000D4240000}"/>
    <cellStyle name="Normal 2 2 3 10" xfId="16975" xr:uid="{00000000-0005-0000-0000-0000D5240000}"/>
    <cellStyle name="Normal 2 2 3 2" xfId="4607" xr:uid="{00000000-0005-0000-0000-0000D6240000}"/>
    <cellStyle name="Normal 2 2 3 2 2" xfId="4608" xr:uid="{00000000-0005-0000-0000-0000D7240000}"/>
    <cellStyle name="Normal 2 2 3 2 2 2" xfId="4609" xr:uid="{00000000-0005-0000-0000-0000D8240000}"/>
    <cellStyle name="Normal 2 2 3 2 2 2 2" xfId="10823" xr:uid="{00000000-0005-0000-0000-0000D9240000}"/>
    <cellStyle name="Normal 2 2 3 2 2 2 3" xfId="16978" xr:uid="{00000000-0005-0000-0000-0000DA240000}"/>
    <cellStyle name="Normal 2 2 3 2 2 3" xfId="4610" xr:uid="{00000000-0005-0000-0000-0000DB240000}"/>
    <cellStyle name="Normal 2 2 3 2 2 3 2" xfId="10824" xr:uid="{00000000-0005-0000-0000-0000DC240000}"/>
    <cellStyle name="Normal 2 2 3 2 2 3 3" xfId="16979" xr:uid="{00000000-0005-0000-0000-0000DD240000}"/>
    <cellStyle name="Normal 2 2 3 2 2 4" xfId="10822" xr:uid="{00000000-0005-0000-0000-0000DE240000}"/>
    <cellStyle name="Normal 2 2 3 2 2 5" xfId="16977" xr:uid="{00000000-0005-0000-0000-0000DF240000}"/>
    <cellStyle name="Normal 2 2 3 2 3" xfId="4611" xr:uid="{00000000-0005-0000-0000-0000E0240000}"/>
    <cellStyle name="Normal 2 2 3 2 3 2" xfId="4612" xr:uid="{00000000-0005-0000-0000-0000E1240000}"/>
    <cellStyle name="Normal 2 2 3 2 3 2 2" xfId="10826" xr:uid="{00000000-0005-0000-0000-0000E2240000}"/>
    <cellStyle name="Normal 2 2 3 2 3 2 3" xfId="16981" xr:uid="{00000000-0005-0000-0000-0000E3240000}"/>
    <cellStyle name="Normal 2 2 3 2 3 3" xfId="4613" xr:uid="{00000000-0005-0000-0000-0000E4240000}"/>
    <cellStyle name="Normal 2 2 3 2 3 3 2" xfId="10827" xr:uid="{00000000-0005-0000-0000-0000E5240000}"/>
    <cellStyle name="Normal 2 2 3 2 3 3 3" xfId="16982" xr:uid="{00000000-0005-0000-0000-0000E6240000}"/>
    <cellStyle name="Normal 2 2 3 2 3 4" xfId="10825" xr:uid="{00000000-0005-0000-0000-0000E7240000}"/>
    <cellStyle name="Normal 2 2 3 2 3 5" xfId="16980" xr:uid="{00000000-0005-0000-0000-0000E8240000}"/>
    <cellStyle name="Normal 2 2 3 2 4" xfId="4614" xr:uid="{00000000-0005-0000-0000-0000E9240000}"/>
    <cellStyle name="Normal 2 2 3 2 4 2" xfId="10828" xr:uid="{00000000-0005-0000-0000-0000EA240000}"/>
    <cellStyle name="Normal 2 2 3 2 4 3" xfId="16983" xr:uid="{00000000-0005-0000-0000-0000EB240000}"/>
    <cellStyle name="Normal 2 2 3 2 5" xfId="4615" xr:uid="{00000000-0005-0000-0000-0000EC240000}"/>
    <cellStyle name="Normal 2 2 3 2 5 2" xfId="10829" xr:uid="{00000000-0005-0000-0000-0000ED240000}"/>
    <cellStyle name="Normal 2 2 3 2 5 3" xfId="16984" xr:uid="{00000000-0005-0000-0000-0000EE240000}"/>
    <cellStyle name="Normal 2 2 3 2 6" xfId="10821" xr:uid="{00000000-0005-0000-0000-0000EF240000}"/>
    <cellStyle name="Normal 2 2 3 2 7" xfId="16976" xr:uid="{00000000-0005-0000-0000-0000F0240000}"/>
    <cellStyle name="Normal 2 2 3 3" xfId="4616" xr:uid="{00000000-0005-0000-0000-0000F1240000}"/>
    <cellStyle name="Normal 2 2 3 3 2" xfId="4617" xr:uid="{00000000-0005-0000-0000-0000F2240000}"/>
    <cellStyle name="Normal 2 2 3 3 2 2" xfId="10831" xr:uid="{00000000-0005-0000-0000-0000F3240000}"/>
    <cellStyle name="Normal 2 2 3 3 2 3" xfId="16986" xr:uid="{00000000-0005-0000-0000-0000F4240000}"/>
    <cellStyle name="Normal 2 2 3 3 3" xfId="4618" xr:uid="{00000000-0005-0000-0000-0000F5240000}"/>
    <cellStyle name="Normal 2 2 3 3 3 2" xfId="10832" xr:uid="{00000000-0005-0000-0000-0000F6240000}"/>
    <cellStyle name="Normal 2 2 3 3 3 3" xfId="16987" xr:uid="{00000000-0005-0000-0000-0000F7240000}"/>
    <cellStyle name="Normal 2 2 3 3 4" xfId="4619" xr:uid="{00000000-0005-0000-0000-0000F8240000}"/>
    <cellStyle name="Normal 2 2 3 3 4 2" xfId="10833" xr:uid="{00000000-0005-0000-0000-0000F9240000}"/>
    <cellStyle name="Normal 2 2 3 3 4 3" xfId="16988" xr:uid="{00000000-0005-0000-0000-0000FA240000}"/>
    <cellStyle name="Normal 2 2 3 3 5" xfId="4620" xr:uid="{00000000-0005-0000-0000-0000FB240000}"/>
    <cellStyle name="Normal 2 2 3 3 5 2" xfId="10834" xr:uid="{00000000-0005-0000-0000-0000FC240000}"/>
    <cellStyle name="Normal 2 2 3 3 5 3" xfId="16989" xr:uid="{00000000-0005-0000-0000-0000FD240000}"/>
    <cellStyle name="Normal 2 2 3 3 6" xfId="10830" xr:uid="{00000000-0005-0000-0000-0000FE240000}"/>
    <cellStyle name="Normal 2 2 3 3 7" xfId="16985" xr:uid="{00000000-0005-0000-0000-0000FF240000}"/>
    <cellStyle name="Normal 2 2 3 4" xfId="4621" xr:uid="{00000000-0005-0000-0000-000000250000}"/>
    <cellStyle name="Normal 2 2 3 4 2" xfId="4622" xr:uid="{00000000-0005-0000-0000-000001250000}"/>
    <cellStyle name="Normal 2 2 3 4 2 2" xfId="10836" xr:uid="{00000000-0005-0000-0000-000002250000}"/>
    <cellStyle name="Normal 2 2 3 4 2 3" xfId="16991" xr:uid="{00000000-0005-0000-0000-000003250000}"/>
    <cellStyle name="Normal 2 2 3 4 3" xfId="4623" xr:uid="{00000000-0005-0000-0000-000004250000}"/>
    <cellStyle name="Normal 2 2 3 4 3 2" xfId="10837" xr:uid="{00000000-0005-0000-0000-000005250000}"/>
    <cellStyle name="Normal 2 2 3 4 3 3" xfId="16992" xr:uid="{00000000-0005-0000-0000-000006250000}"/>
    <cellStyle name="Normal 2 2 3 4 4" xfId="10835" xr:uid="{00000000-0005-0000-0000-000007250000}"/>
    <cellStyle name="Normal 2 2 3 4 5" xfId="16990" xr:uid="{00000000-0005-0000-0000-000008250000}"/>
    <cellStyle name="Normal 2 2 3 5" xfId="4624" xr:uid="{00000000-0005-0000-0000-000009250000}"/>
    <cellStyle name="Normal 2 2 3 5 2" xfId="4625" xr:uid="{00000000-0005-0000-0000-00000A250000}"/>
    <cellStyle name="Normal 2 2 3 5 2 2" xfId="10839" xr:uid="{00000000-0005-0000-0000-00000B250000}"/>
    <cellStyle name="Normal 2 2 3 5 2 3" xfId="16994" xr:uid="{00000000-0005-0000-0000-00000C250000}"/>
    <cellStyle name="Normal 2 2 3 5 3" xfId="4626" xr:uid="{00000000-0005-0000-0000-00000D250000}"/>
    <cellStyle name="Normal 2 2 3 5 3 2" xfId="10840" xr:uid="{00000000-0005-0000-0000-00000E250000}"/>
    <cellStyle name="Normal 2 2 3 5 3 3" xfId="16995" xr:uid="{00000000-0005-0000-0000-00000F250000}"/>
    <cellStyle name="Normal 2 2 3 5 4" xfId="10838" xr:uid="{00000000-0005-0000-0000-000010250000}"/>
    <cellStyle name="Normal 2 2 3 5 5" xfId="16993" xr:uid="{00000000-0005-0000-0000-000011250000}"/>
    <cellStyle name="Normal 2 2 3 6" xfId="4627" xr:uid="{00000000-0005-0000-0000-000012250000}"/>
    <cellStyle name="Normal 2 2 3 6 2" xfId="10841" xr:uid="{00000000-0005-0000-0000-000013250000}"/>
    <cellStyle name="Normal 2 2 3 6 3" xfId="16996" xr:uid="{00000000-0005-0000-0000-000014250000}"/>
    <cellStyle name="Normal 2 2 3 7" xfId="4628" xr:uid="{00000000-0005-0000-0000-000015250000}"/>
    <cellStyle name="Normal 2 2 3 7 2" xfId="10842" xr:uid="{00000000-0005-0000-0000-000016250000}"/>
    <cellStyle name="Normal 2 2 3 7 3" xfId="16997" xr:uid="{00000000-0005-0000-0000-000017250000}"/>
    <cellStyle name="Normal 2 2 3 8" xfId="4629" xr:uid="{00000000-0005-0000-0000-000018250000}"/>
    <cellStyle name="Normal 2 2 3 8 2" xfId="16998" xr:uid="{00000000-0005-0000-0000-000019250000}"/>
    <cellStyle name="Normal 2 2 3 9" xfId="10820" xr:uid="{00000000-0005-0000-0000-00001A250000}"/>
    <cellStyle name="Normal 2 2 4" xfId="4630" xr:uid="{00000000-0005-0000-0000-00001B250000}"/>
    <cellStyle name="Normal 2 2 4 2" xfId="4631" xr:uid="{00000000-0005-0000-0000-00001C250000}"/>
    <cellStyle name="Normal 2 2 4 2 2" xfId="4632" xr:uid="{00000000-0005-0000-0000-00001D250000}"/>
    <cellStyle name="Normal 2 2 4 2 2 2" xfId="10845" xr:uid="{00000000-0005-0000-0000-00001E250000}"/>
    <cellStyle name="Normal 2 2 4 2 2 3" xfId="17001" xr:uid="{00000000-0005-0000-0000-00001F250000}"/>
    <cellStyle name="Normal 2 2 4 2 3" xfId="4633" xr:uid="{00000000-0005-0000-0000-000020250000}"/>
    <cellStyle name="Normal 2 2 4 2 3 2" xfId="10846" xr:uid="{00000000-0005-0000-0000-000021250000}"/>
    <cellStyle name="Normal 2 2 4 2 3 3" xfId="17002" xr:uid="{00000000-0005-0000-0000-000022250000}"/>
    <cellStyle name="Normal 2 2 4 2 4" xfId="10844" xr:uid="{00000000-0005-0000-0000-000023250000}"/>
    <cellStyle name="Normal 2 2 4 2 5" xfId="17000" xr:uid="{00000000-0005-0000-0000-000024250000}"/>
    <cellStyle name="Normal 2 2 4 3" xfId="4634" xr:uid="{00000000-0005-0000-0000-000025250000}"/>
    <cellStyle name="Normal 2 2 4 3 2" xfId="4635" xr:uid="{00000000-0005-0000-0000-000026250000}"/>
    <cellStyle name="Normal 2 2 4 3 2 2" xfId="10848" xr:uid="{00000000-0005-0000-0000-000027250000}"/>
    <cellStyle name="Normal 2 2 4 3 2 3" xfId="17004" xr:uid="{00000000-0005-0000-0000-000028250000}"/>
    <cellStyle name="Normal 2 2 4 3 3" xfId="4636" xr:uid="{00000000-0005-0000-0000-000029250000}"/>
    <cellStyle name="Normal 2 2 4 3 3 2" xfId="10849" xr:uid="{00000000-0005-0000-0000-00002A250000}"/>
    <cellStyle name="Normal 2 2 4 3 3 3" xfId="17005" xr:uid="{00000000-0005-0000-0000-00002B250000}"/>
    <cellStyle name="Normal 2 2 4 3 4" xfId="10847" xr:uid="{00000000-0005-0000-0000-00002C250000}"/>
    <cellStyle name="Normal 2 2 4 3 5" xfId="17003" xr:uid="{00000000-0005-0000-0000-00002D250000}"/>
    <cellStyle name="Normal 2 2 4 4" xfId="4637" xr:uid="{00000000-0005-0000-0000-00002E250000}"/>
    <cellStyle name="Normal 2 2 4 4 2" xfId="10850" xr:uid="{00000000-0005-0000-0000-00002F250000}"/>
    <cellStyle name="Normal 2 2 4 4 3" xfId="17006" xr:uid="{00000000-0005-0000-0000-000030250000}"/>
    <cellStyle name="Normal 2 2 4 5" xfId="4638" xr:uid="{00000000-0005-0000-0000-000031250000}"/>
    <cellStyle name="Normal 2 2 4 5 2" xfId="10851" xr:uid="{00000000-0005-0000-0000-000032250000}"/>
    <cellStyle name="Normal 2 2 4 5 3" xfId="17007" xr:uid="{00000000-0005-0000-0000-000033250000}"/>
    <cellStyle name="Normal 2 2 4 6" xfId="4639" xr:uid="{00000000-0005-0000-0000-000034250000}"/>
    <cellStyle name="Normal 2 2 4 6 2" xfId="17008" xr:uid="{00000000-0005-0000-0000-000035250000}"/>
    <cellStyle name="Normal 2 2 4 7" xfId="10843" xr:uid="{00000000-0005-0000-0000-000036250000}"/>
    <cellStyle name="Normal 2 2 4 8" xfId="16999" xr:uid="{00000000-0005-0000-0000-000037250000}"/>
    <cellStyle name="Normal 2 2 5" xfId="4640" xr:uid="{00000000-0005-0000-0000-000038250000}"/>
    <cellStyle name="Normal 2 2 5 2" xfId="4641" xr:uid="{00000000-0005-0000-0000-000039250000}"/>
    <cellStyle name="Normal 2 2 5 2 2" xfId="10853" xr:uid="{00000000-0005-0000-0000-00003A250000}"/>
    <cellStyle name="Normal 2 2 5 2 3" xfId="17010" xr:uid="{00000000-0005-0000-0000-00003B250000}"/>
    <cellStyle name="Normal 2 2 5 3" xfId="4642" xr:uid="{00000000-0005-0000-0000-00003C250000}"/>
    <cellStyle name="Normal 2 2 5 3 2" xfId="10854" xr:uid="{00000000-0005-0000-0000-00003D250000}"/>
    <cellStyle name="Normal 2 2 5 3 3" xfId="17011" xr:uid="{00000000-0005-0000-0000-00003E250000}"/>
    <cellStyle name="Normal 2 2 5 4" xfId="4643" xr:uid="{00000000-0005-0000-0000-00003F250000}"/>
    <cellStyle name="Normal 2 2 5 4 2" xfId="10855" xr:uid="{00000000-0005-0000-0000-000040250000}"/>
    <cellStyle name="Normal 2 2 5 4 3" xfId="17012" xr:uid="{00000000-0005-0000-0000-000041250000}"/>
    <cellStyle name="Normal 2 2 5 5" xfId="4644" xr:uid="{00000000-0005-0000-0000-000042250000}"/>
    <cellStyle name="Normal 2 2 5 5 2" xfId="10856" xr:uid="{00000000-0005-0000-0000-000043250000}"/>
    <cellStyle name="Normal 2 2 5 5 3" xfId="17013" xr:uid="{00000000-0005-0000-0000-000044250000}"/>
    <cellStyle name="Normal 2 2 5 6" xfId="10852" xr:uid="{00000000-0005-0000-0000-000045250000}"/>
    <cellStyle name="Normal 2 2 5 7" xfId="17009" xr:uid="{00000000-0005-0000-0000-000046250000}"/>
    <cellStyle name="Normal 2 2 6" xfId="4645" xr:uid="{00000000-0005-0000-0000-000047250000}"/>
    <cellStyle name="Normal 2 2 6 2" xfId="4646" xr:uid="{00000000-0005-0000-0000-000048250000}"/>
    <cellStyle name="Normal 2 2 6 2 2" xfId="10858" xr:uid="{00000000-0005-0000-0000-000049250000}"/>
    <cellStyle name="Normal 2 2 6 2 3" xfId="17015" xr:uid="{00000000-0005-0000-0000-00004A250000}"/>
    <cellStyle name="Normal 2 2 6 3" xfId="4647" xr:uid="{00000000-0005-0000-0000-00004B250000}"/>
    <cellStyle name="Normal 2 2 6 3 2" xfId="10859" xr:uid="{00000000-0005-0000-0000-00004C250000}"/>
    <cellStyle name="Normal 2 2 6 3 3" xfId="17016" xr:uid="{00000000-0005-0000-0000-00004D250000}"/>
    <cellStyle name="Normal 2 2 6 4" xfId="10857" xr:uid="{00000000-0005-0000-0000-00004E250000}"/>
    <cellStyle name="Normal 2 2 6 5" xfId="17014" xr:uid="{00000000-0005-0000-0000-00004F250000}"/>
    <cellStyle name="Normal 2 2 7" xfId="4648" xr:uid="{00000000-0005-0000-0000-000050250000}"/>
    <cellStyle name="Normal 2 2 7 2" xfId="4649" xr:uid="{00000000-0005-0000-0000-000051250000}"/>
    <cellStyle name="Normal 2 2 7 2 2" xfId="10861" xr:uid="{00000000-0005-0000-0000-000052250000}"/>
    <cellStyle name="Normal 2 2 7 2 3" xfId="17018" xr:uid="{00000000-0005-0000-0000-000053250000}"/>
    <cellStyle name="Normal 2 2 7 3" xfId="4650" xr:uid="{00000000-0005-0000-0000-000054250000}"/>
    <cellStyle name="Normal 2 2 7 3 2" xfId="10862" xr:uid="{00000000-0005-0000-0000-000055250000}"/>
    <cellStyle name="Normal 2 2 7 3 3" xfId="17019" xr:uid="{00000000-0005-0000-0000-000056250000}"/>
    <cellStyle name="Normal 2 2 7 4" xfId="10860" xr:uid="{00000000-0005-0000-0000-000057250000}"/>
    <cellStyle name="Normal 2 2 7 5" xfId="17017" xr:uid="{00000000-0005-0000-0000-000058250000}"/>
    <cellStyle name="Normal 2 2 8" xfId="4651" xr:uid="{00000000-0005-0000-0000-000059250000}"/>
    <cellStyle name="Normal 2 2 8 2" xfId="10863" xr:uid="{00000000-0005-0000-0000-00005A250000}"/>
    <cellStyle name="Normal 2 2 8 3" xfId="17020" xr:uid="{00000000-0005-0000-0000-00005B250000}"/>
    <cellStyle name="Normal 2 2 9" xfId="4652" xr:uid="{00000000-0005-0000-0000-00005C250000}"/>
    <cellStyle name="Normal 2 2 9 2" xfId="10864" xr:uid="{00000000-0005-0000-0000-00005D250000}"/>
    <cellStyle name="Normal 2 2 9 3" xfId="17021" xr:uid="{00000000-0005-0000-0000-00005E250000}"/>
    <cellStyle name="Normal 2 2_10051" xfId="4653" xr:uid="{00000000-0005-0000-0000-00005F250000}"/>
    <cellStyle name="Normal 2 20" xfId="15201" xr:uid="{00000000-0005-0000-0000-000060250000}"/>
    <cellStyle name="Normal 2 21" xfId="15204" xr:uid="{00000000-0005-0000-0000-000061250000}"/>
    <cellStyle name="Normal 2 22" xfId="15200" xr:uid="{00000000-0005-0000-0000-000062250000}"/>
    <cellStyle name="Normal 2 23" xfId="15208" xr:uid="{00000000-0005-0000-0000-000063250000}"/>
    <cellStyle name="Normal 2 24" xfId="15211" xr:uid="{00000000-0005-0000-0000-000064250000}"/>
    <cellStyle name="Normal 2 25" xfId="15207" xr:uid="{00000000-0005-0000-0000-000065250000}"/>
    <cellStyle name="Normal 2 26" xfId="16902" xr:uid="{00000000-0005-0000-0000-000066250000}"/>
    <cellStyle name="Normal 2 27" xfId="23003" xr:uid="{00000000-0005-0000-0000-000067250000}"/>
    <cellStyle name="Normal 2 28" xfId="23002" xr:uid="{00000000-0005-0000-0000-000068250000}"/>
    <cellStyle name="Normal 2 29" xfId="23007" xr:uid="{00000000-0005-0000-0000-000069250000}"/>
    <cellStyle name="Normal 2 3" xfId="4654" xr:uid="{00000000-0005-0000-0000-00006A250000}"/>
    <cellStyle name="Normal 2 3 2" xfId="4655" xr:uid="{00000000-0005-0000-0000-00006B250000}"/>
    <cellStyle name="Normal 2 3 2 2" xfId="4656" xr:uid="{00000000-0005-0000-0000-00006C250000}"/>
    <cellStyle name="Normal 2 3 2 2 2" xfId="10867" xr:uid="{00000000-0005-0000-0000-00006D250000}"/>
    <cellStyle name="Normal 2 3 2 2 3" xfId="17024" xr:uid="{00000000-0005-0000-0000-00006E250000}"/>
    <cellStyle name="Normal 2 3 2 3" xfId="4657" xr:uid="{00000000-0005-0000-0000-00006F250000}"/>
    <cellStyle name="Normal 2 3 2 3 2" xfId="10868" xr:uid="{00000000-0005-0000-0000-000070250000}"/>
    <cellStyle name="Normal 2 3 2 3 3" xfId="17025" xr:uid="{00000000-0005-0000-0000-000071250000}"/>
    <cellStyle name="Normal 2 3 2 4" xfId="4658" xr:uid="{00000000-0005-0000-0000-000072250000}"/>
    <cellStyle name="Normal 2 3 2 4 2" xfId="17026" xr:uid="{00000000-0005-0000-0000-000073250000}"/>
    <cellStyle name="Normal 2 3 2 5" xfId="10866" xr:uid="{00000000-0005-0000-0000-000074250000}"/>
    <cellStyle name="Normal 2 3 2 6" xfId="17023" xr:uid="{00000000-0005-0000-0000-000075250000}"/>
    <cellStyle name="Normal 2 3 2_Active emp List" xfId="4659" xr:uid="{00000000-0005-0000-0000-000076250000}"/>
    <cellStyle name="Normal 2 3 3" xfId="4660" xr:uid="{00000000-0005-0000-0000-000077250000}"/>
    <cellStyle name="Normal 2 3 3 2" xfId="4661" xr:uid="{00000000-0005-0000-0000-000078250000}"/>
    <cellStyle name="Normal 2 3 3 2 2" xfId="4662" xr:uid="{00000000-0005-0000-0000-000079250000}"/>
    <cellStyle name="Normal 2 3 3 2 2 2" xfId="10871" xr:uid="{00000000-0005-0000-0000-00007A250000}"/>
    <cellStyle name="Normal 2 3 3 2 2 3" xfId="17029" xr:uid="{00000000-0005-0000-0000-00007B250000}"/>
    <cellStyle name="Normal 2 3 3 2 3" xfId="4663" xr:uid="{00000000-0005-0000-0000-00007C250000}"/>
    <cellStyle name="Normal 2 3 3 2 3 2" xfId="17030" xr:uid="{00000000-0005-0000-0000-00007D250000}"/>
    <cellStyle name="Normal 2 3 3 2 4" xfId="10870" xr:uid="{00000000-0005-0000-0000-00007E250000}"/>
    <cellStyle name="Normal 2 3 3 2 5" xfId="17028" xr:uid="{00000000-0005-0000-0000-00007F250000}"/>
    <cellStyle name="Normal 2 3 3 3" xfId="4664" xr:uid="{00000000-0005-0000-0000-000080250000}"/>
    <cellStyle name="Normal 2 3 3 3 2" xfId="10872" xr:uid="{00000000-0005-0000-0000-000081250000}"/>
    <cellStyle name="Normal 2 3 3 3 3" xfId="17031" xr:uid="{00000000-0005-0000-0000-000082250000}"/>
    <cellStyle name="Normal 2 3 3 4" xfId="4665" xr:uid="{00000000-0005-0000-0000-000083250000}"/>
    <cellStyle name="Normal 2 3 3 4 2" xfId="17032" xr:uid="{00000000-0005-0000-0000-000084250000}"/>
    <cellStyle name="Normal 2 3 3 5" xfId="10869" xr:uid="{00000000-0005-0000-0000-000085250000}"/>
    <cellStyle name="Normal 2 3 3 6" xfId="17027" xr:uid="{00000000-0005-0000-0000-000086250000}"/>
    <cellStyle name="Normal 2 3 4" xfId="4666" xr:uid="{00000000-0005-0000-0000-000087250000}"/>
    <cellStyle name="Normal 2 3 4 2" xfId="4667" xr:uid="{00000000-0005-0000-0000-000088250000}"/>
    <cellStyle name="Normal 2 3 4 2 2" xfId="10874" xr:uid="{00000000-0005-0000-0000-000089250000}"/>
    <cellStyle name="Normal 2 3 4 2 3" xfId="17034" xr:uid="{00000000-0005-0000-0000-00008A250000}"/>
    <cellStyle name="Normal 2 3 4 3" xfId="4668" xr:uid="{00000000-0005-0000-0000-00008B250000}"/>
    <cellStyle name="Normal 2 3 4 3 2" xfId="17035" xr:uid="{00000000-0005-0000-0000-00008C250000}"/>
    <cellStyle name="Normal 2 3 4 4" xfId="10873" xr:uid="{00000000-0005-0000-0000-00008D250000}"/>
    <cellStyle name="Normal 2 3 4 5" xfId="17033" xr:uid="{00000000-0005-0000-0000-00008E250000}"/>
    <cellStyle name="Normal 2 3 5" xfId="4669" xr:uid="{00000000-0005-0000-0000-00008F250000}"/>
    <cellStyle name="Normal 2 3 5 2" xfId="10875" xr:uid="{00000000-0005-0000-0000-000090250000}"/>
    <cellStyle name="Normal 2 3 5 3" xfId="17036" xr:uid="{00000000-0005-0000-0000-000091250000}"/>
    <cellStyle name="Normal 2 3 6" xfId="4670" xr:uid="{00000000-0005-0000-0000-000092250000}"/>
    <cellStyle name="Normal 2 3 6 2" xfId="17037" xr:uid="{00000000-0005-0000-0000-000093250000}"/>
    <cellStyle name="Normal 2 3 7" xfId="10865" xr:uid="{00000000-0005-0000-0000-000094250000}"/>
    <cellStyle name="Normal 2 3 8" xfId="17022" xr:uid="{00000000-0005-0000-0000-000095250000}"/>
    <cellStyle name="Normal 2 3_2012 TV Budget" xfId="4671" xr:uid="{00000000-0005-0000-0000-000096250000}"/>
    <cellStyle name="Normal 2 30" xfId="23006" xr:uid="{00000000-0005-0000-0000-000097250000}"/>
    <cellStyle name="Normal 2 31" xfId="23009" xr:uid="{00000000-0005-0000-0000-000098250000}"/>
    <cellStyle name="Normal 2 32" xfId="23011" xr:uid="{00000000-0005-0000-0000-000099250000}"/>
    <cellStyle name="Normal 2 33" xfId="23013" xr:uid="{00000000-0005-0000-0000-00009A250000}"/>
    <cellStyle name="Normal 2 34" xfId="23015" xr:uid="{00000000-0005-0000-0000-00009B250000}"/>
    <cellStyle name="Normal 2 35" xfId="23017" xr:uid="{00000000-0005-0000-0000-00009C250000}"/>
    <cellStyle name="Normal 2 36" xfId="23030" xr:uid="{676F5438-B98A-4DCE-B099-E83A47981D6A}"/>
    <cellStyle name="Normal 2 4" xfId="4672" xr:uid="{00000000-0005-0000-0000-00009D250000}"/>
    <cellStyle name="Normal 2 4 2" xfId="4673" xr:uid="{00000000-0005-0000-0000-00009E250000}"/>
    <cellStyle name="Normal 2 4 2 2" xfId="4674" xr:uid="{00000000-0005-0000-0000-00009F250000}"/>
    <cellStyle name="Normal 2 4 2 2 2" xfId="4675" xr:uid="{00000000-0005-0000-0000-0000A0250000}"/>
    <cellStyle name="Normal 2 4 2 2 2 2" xfId="10879" xr:uid="{00000000-0005-0000-0000-0000A1250000}"/>
    <cellStyle name="Normal 2 4 2 2 2 3" xfId="17041" xr:uid="{00000000-0005-0000-0000-0000A2250000}"/>
    <cellStyle name="Normal 2 4 2 2 3" xfId="10878" xr:uid="{00000000-0005-0000-0000-0000A3250000}"/>
    <cellStyle name="Normal 2 4 2 2 4" xfId="17040" xr:uid="{00000000-0005-0000-0000-0000A4250000}"/>
    <cellStyle name="Normal 2 4 2 3" xfId="4676" xr:uid="{00000000-0005-0000-0000-0000A5250000}"/>
    <cellStyle name="Normal 2 4 2 3 2" xfId="10880" xr:uid="{00000000-0005-0000-0000-0000A6250000}"/>
    <cellStyle name="Normal 2 4 2 3 3" xfId="17042" xr:uid="{00000000-0005-0000-0000-0000A7250000}"/>
    <cellStyle name="Normal 2 4 2 4" xfId="4677" xr:uid="{00000000-0005-0000-0000-0000A8250000}"/>
    <cellStyle name="Normal 2 4 2 4 2" xfId="10881" xr:uid="{00000000-0005-0000-0000-0000A9250000}"/>
    <cellStyle name="Normal 2 4 2 4 3" xfId="17043" xr:uid="{00000000-0005-0000-0000-0000AA250000}"/>
    <cellStyle name="Normal 2 4 2 5" xfId="4678" xr:uid="{00000000-0005-0000-0000-0000AB250000}"/>
    <cellStyle name="Normal 2 4 2 5 2" xfId="10882" xr:uid="{00000000-0005-0000-0000-0000AC250000}"/>
    <cellStyle name="Normal 2 4 2 5 3" xfId="17044" xr:uid="{00000000-0005-0000-0000-0000AD250000}"/>
    <cellStyle name="Normal 2 4 2 6" xfId="4679" xr:uid="{00000000-0005-0000-0000-0000AE250000}"/>
    <cellStyle name="Normal 2 4 2 6 2" xfId="10883" xr:uid="{00000000-0005-0000-0000-0000AF250000}"/>
    <cellStyle name="Normal 2 4 2 6 3" xfId="17045" xr:uid="{00000000-0005-0000-0000-0000B0250000}"/>
    <cellStyle name="Normal 2 4 2 7" xfId="4680" xr:uid="{00000000-0005-0000-0000-0000B1250000}"/>
    <cellStyle name="Normal 2 4 2 7 2" xfId="17046" xr:uid="{00000000-0005-0000-0000-0000B2250000}"/>
    <cellStyle name="Normal 2 4 2 8" xfId="10877" xr:uid="{00000000-0005-0000-0000-0000B3250000}"/>
    <cellStyle name="Normal 2 4 2 9" xfId="17039" xr:uid="{00000000-0005-0000-0000-0000B4250000}"/>
    <cellStyle name="Normal 2 4 3" xfId="4681" xr:uid="{00000000-0005-0000-0000-0000B5250000}"/>
    <cellStyle name="Normal 2 4 3 2" xfId="4682" xr:uid="{00000000-0005-0000-0000-0000B6250000}"/>
    <cellStyle name="Normal 2 4 3 2 2" xfId="10885" xr:uid="{00000000-0005-0000-0000-0000B7250000}"/>
    <cellStyle name="Normal 2 4 3 2 3" xfId="17048" xr:uid="{00000000-0005-0000-0000-0000B8250000}"/>
    <cellStyle name="Normal 2 4 3 3" xfId="4683" xr:uid="{00000000-0005-0000-0000-0000B9250000}"/>
    <cellStyle name="Normal 2 4 3 3 2" xfId="10886" xr:uid="{00000000-0005-0000-0000-0000BA250000}"/>
    <cellStyle name="Normal 2 4 3 3 3" xfId="17049" xr:uid="{00000000-0005-0000-0000-0000BB250000}"/>
    <cellStyle name="Normal 2 4 3 4" xfId="10884" xr:uid="{00000000-0005-0000-0000-0000BC250000}"/>
    <cellStyle name="Normal 2 4 3 5" xfId="17047" xr:uid="{00000000-0005-0000-0000-0000BD250000}"/>
    <cellStyle name="Normal 2 4 4" xfId="4684" xr:uid="{00000000-0005-0000-0000-0000BE250000}"/>
    <cellStyle name="Normal 2 4 4 2" xfId="4685" xr:uid="{00000000-0005-0000-0000-0000BF250000}"/>
    <cellStyle name="Normal 2 4 4 2 2" xfId="10888" xr:uid="{00000000-0005-0000-0000-0000C0250000}"/>
    <cellStyle name="Normal 2 4 4 2 3" xfId="17051" xr:uid="{00000000-0005-0000-0000-0000C1250000}"/>
    <cellStyle name="Normal 2 4 4 3" xfId="4686" xr:uid="{00000000-0005-0000-0000-0000C2250000}"/>
    <cellStyle name="Normal 2 4 4 3 2" xfId="10889" xr:uid="{00000000-0005-0000-0000-0000C3250000}"/>
    <cellStyle name="Normal 2 4 4 3 3" xfId="17052" xr:uid="{00000000-0005-0000-0000-0000C4250000}"/>
    <cellStyle name="Normal 2 4 4 4" xfId="10887" xr:uid="{00000000-0005-0000-0000-0000C5250000}"/>
    <cellStyle name="Normal 2 4 4 5" xfId="17050" xr:uid="{00000000-0005-0000-0000-0000C6250000}"/>
    <cellStyle name="Normal 2 4 5" xfId="4687" xr:uid="{00000000-0005-0000-0000-0000C7250000}"/>
    <cellStyle name="Normal 2 4 5 2" xfId="10890" xr:uid="{00000000-0005-0000-0000-0000C8250000}"/>
    <cellStyle name="Normal 2 4 5 3" xfId="17053" xr:uid="{00000000-0005-0000-0000-0000C9250000}"/>
    <cellStyle name="Normal 2 4 6" xfId="4688" xr:uid="{00000000-0005-0000-0000-0000CA250000}"/>
    <cellStyle name="Normal 2 4 6 2" xfId="10891" xr:uid="{00000000-0005-0000-0000-0000CB250000}"/>
    <cellStyle name="Normal 2 4 6 3" xfId="17054" xr:uid="{00000000-0005-0000-0000-0000CC250000}"/>
    <cellStyle name="Normal 2 4 7" xfId="4689" xr:uid="{00000000-0005-0000-0000-0000CD250000}"/>
    <cellStyle name="Normal 2 4 7 2" xfId="17055" xr:uid="{00000000-0005-0000-0000-0000CE250000}"/>
    <cellStyle name="Normal 2 4 8" xfId="10876" xr:uid="{00000000-0005-0000-0000-0000CF250000}"/>
    <cellStyle name="Normal 2 4 9" xfId="17038" xr:uid="{00000000-0005-0000-0000-0000D0250000}"/>
    <cellStyle name="Normal 2 5" xfId="4690" xr:uid="{00000000-0005-0000-0000-0000D1250000}"/>
    <cellStyle name="Normal 2 5 2" xfId="4691" xr:uid="{00000000-0005-0000-0000-0000D2250000}"/>
    <cellStyle name="Normal 2 5 2 2" xfId="10893" xr:uid="{00000000-0005-0000-0000-0000D3250000}"/>
    <cellStyle name="Normal 2 5 2 3" xfId="17057" xr:uid="{00000000-0005-0000-0000-0000D4250000}"/>
    <cellStyle name="Normal 2 5 3" xfId="4692" xr:uid="{00000000-0005-0000-0000-0000D5250000}"/>
    <cellStyle name="Normal 2 5 3 2" xfId="10894" xr:uid="{00000000-0005-0000-0000-0000D6250000}"/>
    <cellStyle name="Normal 2 5 3 3" xfId="17058" xr:uid="{00000000-0005-0000-0000-0000D7250000}"/>
    <cellStyle name="Normal 2 5 4" xfId="4693" xr:uid="{00000000-0005-0000-0000-0000D8250000}"/>
    <cellStyle name="Normal 2 5 4 2" xfId="17059" xr:uid="{00000000-0005-0000-0000-0000D9250000}"/>
    <cellStyle name="Normal 2 5 5" xfId="10892" xr:uid="{00000000-0005-0000-0000-0000DA250000}"/>
    <cellStyle name="Normal 2 5 6" xfId="17056" xr:uid="{00000000-0005-0000-0000-0000DB250000}"/>
    <cellStyle name="Normal 2 6" xfId="4694" xr:uid="{00000000-0005-0000-0000-0000DC250000}"/>
    <cellStyle name="Normal 2 6 2" xfId="4695" xr:uid="{00000000-0005-0000-0000-0000DD250000}"/>
    <cellStyle name="Normal 2 6 2 2" xfId="4696" xr:uid="{00000000-0005-0000-0000-0000DE250000}"/>
    <cellStyle name="Normal 2 6 2 2 2" xfId="10897" xr:uid="{00000000-0005-0000-0000-0000DF250000}"/>
    <cellStyle name="Normal 2 6 2 2 3" xfId="17062" xr:uid="{00000000-0005-0000-0000-0000E0250000}"/>
    <cellStyle name="Normal 2 6 2 3" xfId="10896" xr:uid="{00000000-0005-0000-0000-0000E1250000}"/>
    <cellStyle name="Normal 2 6 2 4" xfId="17061" xr:uid="{00000000-0005-0000-0000-0000E2250000}"/>
    <cellStyle name="Normal 2 6 3" xfId="4697" xr:uid="{00000000-0005-0000-0000-0000E3250000}"/>
    <cellStyle name="Normal 2 6 3 2" xfId="10898" xr:uid="{00000000-0005-0000-0000-0000E4250000}"/>
    <cellStyle name="Normal 2 6 3 3" xfId="17063" xr:uid="{00000000-0005-0000-0000-0000E5250000}"/>
    <cellStyle name="Normal 2 6 4" xfId="4698" xr:uid="{00000000-0005-0000-0000-0000E6250000}"/>
    <cellStyle name="Normal 2 6 4 2" xfId="10899" xr:uid="{00000000-0005-0000-0000-0000E7250000}"/>
    <cellStyle name="Normal 2 6 4 3" xfId="17064" xr:uid="{00000000-0005-0000-0000-0000E8250000}"/>
    <cellStyle name="Normal 2 6 5" xfId="4699" xr:uid="{00000000-0005-0000-0000-0000E9250000}"/>
    <cellStyle name="Normal 2 6 5 2" xfId="10900" xr:uid="{00000000-0005-0000-0000-0000EA250000}"/>
    <cellStyle name="Normal 2 6 5 3" xfId="17065" xr:uid="{00000000-0005-0000-0000-0000EB250000}"/>
    <cellStyle name="Normal 2 6 6" xfId="4700" xr:uid="{00000000-0005-0000-0000-0000EC250000}"/>
    <cellStyle name="Normal 2 6 6 2" xfId="17066" xr:uid="{00000000-0005-0000-0000-0000ED250000}"/>
    <cellStyle name="Normal 2 6 7" xfId="10895" xr:uid="{00000000-0005-0000-0000-0000EE250000}"/>
    <cellStyle name="Normal 2 6 8" xfId="17060" xr:uid="{00000000-0005-0000-0000-0000EF250000}"/>
    <cellStyle name="Normal 2 7" xfId="4701" xr:uid="{00000000-0005-0000-0000-0000F0250000}"/>
    <cellStyle name="Normal 2 7 2" xfId="4702" xr:uid="{00000000-0005-0000-0000-0000F1250000}"/>
    <cellStyle name="Normal 2 7 2 2" xfId="10902" xr:uid="{00000000-0005-0000-0000-0000F2250000}"/>
    <cellStyle name="Normal 2 7 2 3" xfId="17068" xr:uid="{00000000-0005-0000-0000-0000F3250000}"/>
    <cellStyle name="Normal 2 7 3" xfId="4703" xr:uid="{00000000-0005-0000-0000-0000F4250000}"/>
    <cellStyle name="Normal 2 7 3 2" xfId="10903" xr:uid="{00000000-0005-0000-0000-0000F5250000}"/>
    <cellStyle name="Normal 2 7 3 3" xfId="17069" xr:uid="{00000000-0005-0000-0000-0000F6250000}"/>
    <cellStyle name="Normal 2 7 4" xfId="4704" xr:uid="{00000000-0005-0000-0000-0000F7250000}"/>
    <cellStyle name="Normal 2 7 4 2" xfId="10904" xr:uid="{00000000-0005-0000-0000-0000F8250000}"/>
    <cellStyle name="Normal 2 7 4 3" xfId="17070" xr:uid="{00000000-0005-0000-0000-0000F9250000}"/>
    <cellStyle name="Normal 2 7 5" xfId="4705" xr:uid="{00000000-0005-0000-0000-0000FA250000}"/>
    <cellStyle name="Normal 2 7 5 2" xfId="10905" xr:uid="{00000000-0005-0000-0000-0000FB250000}"/>
    <cellStyle name="Normal 2 7 5 3" xfId="17071" xr:uid="{00000000-0005-0000-0000-0000FC250000}"/>
    <cellStyle name="Normal 2 7 6" xfId="4706" xr:uid="{00000000-0005-0000-0000-0000FD250000}"/>
    <cellStyle name="Normal 2 7 6 2" xfId="17072" xr:uid="{00000000-0005-0000-0000-0000FE250000}"/>
    <cellStyle name="Normal 2 7 7" xfId="10901" xr:uid="{00000000-0005-0000-0000-0000FF250000}"/>
    <cellStyle name="Normal 2 7 8" xfId="17067" xr:uid="{00000000-0005-0000-0000-000000260000}"/>
    <cellStyle name="Normal 2 8" xfId="4707" xr:uid="{00000000-0005-0000-0000-000001260000}"/>
    <cellStyle name="Normal 2 8 2" xfId="4708" xr:uid="{00000000-0005-0000-0000-000002260000}"/>
    <cellStyle name="Normal 2 8 2 2" xfId="4709" xr:uid="{00000000-0005-0000-0000-000003260000}"/>
    <cellStyle name="Normal 2 8 2 2 2" xfId="10908" xr:uid="{00000000-0005-0000-0000-000004260000}"/>
    <cellStyle name="Normal 2 8 2 2 3" xfId="17075" xr:uid="{00000000-0005-0000-0000-000005260000}"/>
    <cellStyle name="Normal 2 8 2 3" xfId="10907" xr:uid="{00000000-0005-0000-0000-000006260000}"/>
    <cellStyle name="Normal 2 8 2 4" xfId="17074" xr:uid="{00000000-0005-0000-0000-000007260000}"/>
    <cellStyle name="Normal 2 8 3" xfId="4710" xr:uid="{00000000-0005-0000-0000-000008260000}"/>
    <cellStyle name="Normal 2 8 3 2" xfId="10909" xr:uid="{00000000-0005-0000-0000-000009260000}"/>
    <cellStyle name="Normal 2 8 3 3" xfId="17076" xr:uid="{00000000-0005-0000-0000-00000A260000}"/>
    <cellStyle name="Normal 2 8 4" xfId="4711" xr:uid="{00000000-0005-0000-0000-00000B260000}"/>
    <cellStyle name="Normal 2 8 4 2" xfId="10910" xr:uid="{00000000-0005-0000-0000-00000C260000}"/>
    <cellStyle name="Normal 2 8 4 3" xfId="17077" xr:uid="{00000000-0005-0000-0000-00000D260000}"/>
    <cellStyle name="Normal 2 8 5" xfId="4712" xr:uid="{00000000-0005-0000-0000-00000E260000}"/>
    <cellStyle name="Normal 2 8 5 2" xfId="10911" xr:uid="{00000000-0005-0000-0000-00000F260000}"/>
    <cellStyle name="Normal 2 8 5 3" xfId="17078" xr:uid="{00000000-0005-0000-0000-000010260000}"/>
    <cellStyle name="Normal 2 8 6" xfId="4713" xr:uid="{00000000-0005-0000-0000-000011260000}"/>
    <cellStyle name="Normal 2 8 6 2" xfId="17079" xr:uid="{00000000-0005-0000-0000-000012260000}"/>
    <cellStyle name="Normal 2 8 7" xfId="10906" xr:uid="{00000000-0005-0000-0000-000013260000}"/>
    <cellStyle name="Normal 2 8 8" xfId="17073" xr:uid="{00000000-0005-0000-0000-000014260000}"/>
    <cellStyle name="Normal 2 9" xfId="4714" xr:uid="{00000000-0005-0000-0000-000015260000}"/>
    <cellStyle name="Normal 2 9 2" xfId="4715" xr:uid="{00000000-0005-0000-0000-000016260000}"/>
    <cellStyle name="Normal 2 9 2 2" xfId="10913" xr:uid="{00000000-0005-0000-0000-000017260000}"/>
    <cellStyle name="Normal 2 9 2 3" xfId="17081" xr:uid="{00000000-0005-0000-0000-000018260000}"/>
    <cellStyle name="Normal 2 9 3" xfId="4716" xr:uid="{00000000-0005-0000-0000-000019260000}"/>
    <cellStyle name="Normal 2 9 3 2" xfId="10914" xr:uid="{00000000-0005-0000-0000-00001A260000}"/>
    <cellStyle name="Normal 2 9 3 3" xfId="17082" xr:uid="{00000000-0005-0000-0000-00001B260000}"/>
    <cellStyle name="Normal 2 9 4" xfId="4717" xr:uid="{00000000-0005-0000-0000-00001C260000}"/>
    <cellStyle name="Normal 2 9 4 2" xfId="10915" xr:uid="{00000000-0005-0000-0000-00001D260000}"/>
    <cellStyle name="Normal 2 9 4 3" xfId="17083" xr:uid="{00000000-0005-0000-0000-00001E260000}"/>
    <cellStyle name="Normal 2 9 5" xfId="4718" xr:uid="{00000000-0005-0000-0000-00001F260000}"/>
    <cellStyle name="Normal 2 9 5 2" xfId="10916" xr:uid="{00000000-0005-0000-0000-000020260000}"/>
    <cellStyle name="Normal 2 9 5 3" xfId="17084" xr:uid="{00000000-0005-0000-0000-000021260000}"/>
    <cellStyle name="Normal 2 9 6" xfId="4719" xr:uid="{00000000-0005-0000-0000-000022260000}"/>
    <cellStyle name="Normal 2 9 6 2" xfId="17085" xr:uid="{00000000-0005-0000-0000-000023260000}"/>
    <cellStyle name="Normal 2 9 7" xfId="10912" xr:uid="{00000000-0005-0000-0000-000024260000}"/>
    <cellStyle name="Normal 2 9 8" xfId="17080" xr:uid="{00000000-0005-0000-0000-000025260000}"/>
    <cellStyle name="Normal 2_2009 Regulated Price Out" xfId="4720" xr:uid="{00000000-0005-0000-0000-000026260000}"/>
    <cellStyle name="Normal 20" xfId="4721" xr:uid="{00000000-0005-0000-0000-000027260000}"/>
    <cellStyle name="Normal 20 2" xfId="4722" xr:uid="{00000000-0005-0000-0000-000028260000}"/>
    <cellStyle name="Normal 20 2 2" xfId="4723" xr:uid="{00000000-0005-0000-0000-000029260000}"/>
    <cellStyle name="Normal 20 2 2 2" xfId="10919" xr:uid="{00000000-0005-0000-0000-00002A260000}"/>
    <cellStyle name="Normal 20 2 2 3" xfId="17088" xr:uid="{00000000-0005-0000-0000-00002B260000}"/>
    <cellStyle name="Normal 20 2 3" xfId="4724" xr:uid="{00000000-0005-0000-0000-00002C260000}"/>
    <cellStyle name="Normal 20 2 3 2" xfId="10920" xr:uid="{00000000-0005-0000-0000-00002D260000}"/>
    <cellStyle name="Normal 20 2 3 3" xfId="17089" xr:uid="{00000000-0005-0000-0000-00002E260000}"/>
    <cellStyle name="Normal 20 2 4" xfId="4725" xr:uid="{00000000-0005-0000-0000-00002F260000}"/>
    <cellStyle name="Normal 20 2 4 2" xfId="10921" xr:uid="{00000000-0005-0000-0000-000030260000}"/>
    <cellStyle name="Normal 20 2 4 3" xfId="17090" xr:uid="{00000000-0005-0000-0000-000031260000}"/>
    <cellStyle name="Normal 20 2 5" xfId="4726" xr:uid="{00000000-0005-0000-0000-000032260000}"/>
    <cellStyle name="Normal 20 2 5 2" xfId="17091" xr:uid="{00000000-0005-0000-0000-000033260000}"/>
    <cellStyle name="Normal 20 2 6" xfId="10918" xr:uid="{00000000-0005-0000-0000-000034260000}"/>
    <cellStyle name="Normal 20 2 7" xfId="17087" xr:uid="{00000000-0005-0000-0000-000035260000}"/>
    <cellStyle name="Normal 20 3" xfId="4727" xr:uid="{00000000-0005-0000-0000-000036260000}"/>
    <cellStyle name="Normal 20 3 2" xfId="4728" xr:uid="{00000000-0005-0000-0000-000037260000}"/>
    <cellStyle name="Normal 20 3 2 2" xfId="17093" xr:uid="{00000000-0005-0000-0000-000038260000}"/>
    <cellStyle name="Normal 20 3 3" xfId="10922" xr:uid="{00000000-0005-0000-0000-000039260000}"/>
    <cellStyle name="Normal 20 3 4" xfId="17092" xr:uid="{00000000-0005-0000-0000-00003A260000}"/>
    <cellStyle name="Normal 20 4" xfId="4729" xr:uid="{00000000-0005-0000-0000-00003B260000}"/>
    <cellStyle name="Normal 20 4 2" xfId="4730" xr:uid="{00000000-0005-0000-0000-00003C260000}"/>
    <cellStyle name="Normal 20 4 2 2" xfId="10924" xr:uid="{00000000-0005-0000-0000-00003D260000}"/>
    <cellStyle name="Normal 20 4 2 3" xfId="17095" xr:uid="{00000000-0005-0000-0000-00003E260000}"/>
    <cellStyle name="Normal 20 4 3" xfId="10923" xr:uid="{00000000-0005-0000-0000-00003F260000}"/>
    <cellStyle name="Normal 20 4 4" xfId="17094" xr:uid="{00000000-0005-0000-0000-000040260000}"/>
    <cellStyle name="Normal 20 5" xfId="4731" xr:uid="{00000000-0005-0000-0000-000041260000}"/>
    <cellStyle name="Normal 20 5 2" xfId="4732" xr:uid="{00000000-0005-0000-0000-000042260000}"/>
    <cellStyle name="Normal 20 5 2 2" xfId="17097" xr:uid="{00000000-0005-0000-0000-000043260000}"/>
    <cellStyle name="Normal 20 5 3" xfId="10925" xr:uid="{00000000-0005-0000-0000-000044260000}"/>
    <cellStyle name="Normal 20 5 4" xfId="17096" xr:uid="{00000000-0005-0000-0000-000045260000}"/>
    <cellStyle name="Normal 20 6" xfId="4733" xr:uid="{00000000-0005-0000-0000-000046260000}"/>
    <cellStyle name="Normal 20 6 2" xfId="10926" xr:uid="{00000000-0005-0000-0000-000047260000}"/>
    <cellStyle name="Normal 20 6 3" xfId="17098" xr:uid="{00000000-0005-0000-0000-000048260000}"/>
    <cellStyle name="Normal 20 7" xfId="4734" xr:uid="{00000000-0005-0000-0000-000049260000}"/>
    <cellStyle name="Normal 20 7 2" xfId="10927" xr:uid="{00000000-0005-0000-0000-00004A260000}"/>
    <cellStyle name="Normal 20 7 3" xfId="17099" xr:uid="{00000000-0005-0000-0000-00004B260000}"/>
    <cellStyle name="Normal 20 8" xfId="10917" xr:uid="{00000000-0005-0000-0000-00004C260000}"/>
    <cellStyle name="Normal 20 9" xfId="17086" xr:uid="{00000000-0005-0000-0000-00004D260000}"/>
    <cellStyle name="Normal 21" xfId="4735" xr:uid="{00000000-0005-0000-0000-00004E260000}"/>
    <cellStyle name="Normal 21 2" xfId="4736" xr:uid="{00000000-0005-0000-0000-00004F260000}"/>
    <cellStyle name="Normal 21 2 2" xfId="4737" xr:uid="{00000000-0005-0000-0000-000050260000}"/>
    <cellStyle name="Normal 21 2 2 2" xfId="10930" xr:uid="{00000000-0005-0000-0000-000051260000}"/>
    <cellStyle name="Normal 21 2 2 3" xfId="17102" xr:uid="{00000000-0005-0000-0000-000052260000}"/>
    <cellStyle name="Normal 21 2 3" xfId="4738" xr:uid="{00000000-0005-0000-0000-000053260000}"/>
    <cellStyle name="Normal 21 2 3 2" xfId="10931" xr:uid="{00000000-0005-0000-0000-000054260000}"/>
    <cellStyle name="Normal 21 2 3 3" xfId="17103" xr:uid="{00000000-0005-0000-0000-000055260000}"/>
    <cellStyle name="Normal 21 2 4" xfId="4739" xr:uid="{00000000-0005-0000-0000-000056260000}"/>
    <cellStyle name="Normal 21 2 4 2" xfId="10932" xr:uid="{00000000-0005-0000-0000-000057260000}"/>
    <cellStyle name="Normal 21 2 4 3" xfId="17104" xr:uid="{00000000-0005-0000-0000-000058260000}"/>
    <cellStyle name="Normal 21 2 5" xfId="4740" xr:uid="{00000000-0005-0000-0000-000059260000}"/>
    <cellStyle name="Normal 21 2 5 2" xfId="17105" xr:uid="{00000000-0005-0000-0000-00005A260000}"/>
    <cellStyle name="Normal 21 2 6" xfId="10929" xr:uid="{00000000-0005-0000-0000-00005B260000}"/>
    <cellStyle name="Normal 21 2 7" xfId="17101" xr:uid="{00000000-0005-0000-0000-00005C260000}"/>
    <cellStyle name="Normal 21 3" xfId="4741" xr:uid="{00000000-0005-0000-0000-00005D260000}"/>
    <cellStyle name="Normal 21 3 2" xfId="4742" xr:uid="{00000000-0005-0000-0000-00005E260000}"/>
    <cellStyle name="Normal 21 3 2 2" xfId="10934" xr:uid="{00000000-0005-0000-0000-00005F260000}"/>
    <cellStyle name="Normal 21 3 2 3" xfId="17107" xr:uid="{00000000-0005-0000-0000-000060260000}"/>
    <cellStyle name="Normal 21 3 3" xfId="10933" xr:uid="{00000000-0005-0000-0000-000061260000}"/>
    <cellStyle name="Normal 21 3 4" xfId="17106" xr:uid="{00000000-0005-0000-0000-000062260000}"/>
    <cellStyle name="Normal 21 4" xfId="4743" xr:uid="{00000000-0005-0000-0000-000063260000}"/>
    <cellStyle name="Normal 21 4 2" xfId="4744" xr:uid="{00000000-0005-0000-0000-000064260000}"/>
    <cellStyle name="Normal 21 4 2 2" xfId="17109" xr:uid="{00000000-0005-0000-0000-000065260000}"/>
    <cellStyle name="Normal 21 4 3" xfId="10935" xr:uid="{00000000-0005-0000-0000-000066260000}"/>
    <cellStyle name="Normal 21 4 4" xfId="17108" xr:uid="{00000000-0005-0000-0000-000067260000}"/>
    <cellStyle name="Normal 21 5" xfId="4745" xr:uid="{00000000-0005-0000-0000-000068260000}"/>
    <cellStyle name="Normal 21 5 2" xfId="10936" xr:uid="{00000000-0005-0000-0000-000069260000}"/>
    <cellStyle name="Normal 21 5 3" xfId="17110" xr:uid="{00000000-0005-0000-0000-00006A260000}"/>
    <cellStyle name="Normal 21 6" xfId="10928" xr:uid="{00000000-0005-0000-0000-00006B260000}"/>
    <cellStyle name="Normal 21 7" xfId="17100" xr:uid="{00000000-0005-0000-0000-00006C260000}"/>
    <cellStyle name="Normal 22" xfId="4746" xr:uid="{00000000-0005-0000-0000-00006D260000}"/>
    <cellStyle name="Normal 22 2" xfId="4747" xr:uid="{00000000-0005-0000-0000-00006E260000}"/>
    <cellStyle name="Normal 22 2 2" xfId="4748" xr:uid="{00000000-0005-0000-0000-00006F260000}"/>
    <cellStyle name="Normal 22 2 2 2" xfId="10939" xr:uid="{00000000-0005-0000-0000-000070260000}"/>
    <cellStyle name="Normal 22 2 2 3" xfId="17113" xr:uid="{00000000-0005-0000-0000-000071260000}"/>
    <cellStyle name="Normal 22 2 3" xfId="4749" xr:uid="{00000000-0005-0000-0000-000072260000}"/>
    <cellStyle name="Normal 22 2 3 2" xfId="10940" xr:uid="{00000000-0005-0000-0000-000073260000}"/>
    <cellStyle name="Normal 22 2 3 3" xfId="17114" xr:uid="{00000000-0005-0000-0000-000074260000}"/>
    <cellStyle name="Normal 22 2 4" xfId="4750" xr:uid="{00000000-0005-0000-0000-000075260000}"/>
    <cellStyle name="Normal 22 2 4 2" xfId="17115" xr:uid="{00000000-0005-0000-0000-000076260000}"/>
    <cellStyle name="Normal 22 2 5" xfId="10938" xr:uid="{00000000-0005-0000-0000-000077260000}"/>
    <cellStyle name="Normal 22 2 6" xfId="17112" xr:uid="{00000000-0005-0000-0000-000078260000}"/>
    <cellStyle name="Normal 22 3" xfId="4751" xr:uid="{00000000-0005-0000-0000-000079260000}"/>
    <cellStyle name="Normal 22 3 2" xfId="4752" xr:uid="{00000000-0005-0000-0000-00007A260000}"/>
    <cellStyle name="Normal 22 3 2 2" xfId="10942" xr:uid="{00000000-0005-0000-0000-00007B260000}"/>
    <cellStyle name="Normal 22 3 2 3" xfId="17117" xr:uid="{00000000-0005-0000-0000-00007C260000}"/>
    <cellStyle name="Normal 22 3 3" xfId="10941" xr:uid="{00000000-0005-0000-0000-00007D260000}"/>
    <cellStyle name="Normal 22 3 4" xfId="17116" xr:uid="{00000000-0005-0000-0000-00007E260000}"/>
    <cellStyle name="Normal 22 4" xfId="4753" xr:uid="{00000000-0005-0000-0000-00007F260000}"/>
    <cellStyle name="Normal 22 4 2" xfId="4754" xr:uid="{00000000-0005-0000-0000-000080260000}"/>
    <cellStyle name="Normal 22 4 2 2" xfId="17119" xr:uid="{00000000-0005-0000-0000-000081260000}"/>
    <cellStyle name="Normal 22 4 3" xfId="10943" xr:uid="{00000000-0005-0000-0000-000082260000}"/>
    <cellStyle name="Normal 22 4 4" xfId="17118" xr:uid="{00000000-0005-0000-0000-000083260000}"/>
    <cellStyle name="Normal 22 5" xfId="4755" xr:uid="{00000000-0005-0000-0000-000084260000}"/>
    <cellStyle name="Normal 22 5 2" xfId="10944" xr:uid="{00000000-0005-0000-0000-000085260000}"/>
    <cellStyle name="Normal 22 5 3" xfId="17120" xr:uid="{00000000-0005-0000-0000-000086260000}"/>
    <cellStyle name="Normal 22 6" xfId="10937" xr:uid="{00000000-0005-0000-0000-000087260000}"/>
    <cellStyle name="Normal 22 7" xfId="17111" xr:uid="{00000000-0005-0000-0000-000088260000}"/>
    <cellStyle name="Normal 23" xfId="4756" xr:uid="{00000000-0005-0000-0000-000089260000}"/>
    <cellStyle name="Normal 23 2" xfId="4757" xr:uid="{00000000-0005-0000-0000-00008A260000}"/>
    <cellStyle name="Normal 23 2 2" xfId="4758" xr:uid="{00000000-0005-0000-0000-00008B260000}"/>
    <cellStyle name="Normal 23 2 2 2" xfId="10947" xr:uid="{00000000-0005-0000-0000-00008C260000}"/>
    <cellStyle name="Normal 23 2 2 3" xfId="17123" xr:uid="{00000000-0005-0000-0000-00008D260000}"/>
    <cellStyle name="Normal 23 2 3" xfId="4759" xr:uid="{00000000-0005-0000-0000-00008E260000}"/>
    <cellStyle name="Normal 23 2 3 2" xfId="10948" xr:uid="{00000000-0005-0000-0000-00008F260000}"/>
    <cellStyle name="Normal 23 2 3 3" xfId="17124" xr:uid="{00000000-0005-0000-0000-000090260000}"/>
    <cellStyle name="Normal 23 2 4" xfId="4760" xr:uid="{00000000-0005-0000-0000-000091260000}"/>
    <cellStyle name="Normal 23 2 4 2" xfId="17125" xr:uid="{00000000-0005-0000-0000-000092260000}"/>
    <cellStyle name="Normal 23 2 5" xfId="10946" xr:uid="{00000000-0005-0000-0000-000093260000}"/>
    <cellStyle name="Normal 23 2 6" xfId="17122" xr:uid="{00000000-0005-0000-0000-000094260000}"/>
    <cellStyle name="Normal 23 3" xfId="4761" xr:uid="{00000000-0005-0000-0000-000095260000}"/>
    <cellStyle name="Normal 23 3 2" xfId="4762" xr:uid="{00000000-0005-0000-0000-000096260000}"/>
    <cellStyle name="Normal 23 3 2 2" xfId="10950" xr:uid="{00000000-0005-0000-0000-000097260000}"/>
    <cellStyle name="Normal 23 3 2 3" xfId="17127" xr:uid="{00000000-0005-0000-0000-000098260000}"/>
    <cellStyle name="Normal 23 3 3" xfId="4763" xr:uid="{00000000-0005-0000-0000-000099260000}"/>
    <cellStyle name="Normal 23 3 3 2" xfId="10951" xr:uid="{00000000-0005-0000-0000-00009A260000}"/>
    <cellStyle name="Normal 23 3 3 3" xfId="17128" xr:uid="{00000000-0005-0000-0000-00009B260000}"/>
    <cellStyle name="Normal 23 3 4" xfId="10949" xr:uid="{00000000-0005-0000-0000-00009C260000}"/>
    <cellStyle name="Normal 23 3 5" xfId="17126" xr:uid="{00000000-0005-0000-0000-00009D260000}"/>
    <cellStyle name="Normal 23 4" xfId="4764" xr:uid="{00000000-0005-0000-0000-00009E260000}"/>
    <cellStyle name="Normal 23 4 2" xfId="4765" xr:uid="{00000000-0005-0000-0000-00009F260000}"/>
    <cellStyle name="Normal 23 4 2 2" xfId="17130" xr:uid="{00000000-0005-0000-0000-0000A0260000}"/>
    <cellStyle name="Normal 23 4 3" xfId="10952" xr:uid="{00000000-0005-0000-0000-0000A1260000}"/>
    <cellStyle name="Normal 23 4 4" xfId="17129" xr:uid="{00000000-0005-0000-0000-0000A2260000}"/>
    <cellStyle name="Normal 23 5" xfId="10945" xr:uid="{00000000-0005-0000-0000-0000A3260000}"/>
    <cellStyle name="Normal 23 6" xfId="17121" xr:uid="{00000000-0005-0000-0000-0000A4260000}"/>
    <cellStyle name="Normal 24" xfId="4766" xr:uid="{00000000-0005-0000-0000-0000A5260000}"/>
    <cellStyle name="Normal 24 2" xfId="4767" xr:uid="{00000000-0005-0000-0000-0000A6260000}"/>
    <cellStyle name="Normal 24 2 2" xfId="4768" xr:uid="{00000000-0005-0000-0000-0000A7260000}"/>
    <cellStyle name="Normal 24 2 2 2" xfId="10955" xr:uid="{00000000-0005-0000-0000-0000A8260000}"/>
    <cellStyle name="Normal 24 2 2 3" xfId="17133" xr:uid="{00000000-0005-0000-0000-0000A9260000}"/>
    <cellStyle name="Normal 24 2 3" xfId="4769" xr:uid="{00000000-0005-0000-0000-0000AA260000}"/>
    <cellStyle name="Normal 24 2 3 2" xfId="10956" xr:uid="{00000000-0005-0000-0000-0000AB260000}"/>
    <cellStyle name="Normal 24 2 3 3" xfId="17134" xr:uid="{00000000-0005-0000-0000-0000AC260000}"/>
    <cellStyle name="Normal 24 2 4" xfId="4770" xr:uid="{00000000-0005-0000-0000-0000AD260000}"/>
    <cellStyle name="Normal 24 2 4 2" xfId="17135" xr:uid="{00000000-0005-0000-0000-0000AE260000}"/>
    <cellStyle name="Normal 24 2 5" xfId="10954" xr:uid="{00000000-0005-0000-0000-0000AF260000}"/>
    <cellStyle name="Normal 24 2 6" xfId="17132" xr:uid="{00000000-0005-0000-0000-0000B0260000}"/>
    <cellStyle name="Normal 24 3" xfId="4771" xr:uid="{00000000-0005-0000-0000-0000B1260000}"/>
    <cellStyle name="Normal 24 3 2" xfId="4772" xr:uid="{00000000-0005-0000-0000-0000B2260000}"/>
    <cellStyle name="Normal 24 3 2 2" xfId="10958" xr:uid="{00000000-0005-0000-0000-0000B3260000}"/>
    <cellStyle name="Normal 24 3 2 3" xfId="17137" xr:uid="{00000000-0005-0000-0000-0000B4260000}"/>
    <cellStyle name="Normal 24 3 3" xfId="10957" xr:uid="{00000000-0005-0000-0000-0000B5260000}"/>
    <cellStyle name="Normal 24 3 4" xfId="17136" xr:uid="{00000000-0005-0000-0000-0000B6260000}"/>
    <cellStyle name="Normal 24 4" xfId="4773" xr:uid="{00000000-0005-0000-0000-0000B7260000}"/>
    <cellStyle name="Normal 24 4 2" xfId="4774" xr:uid="{00000000-0005-0000-0000-0000B8260000}"/>
    <cellStyle name="Normal 24 4 2 2" xfId="17139" xr:uid="{00000000-0005-0000-0000-0000B9260000}"/>
    <cellStyle name="Normal 24 4 3" xfId="10959" xr:uid="{00000000-0005-0000-0000-0000BA260000}"/>
    <cellStyle name="Normal 24 4 4" xfId="17138" xr:uid="{00000000-0005-0000-0000-0000BB260000}"/>
    <cellStyle name="Normal 24 5" xfId="4775" xr:uid="{00000000-0005-0000-0000-0000BC260000}"/>
    <cellStyle name="Normal 24 5 2" xfId="10960" xr:uid="{00000000-0005-0000-0000-0000BD260000}"/>
    <cellStyle name="Normal 24 5 3" xfId="17140" xr:uid="{00000000-0005-0000-0000-0000BE260000}"/>
    <cellStyle name="Normal 24 6" xfId="10953" xr:uid="{00000000-0005-0000-0000-0000BF260000}"/>
    <cellStyle name="Normal 24 7" xfId="17131" xr:uid="{00000000-0005-0000-0000-0000C0260000}"/>
    <cellStyle name="Normal 25" xfId="4776" xr:uid="{00000000-0005-0000-0000-0000C1260000}"/>
    <cellStyle name="Normal 25 2" xfId="4777" xr:uid="{00000000-0005-0000-0000-0000C2260000}"/>
    <cellStyle name="Normal 25 2 2" xfId="4778" xr:uid="{00000000-0005-0000-0000-0000C3260000}"/>
    <cellStyle name="Normal 25 2 2 2" xfId="10963" xr:uid="{00000000-0005-0000-0000-0000C4260000}"/>
    <cellStyle name="Normal 25 2 2 3" xfId="17143" xr:uid="{00000000-0005-0000-0000-0000C5260000}"/>
    <cellStyle name="Normal 25 2 3" xfId="4779" xr:uid="{00000000-0005-0000-0000-0000C6260000}"/>
    <cellStyle name="Normal 25 2 3 2" xfId="10964" xr:uid="{00000000-0005-0000-0000-0000C7260000}"/>
    <cellStyle name="Normal 25 2 3 3" xfId="17144" xr:uid="{00000000-0005-0000-0000-0000C8260000}"/>
    <cellStyle name="Normal 25 2 4" xfId="10962" xr:uid="{00000000-0005-0000-0000-0000C9260000}"/>
    <cellStyle name="Normal 25 2 5" xfId="17142" xr:uid="{00000000-0005-0000-0000-0000CA260000}"/>
    <cellStyle name="Normal 25 3" xfId="4780" xr:uid="{00000000-0005-0000-0000-0000CB260000}"/>
    <cellStyle name="Normal 25 3 2" xfId="4781" xr:uid="{00000000-0005-0000-0000-0000CC260000}"/>
    <cellStyle name="Normal 25 3 2 2" xfId="10966" xr:uid="{00000000-0005-0000-0000-0000CD260000}"/>
    <cellStyle name="Normal 25 3 2 3" xfId="17146" xr:uid="{00000000-0005-0000-0000-0000CE260000}"/>
    <cellStyle name="Normal 25 3 3" xfId="4782" xr:uid="{00000000-0005-0000-0000-0000CF260000}"/>
    <cellStyle name="Normal 25 3 3 2" xfId="17147" xr:uid="{00000000-0005-0000-0000-0000D0260000}"/>
    <cellStyle name="Normal 25 3 4" xfId="10965" xr:uid="{00000000-0005-0000-0000-0000D1260000}"/>
    <cellStyle name="Normal 25 3 5" xfId="17145" xr:uid="{00000000-0005-0000-0000-0000D2260000}"/>
    <cellStyle name="Normal 25 4" xfId="4783" xr:uid="{00000000-0005-0000-0000-0000D3260000}"/>
    <cellStyle name="Normal 25 4 2" xfId="10967" xr:uid="{00000000-0005-0000-0000-0000D4260000}"/>
    <cellStyle name="Normal 25 4 3" xfId="17148" xr:uid="{00000000-0005-0000-0000-0000D5260000}"/>
    <cellStyle name="Normal 25 5" xfId="10961" xr:uid="{00000000-0005-0000-0000-0000D6260000}"/>
    <cellStyle name="Normal 25 6" xfId="17141" xr:uid="{00000000-0005-0000-0000-0000D7260000}"/>
    <cellStyle name="Normal 26" xfId="4784" xr:uid="{00000000-0005-0000-0000-0000D8260000}"/>
    <cellStyle name="Normal 26 2" xfId="4785" xr:uid="{00000000-0005-0000-0000-0000D9260000}"/>
    <cellStyle name="Normal 26 2 2" xfId="4786" xr:uid="{00000000-0005-0000-0000-0000DA260000}"/>
    <cellStyle name="Normal 26 2 2 2" xfId="10970" xr:uid="{00000000-0005-0000-0000-0000DB260000}"/>
    <cellStyle name="Normal 26 2 2 3" xfId="17151" xr:uid="{00000000-0005-0000-0000-0000DC260000}"/>
    <cellStyle name="Normal 26 2 3" xfId="4787" xr:uid="{00000000-0005-0000-0000-0000DD260000}"/>
    <cellStyle name="Normal 26 2 3 2" xfId="10971" xr:uid="{00000000-0005-0000-0000-0000DE260000}"/>
    <cellStyle name="Normal 26 2 3 3" xfId="17152" xr:uid="{00000000-0005-0000-0000-0000DF260000}"/>
    <cellStyle name="Normal 26 2 4" xfId="4788" xr:uid="{00000000-0005-0000-0000-0000E0260000}"/>
    <cellStyle name="Normal 26 2 4 2" xfId="17153" xr:uid="{00000000-0005-0000-0000-0000E1260000}"/>
    <cellStyle name="Normal 26 2 5" xfId="10969" xr:uid="{00000000-0005-0000-0000-0000E2260000}"/>
    <cellStyle name="Normal 26 2 6" xfId="17150" xr:uid="{00000000-0005-0000-0000-0000E3260000}"/>
    <cellStyle name="Normal 26 3" xfId="4789" xr:uid="{00000000-0005-0000-0000-0000E4260000}"/>
    <cellStyle name="Normal 26 3 2" xfId="10972" xr:uid="{00000000-0005-0000-0000-0000E5260000}"/>
    <cellStyle name="Normal 26 3 3" xfId="17154" xr:uid="{00000000-0005-0000-0000-0000E6260000}"/>
    <cellStyle name="Normal 26 4" xfId="4790" xr:uid="{00000000-0005-0000-0000-0000E7260000}"/>
    <cellStyle name="Normal 26 4 2" xfId="10973" xr:uid="{00000000-0005-0000-0000-0000E8260000}"/>
    <cellStyle name="Normal 26 4 3" xfId="17155" xr:uid="{00000000-0005-0000-0000-0000E9260000}"/>
    <cellStyle name="Normal 26 5" xfId="4791" xr:uid="{00000000-0005-0000-0000-0000EA260000}"/>
    <cellStyle name="Normal 26 5 2" xfId="17156" xr:uid="{00000000-0005-0000-0000-0000EB260000}"/>
    <cellStyle name="Normal 26 6" xfId="10968" xr:uid="{00000000-0005-0000-0000-0000EC260000}"/>
    <cellStyle name="Normal 26 7" xfId="17149" xr:uid="{00000000-0005-0000-0000-0000ED260000}"/>
    <cellStyle name="Normal 27" xfId="4792" xr:uid="{00000000-0005-0000-0000-0000EE260000}"/>
    <cellStyle name="Normal 27 2" xfId="4793" xr:uid="{00000000-0005-0000-0000-0000EF260000}"/>
    <cellStyle name="Normal 27 2 2" xfId="4794" xr:uid="{00000000-0005-0000-0000-0000F0260000}"/>
    <cellStyle name="Normal 27 2 2 2" xfId="4795" xr:uid="{00000000-0005-0000-0000-0000F1260000}"/>
    <cellStyle name="Normal 27 2 2 2 2" xfId="10977" xr:uid="{00000000-0005-0000-0000-0000F2260000}"/>
    <cellStyle name="Normal 27 2 2 2 3" xfId="17160" xr:uid="{00000000-0005-0000-0000-0000F3260000}"/>
    <cellStyle name="Normal 27 2 2 3" xfId="10976" xr:uid="{00000000-0005-0000-0000-0000F4260000}"/>
    <cellStyle name="Normal 27 2 2 4" xfId="17159" xr:uid="{00000000-0005-0000-0000-0000F5260000}"/>
    <cellStyle name="Normal 27 2 3" xfId="4796" xr:uid="{00000000-0005-0000-0000-0000F6260000}"/>
    <cellStyle name="Normal 27 2 3 2" xfId="17161" xr:uid="{00000000-0005-0000-0000-0000F7260000}"/>
    <cellStyle name="Normal 27 2 4" xfId="10975" xr:uid="{00000000-0005-0000-0000-0000F8260000}"/>
    <cellStyle name="Normal 27 2 5" xfId="17158" xr:uid="{00000000-0005-0000-0000-0000F9260000}"/>
    <cellStyle name="Normal 27 3" xfId="4797" xr:uid="{00000000-0005-0000-0000-0000FA260000}"/>
    <cellStyle name="Normal 27 3 2" xfId="4798" xr:uid="{00000000-0005-0000-0000-0000FB260000}"/>
    <cellStyle name="Normal 27 3 2 2" xfId="10979" xr:uid="{00000000-0005-0000-0000-0000FC260000}"/>
    <cellStyle name="Normal 27 3 2 3" xfId="17163" xr:uid="{00000000-0005-0000-0000-0000FD260000}"/>
    <cellStyle name="Normal 27 3 3" xfId="4799" xr:uid="{00000000-0005-0000-0000-0000FE260000}"/>
    <cellStyle name="Normal 27 3 3 2" xfId="10980" xr:uid="{00000000-0005-0000-0000-0000FF260000}"/>
    <cellStyle name="Normal 27 3 3 3" xfId="17164" xr:uid="{00000000-0005-0000-0000-000000270000}"/>
    <cellStyle name="Normal 27 3 4" xfId="4800" xr:uid="{00000000-0005-0000-0000-000001270000}"/>
    <cellStyle name="Normal 27 3 4 2" xfId="17165" xr:uid="{00000000-0005-0000-0000-000002270000}"/>
    <cellStyle name="Normal 27 3 5" xfId="10978" xr:uid="{00000000-0005-0000-0000-000003270000}"/>
    <cellStyle name="Normal 27 3 6" xfId="17162" xr:uid="{00000000-0005-0000-0000-000004270000}"/>
    <cellStyle name="Normal 27 4" xfId="4801" xr:uid="{00000000-0005-0000-0000-000005270000}"/>
    <cellStyle name="Normal 27 4 2" xfId="4802" xr:uid="{00000000-0005-0000-0000-000006270000}"/>
    <cellStyle name="Normal 27 4 2 2" xfId="17167" xr:uid="{00000000-0005-0000-0000-000007270000}"/>
    <cellStyle name="Normal 27 4 3" xfId="10981" xr:uid="{00000000-0005-0000-0000-000008270000}"/>
    <cellStyle name="Normal 27 4 4" xfId="17166" xr:uid="{00000000-0005-0000-0000-000009270000}"/>
    <cellStyle name="Normal 27 5" xfId="4803" xr:uid="{00000000-0005-0000-0000-00000A270000}"/>
    <cellStyle name="Normal 27 5 2" xfId="10982" xr:uid="{00000000-0005-0000-0000-00000B270000}"/>
    <cellStyle name="Normal 27 5 3" xfId="17168" xr:uid="{00000000-0005-0000-0000-00000C270000}"/>
    <cellStyle name="Normal 27 6" xfId="10974" xr:uid="{00000000-0005-0000-0000-00000D270000}"/>
    <cellStyle name="Normal 27 7" xfId="17157" xr:uid="{00000000-0005-0000-0000-00000E270000}"/>
    <cellStyle name="Normal 28" xfId="4804" xr:uid="{00000000-0005-0000-0000-00000F270000}"/>
    <cellStyle name="Normal 28 2" xfId="4805" xr:uid="{00000000-0005-0000-0000-000010270000}"/>
    <cellStyle name="Normal 28 2 2" xfId="4806" xr:uid="{00000000-0005-0000-0000-000011270000}"/>
    <cellStyle name="Normal 28 2 2 2" xfId="10985" xr:uid="{00000000-0005-0000-0000-000012270000}"/>
    <cellStyle name="Normal 28 2 2 3" xfId="17171" xr:uid="{00000000-0005-0000-0000-000013270000}"/>
    <cellStyle name="Normal 28 2 3" xfId="4807" xr:uid="{00000000-0005-0000-0000-000014270000}"/>
    <cellStyle name="Normal 28 2 3 2" xfId="10986" xr:uid="{00000000-0005-0000-0000-000015270000}"/>
    <cellStyle name="Normal 28 2 3 3" xfId="17172" xr:uid="{00000000-0005-0000-0000-000016270000}"/>
    <cellStyle name="Normal 28 2 4" xfId="10984" xr:uid="{00000000-0005-0000-0000-000017270000}"/>
    <cellStyle name="Normal 28 2 5" xfId="17170" xr:uid="{00000000-0005-0000-0000-000018270000}"/>
    <cellStyle name="Normal 28 3" xfId="4808" xr:uid="{00000000-0005-0000-0000-000019270000}"/>
    <cellStyle name="Normal 28 3 2" xfId="10987" xr:uid="{00000000-0005-0000-0000-00001A270000}"/>
    <cellStyle name="Normal 28 3 3" xfId="17173" xr:uid="{00000000-0005-0000-0000-00001B270000}"/>
    <cellStyle name="Normal 28 4" xfId="4809" xr:uid="{00000000-0005-0000-0000-00001C270000}"/>
    <cellStyle name="Normal 28 4 2" xfId="10988" xr:uid="{00000000-0005-0000-0000-00001D270000}"/>
    <cellStyle name="Normal 28 4 3" xfId="17174" xr:uid="{00000000-0005-0000-0000-00001E270000}"/>
    <cellStyle name="Normal 28 5" xfId="4810" xr:uid="{00000000-0005-0000-0000-00001F270000}"/>
    <cellStyle name="Normal 28 5 2" xfId="17175" xr:uid="{00000000-0005-0000-0000-000020270000}"/>
    <cellStyle name="Normal 28 6" xfId="10983" xr:uid="{00000000-0005-0000-0000-000021270000}"/>
    <cellStyle name="Normal 28 7" xfId="17169" xr:uid="{00000000-0005-0000-0000-000022270000}"/>
    <cellStyle name="Normal 29" xfId="4811" xr:uid="{00000000-0005-0000-0000-000023270000}"/>
    <cellStyle name="Normal 29 2" xfId="4812" xr:uid="{00000000-0005-0000-0000-000024270000}"/>
    <cellStyle name="Normal 29 2 2" xfId="4813" xr:uid="{00000000-0005-0000-0000-000025270000}"/>
    <cellStyle name="Normal 29 2 2 2" xfId="10991" xr:uid="{00000000-0005-0000-0000-000026270000}"/>
    <cellStyle name="Normal 29 2 2 3" xfId="17178" xr:uid="{00000000-0005-0000-0000-000027270000}"/>
    <cellStyle name="Normal 29 2 3" xfId="10990" xr:uid="{00000000-0005-0000-0000-000028270000}"/>
    <cellStyle name="Normal 29 2 4" xfId="17177" xr:uid="{00000000-0005-0000-0000-000029270000}"/>
    <cellStyle name="Normal 29 3" xfId="4814" xr:uid="{00000000-0005-0000-0000-00002A270000}"/>
    <cellStyle name="Normal 29 3 2" xfId="10992" xr:uid="{00000000-0005-0000-0000-00002B270000}"/>
    <cellStyle name="Normal 29 3 3" xfId="17179" xr:uid="{00000000-0005-0000-0000-00002C270000}"/>
    <cellStyle name="Normal 29 4" xfId="4815" xr:uid="{00000000-0005-0000-0000-00002D270000}"/>
    <cellStyle name="Normal 29 4 2" xfId="10993" xr:uid="{00000000-0005-0000-0000-00002E270000}"/>
    <cellStyle name="Normal 29 4 3" xfId="17180" xr:uid="{00000000-0005-0000-0000-00002F270000}"/>
    <cellStyle name="Normal 29 5" xfId="4816" xr:uid="{00000000-0005-0000-0000-000030270000}"/>
    <cellStyle name="Normal 29 5 2" xfId="17181" xr:uid="{00000000-0005-0000-0000-000031270000}"/>
    <cellStyle name="Normal 29 6" xfId="10989" xr:uid="{00000000-0005-0000-0000-000032270000}"/>
    <cellStyle name="Normal 29 7" xfId="17176" xr:uid="{00000000-0005-0000-0000-000033270000}"/>
    <cellStyle name="Normal 3" xfId="4817" xr:uid="{00000000-0005-0000-0000-000034270000}"/>
    <cellStyle name="Normal 3 10" xfId="15209" xr:uid="{00000000-0005-0000-0000-000035270000}"/>
    <cellStyle name="Normal 3 11" xfId="17182" xr:uid="{00000000-0005-0000-0000-000036270000}"/>
    <cellStyle name="Normal 3 2" xfId="4818" xr:uid="{00000000-0005-0000-0000-000037270000}"/>
    <cellStyle name="Normal 3 2 10" xfId="17183" xr:uid="{00000000-0005-0000-0000-000038270000}"/>
    <cellStyle name="Normal 3 2 2" xfId="4819" xr:uid="{00000000-0005-0000-0000-000039270000}"/>
    <cellStyle name="Normal 3 2 2 10" xfId="17184" xr:uid="{00000000-0005-0000-0000-00003A270000}"/>
    <cellStyle name="Normal 3 2 2 2" xfId="4820" xr:uid="{00000000-0005-0000-0000-00003B270000}"/>
    <cellStyle name="Normal 3 2 2 2 2" xfId="4821" xr:uid="{00000000-0005-0000-0000-00003C270000}"/>
    <cellStyle name="Normal 3 2 2 2 2 2" xfId="4822" xr:uid="{00000000-0005-0000-0000-00003D270000}"/>
    <cellStyle name="Normal 3 2 2 2 2 2 2" xfId="10999" xr:uid="{00000000-0005-0000-0000-00003E270000}"/>
    <cellStyle name="Normal 3 2 2 2 2 2 3" xfId="17187" xr:uid="{00000000-0005-0000-0000-00003F270000}"/>
    <cellStyle name="Normal 3 2 2 2 2 3" xfId="10998" xr:uid="{00000000-0005-0000-0000-000040270000}"/>
    <cellStyle name="Normal 3 2 2 2 2 4" xfId="17186" xr:uid="{00000000-0005-0000-0000-000041270000}"/>
    <cellStyle name="Normal 3 2 2 2 3" xfId="4823" xr:uid="{00000000-0005-0000-0000-000042270000}"/>
    <cellStyle name="Normal 3 2 2 2 3 2" xfId="4824" xr:uid="{00000000-0005-0000-0000-000043270000}"/>
    <cellStyle name="Normal 3 2 2 2 3 2 2" xfId="11001" xr:uid="{00000000-0005-0000-0000-000044270000}"/>
    <cellStyle name="Normal 3 2 2 2 3 2 3" xfId="17189" xr:uid="{00000000-0005-0000-0000-000045270000}"/>
    <cellStyle name="Normal 3 2 2 2 3 3" xfId="11000" xr:uid="{00000000-0005-0000-0000-000046270000}"/>
    <cellStyle name="Normal 3 2 2 2 3 4" xfId="17188" xr:uid="{00000000-0005-0000-0000-000047270000}"/>
    <cellStyle name="Normal 3 2 2 2 4" xfId="4825" xr:uid="{00000000-0005-0000-0000-000048270000}"/>
    <cellStyle name="Normal 3 2 2 2 4 2" xfId="11002" xr:uid="{00000000-0005-0000-0000-000049270000}"/>
    <cellStyle name="Normal 3 2 2 2 4 3" xfId="17190" xr:uid="{00000000-0005-0000-0000-00004A270000}"/>
    <cellStyle name="Normal 3 2 2 2 5" xfId="10997" xr:uid="{00000000-0005-0000-0000-00004B270000}"/>
    <cellStyle name="Normal 3 2 2 2 6" xfId="17185" xr:uid="{00000000-0005-0000-0000-00004C270000}"/>
    <cellStyle name="Normal 3 2 2 3" xfId="4826" xr:uid="{00000000-0005-0000-0000-00004D270000}"/>
    <cellStyle name="Normal 3 2 2 3 2" xfId="4827" xr:uid="{00000000-0005-0000-0000-00004E270000}"/>
    <cellStyle name="Normal 3 2 2 3 2 2" xfId="11004" xr:uid="{00000000-0005-0000-0000-00004F270000}"/>
    <cellStyle name="Normal 3 2 2 3 2 3" xfId="17192" xr:uid="{00000000-0005-0000-0000-000050270000}"/>
    <cellStyle name="Normal 3 2 2 3 3" xfId="4828" xr:uid="{00000000-0005-0000-0000-000051270000}"/>
    <cellStyle name="Normal 3 2 2 3 3 2" xfId="11005" xr:uid="{00000000-0005-0000-0000-000052270000}"/>
    <cellStyle name="Normal 3 2 2 3 3 3" xfId="17193" xr:uid="{00000000-0005-0000-0000-000053270000}"/>
    <cellStyle name="Normal 3 2 2 3 4" xfId="11003" xr:uid="{00000000-0005-0000-0000-000054270000}"/>
    <cellStyle name="Normal 3 2 2 3 5" xfId="17191" xr:uid="{00000000-0005-0000-0000-000055270000}"/>
    <cellStyle name="Normal 3 2 2 4" xfId="4829" xr:uid="{00000000-0005-0000-0000-000056270000}"/>
    <cellStyle name="Normal 3 2 2 4 2" xfId="4830" xr:uid="{00000000-0005-0000-0000-000057270000}"/>
    <cellStyle name="Normal 3 2 2 4 2 2" xfId="11007" xr:uid="{00000000-0005-0000-0000-000058270000}"/>
    <cellStyle name="Normal 3 2 2 4 2 3" xfId="17195" xr:uid="{00000000-0005-0000-0000-000059270000}"/>
    <cellStyle name="Normal 3 2 2 4 3" xfId="11006" xr:uid="{00000000-0005-0000-0000-00005A270000}"/>
    <cellStyle name="Normal 3 2 2 4 4" xfId="17194" xr:uid="{00000000-0005-0000-0000-00005B270000}"/>
    <cellStyle name="Normal 3 2 2 5" xfId="4831" xr:uid="{00000000-0005-0000-0000-00005C270000}"/>
    <cellStyle name="Normal 3 2 2 5 2" xfId="11008" xr:uid="{00000000-0005-0000-0000-00005D270000}"/>
    <cellStyle name="Normal 3 2 2 5 3" xfId="17196" xr:uid="{00000000-0005-0000-0000-00005E270000}"/>
    <cellStyle name="Normal 3 2 2 6" xfId="4832" xr:uid="{00000000-0005-0000-0000-00005F270000}"/>
    <cellStyle name="Normal 3 2 2 6 2" xfId="11009" xr:uid="{00000000-0005-0000-0000-000060270000}"/>
    <cellStyle name="Normal 3 2 2 6 3" xfId="17197" xr:uid="{00000000-0005-0000-0000-000061270000}"/>
    <cellStyle name="Normal 3 2 2 7" xfId="4833" xr:uid="{00000000-0005-0000-0000-000062270000}"/>
    <cellStyle name="Normal 3 2 2 7 2" xfId="11010" xr:uid="{00000000-0005-0000-0000-000063270000}"/>
    <cellStyle name="Normal 3 2 2 7 3" xfId="17198" xr:uid="{00000000-0005-0000-0000-000064270000}"/>
    <cellStyle name="Normal 3 2 2 8" xfId="4834" xr:uid="{00000000-0005-0000-0000-000065270000}"/>
    <cellStyle name="Normal 3 2 2 8 2" xfId="17199" xr:uid="{00000000-0005-0000-0000-000066270000}"/>
    <cellStyle name="Normal 3 2 2 9" xfId="10996" xr:uid="{00000000-0005-0000-0000-000067270000}"/>
    <cellStyle name="Normal 3 2 3" xfId="4835" xr:uid="{00000000-0005-0000-0000-000068270000}"/>
    <cellStyle name="Normal 3 2 3 2" xfId="4836" xr:uid="{00000000-0005-0000-0000-000069270000}"/>
    <cellStyle name="Normal 3 2 3 2 2" xfId="4837" xr:uid="{00000000-0005-0000-0000-00006A270000}"/>
    <cellStyle name="Normal 3 2 3 2 2 2" xfId="11013" xr:uid="{00000000-0005-0000-0000-00006B270000}"/>
    <cellStyle name="Normal 3 2 3 2 2 3" xfId="17202" xr:uid="{00000000-0005-0000-0000-00006C270000}"/>
    <cellStyle name="Normal 3 2 3 2 3" xfId="11012" xr:uid="{00000000-0005-0000-0000-00006D270000}"/>
    <cellStyle name="Normal 3 2 3 2 4" xfId="17201" xr:uid="{00000000-0005-0000-0000-00006E270000}"/>
    <cellStyle name="Normal 3 2 3 3" xfId="4838" xr:uid="{00000000-0005-0000-0000-00006F270000}"/>
    <cellStyle name="Normal 3 2 3 3 2" xfId="4839" xr:uid="{00000000-0005-0000-0000-000070270000}"/>
    <cellStyle name="Normal 3 2 3 3 2 2" xfId="11015" xr:uid="{00000000-0005-0000-0000-000071270000}"/>
    <cellStyle name="Normal 3 2 3 3 2 3" xfId="17204" xr:uid="{00000000-0005-0000-0000-000072270000}"/>
    <cellStyle name="Normal 3 2 3 3 3" xfId="11014" xr:uid="{00000000-0005-0000-0000-000073270000}"/>
    <cellStyle name="Normal 3 2 3 3 4" xfId="17203" xr:uid="{00000000-0005-0000-0000-000074270000}"/>
    <cellStyle name="Normal 3 2 3 4" xfId="4840" xr:uid="{00000000-0005-0000-0000-000075270000}"/>
    <cellStyle name="Normal 3 2 3 4 2" xfId="11016" xr:uid="{00000000-0005-0000-0000-000076270000}"/>
    <cellStyle name="Normal 3 2 3 4 3" xfId="17205" xr:uid="{00000000-0005-0000-0000-000077270000}"/>
    <cellStyle name="Normal 3 2 3 5" xfId="4841" xr:uid="{00000000-0005-0000-0000-000078270000}"/>
    <cellStyle name="Normal 3 2 3 5 2" xfId="11017" xr:uid="{00000000-0005-0000-0000-000079270000}"/>
    <cellStyle name="Normal 3 2 3 5 3" xfId="17206" xr:uid="{00000000-0005-0000-0000-00007A270000}"/>
    <cellStyle name="Normal 3 2 3 6" xfId="11011" xr:uid="{00000000-0005-0000-0000-00007B270000}"/>
    <cellStyle name="Normal 3 2 3 7" xfId="17200" xr:uid="{00000000-0005-0000-0000-00007C270000}"/>
    <cellStyle name="Normal 3 2 4" xfId="4842" xr:uid="{00000000-0005-0000-0000-00007D270000}"/>
    <cellStyle name="Normal 3 2 4 2" xfId="4843" xr:uid="{00000000-0005-0000-0000-00007E270000}"/>
    <cellStyle name="Normal 3 2 4 2 2" xfId="11019" xr:uid="{00000000-0005-0000-0000-00007F270000}"/>
    <cellStyle name="Normal 3 2 4 2 3" xfId="17208" xr:uid="{00000000-0005-0000-0000-000080270000}"/>
    <cellStyle name="Normal 3 2 4 3" xfId="4844" xr:uid="{00000000-0005-0000-0000-000081270000}"/>
    <cellStyle name="Normal 3 2 4 3 2" xfId="11020" xr:uid="{00000000-0005-0000-0000-000082270000}"/>
    <cellStyle name="Normal 3 2 4 3 3" xfId="17209" xr:uid="{00000000-0005-0000-0000-000083270000}"/>
    <cellStyle name="Normal 3 2 4 4" xfId="11018" xr:uid="{00000000-0005-0000-0000-000084270000}"/>
    <cellStyle name="Normal 3 2 4 5" xfId="17207" xr:uid="{00000000-0005-0000-0000-000085270000}"/>
    <cellStyle name="Normal 3 2 5" xfId="4845" xr:uid="{00000000-0005-0000-0000-000086270000}"/>
    <cellStyle name="Normal 3 2 5 2" xfId="4846" xr:uid="{00000000-0005-0000-0000-000087270000}"/>
    <cellStyle name="Normal 3 2 5 2 2" xfId="11022" xr:uid="{00000000-0005-0000-0000-000088270000}"/>
    <cellStyle name="Normal 3 2 5 2 3" xfId="17211" xr:uid="{00000000-0005-0000-0000-000089270000}"/>
    <cellStyle name="Normal 3 2 5 3" xfId="4847" xr:uid="{00000000-0005-0000-0000-00008A270000}"/>
    <cellStyle name="Normal 3 2 5 3 2" xfId="11023" xr:uid="{00000000-0005-0000-0000-00008B270000}"/>
    <cellStyle name="Normal 3 2 5 3 3" xfId="17212" xr:uid="{00000000-0005-0000-0000-00008C270000}"/>
    <cellStyle name="Normal 3 2 5 4" xfId="11021" xr:uid="{00000000-0005-0000-0000-00008D270000}"/>
    <cellStyle name="Normal 3 2 5 5" xfId="17210" xr:uid="{00000000-0005-0000-0000-00008E270000}"/>
    <cellStyle name="Normal 3 2 6" xfId="4848" xr:uid="{00000000-0005-0000-0000-00008F270000}"/>
    <cellStyle name="Normal 3 2 6 2" xfId="11024" xr:uid="{00000000-0005-0000-0000-000090270000}"/>
    <cellStyle name="Normal 3 2 6 3" xfId="17213" xr:uid="{00000000-0005-0000-0000-000091270000}"/>
    <cellStyle name="Normal 3 2 7" xfId="4849" xr:uid="{00000000-0005-0000-0000-000092270000}"/>
    <cellStyle name="Normal 3 2 7 2" xfId="11025" xr:uid="{00000000-0005-0000-0000-000093270000}"/>
    <cellStyle name="Normal 3 2 7 3" xfId="17214" xr:uid="{00000000-0005-0000-0000-000094270000}"/>
    <cellStyle name="Normal 3 2 8" xfId="4850" xr:uid="{00000000-0005-0000-0000-000095270000}"/>
    <cellStyle name="Normal 3 2 8 2" xfId="11026" xr:uid="{00000000-0005-0000-0000-000096270000}"/>
    <cellStyle name="Normal 3 2 8 3" xfId="17215" xr:uid="{00000000-0005-0000-0000-000097270000}"/>
    <cellStyle name="Normal 3 2 9" xfId="10995" xr:uid="{00000000-0005-0000-0000-000098270000}"/>
    <cellStyle name="Normal 3 3" xfId="4851" xr:uid="{00000000-0005-0000-0000-000099270000}"/>
    <cellStyle name="Normal 3 3 2" xfId="4852" xr:uid="{00000000-0005-0000-0000-00009A270000}"/>
    <cellStyle name="Normal 3 3 2 2" xfId="4853" xr:uid="{00000000-0005-0000-0000-00009B270000}"/>
    <cellStyle name="Normal 3 3 2 2 2" xfId="11029" xr:uid="{00000000-0005-0000-0000-00009C270000}"/>
    <cellStyle name="Normal 3 3 2 2 3" xfId="17218" xr:uid="{00000000-0005-0000-0000-00009D270000}"/>
    <cellStyle name="Normal 3 3 2 3" xfId="4854" xr:uid="{00000000-0005-0000-0000-00009E270000}"/>
    <cellStyle name="Normal 3 3 2 3 2" xfId="17219" xr:uid="{00000000-0005-0000-0000-00009F270000}"/>
    <cellStyle name="Normal 3 3 2 4" xfId="11028" xr:uid="{00000000-0005-0000-0000-0000A0270000}"/>
    <cellStyle name="Normal 3 3 2 5" xfId="17217" xr:uid="{00000000-0005-0000-0000-0000A1270000}"/>
    <cellStyle name="Normal 3 3 3" xfId="4855" xr:uid="{00000000-0005-0000-0000-0000A2270000}"/>
    <cellStyle name="Normal 3 3 3 2" xfId="4856" xr:uid="{00000000-0005-0000-0000-0000A3270000}"/>
    <cellStyle name="Normal 3 3 3 2 2" xfId="11031" xr:uid="{00000000-0005-0000-0000-0000A4270000}"/>
    <cellStyle name="Normal 3 3 3 2 3" xfId="17221" xr:uid="{00000000-0005-0000-0000-0000A5270000}"/>
    <cellStyle name="Normal 3 3 3 3" xfId="11030" xr:uid="{00000000-0005-0000-0000-0000A6270000}"/>
    <cellStyle name="Normal 3 3 3 4" xfId="17220" xr:uid="{00000000-0005-0000-0000-0000A7270000}"/>
    <cellStyle name="Normal 3 3 4" xfId="4857" xr:uid="{00000000-0005-0000-0000-0000A8270000}"/>
    <cellStyle name="Normal 3 3 4 2" xfId="4858" xr:uid="{00000000-0005-0000-0000-0000A9270000}"/>
    <cellStyle name="Normal 3 3 4 2 2" xfId="11033" xr:uid="{00000000-0005-0000-0000-0000AA270000}"/>
    <cellStyle name="Normal 3 3 4 2 3" xfId="17223" xr:uid="{00000000-0005-0000-0000-0000AB270000}"/>
    <cellStyle name="Normal 3 3 4 3" xfId="11032" xr:uid="{00000000-0005-0000-0000-0000AC270000}"/>
    <cellStyle name="Normal 3 3 4 4" xfId="17222" xr:uid="{00000000-0005-0000-0000-0000AD270000}"/>
    <cellStyle name="Normal 3 3 5" xfId="4859" xr:uid="{00000000-0005-0000-0000-0000AE270000}"/>
    <cellStyle name="Normal 3 3 5 2" xfId="11034" xr:uid="{00000000-0005-0000-0000-0000AF270000}"/>
    <cellStyle name="Normal 3 3 5 3" xfId="17224" xr:uid="{00000000-0005-0000-0000-0000B0270000}"/>
    <cellStyle name="Normal 3 3 6" xfId="11027" xr:uid="{00000000-0005-0000-0000-0000B1270000}"/>
    <cellStyle name="Normal 3 3 7" xfId="17216" xr:uid="{00000000-0005-0000-0000-0000B2270000}"/>
    <cellStyle name="Normal 3 4" xfId="4860" xr:uid="{00000000-0005-0000-0000-0000B3270000}"/>
    <cellStyle name="Normal 3 4 2" xfId="4861" xr:uid="{00000000-0005-0000-0000-0000B4270000}"/>
    <cellStyle name="Normal 3 4 2 2" xfId="11036" xr:uid="{00000000-0005-0000-0000-0000B5270000}"/>
    <cellStyle name="Normal 3 4 2 3" xfId="17226" xr:uid="{00000000-0005-0000-0000-0000B6270000}"/>
    <cellStyle name="Normal 3 4 3" xfId="4862" xr:uid="{00000000-0005-0000-0000-0000B7270000}"/>
    <cellStyle name="Normal 3 4 3 2" xfId="11037" xr:uid="{00000000-0005-0000-0000-0000B8270000}"/>
    <cellStyle name="Normal 3 4 3 3" xfId="17227" xr:uid="{00000000-0005-0000-0000-0000B9270000}"/>
    <cellStyle name="Normal 3 4 4" xfId="4863" xr:uid="{00000000-0005-0000-0000-0000BA270000}"/>
    <cellStyle name="Normal 3 4 4 2" xfId="11038" xr:uid="{00000000-0005-0000-0000-0000BB270000}"/>
    <cellStyle name="Normal 3 4 4 3" xfId="17228" xr:uid="{00000000-0005-0000-0000-0000BC270000}"/>
    <cellStyle name="Normal 3 4 5" xfId="4864" xr:uid="{00000000-0005-0000-0000-0000BD270000}"/>
    <cellStyle name="Normal 3 4 5 2" xfId="17229" xr:uid="{00000000-0005-0000-0000-0000BE270000}"/>
    <cellStyle name="Normal 3 4 6" xfId="11035" xr:uid="{00000000-0005-0000-0000-0000BF270000}"/>
    <cellStyle name="Normal 3 4 7" xfId="17225" xr:uid="{00000000-0005-0000-0000-0000C0270000}"/>
    <cellStyle name="Normal 3 5" xfId="4865" xr:uid="{00000000-0005-0000-0000-0000C1270000}"/>
    <cellStyle name="Normal 3 5 2" xfId="4866" xr:uid="{00000000-0005-0000-0000-0000C2270000}"/>
    <cellStyle name="Normal 3 5 2 2" xfId="11040" xr:uid="{00000000-0005-0000-0000-0000C3270000}"/>
    <cellStyle name="Normal 3 5 2 3" xfId="17231" xr:uid="{00000000-0005-0000-0000-0000C4270000}"/>
    <cellStyle name="Normal 3 5 3" xfId="4867" xr:uid="{00000000-0005-0000-0000-0000C5270000}"/>
    <cellStyle name="Normal 3 5 3 2" xfId="17232" xr:uid="{00000000-0005-0000-0000-0000C6270000}"/>
    <cellStyle name="Normal 3 5 4" xfId="11039" xr:uid="{00000000-0005-0000-0000-0000C7270000}"/>
    <cellStyle name="Normal 3 5 5" xfId="17230" xr:uid="{00000000-0005-0000-0000-0000C8270000}"/>
    <cellStyle name="Normal 3 6" xfId="4868" xr:uid="{00000000-0005-0000-0000-0000C9270000}"/>
    <cellStyle name="Normal 3 6 2" xfId="11041" xr:uid="{00000000-0005-0000-0000-0000CA270000}"/>
    <cellStyle name="Normal 3 6 3" xfId="17233" xr:uid="{00000000-0005-0000-0000-0000CB270000}"/>
    <cellStyle name="Normal 3 7" xfId="4869" xr:uid="{00000000-0005-0000-0000-0000CC270000}"/>
    <cellStyle name="Normal 3 7 2" xfId="11042" xr:uid="{00000000-0005-0000-0000-0000CD270000}"/>
    <cellStyle name="Normal 3 7 3" xfId="17234" xr:uid="{00000000-0005-0000-0000-0000CE270000}"/>
    <cellStyle name="Normal 3 8" xfId="10994" xr:uid="{00000000-0005-0000-0000-0000CF270000}"/>
    <cellStyle name="Normal 3 9" xfId="15202" xr:uid="{00000000-0005-0000-0000-0000D0270000}"/>
    <cellStyle name="Normal 3 9 2" xfId="22832" xr:uid="{00000000-0005-0000-0000-0000D1270000}"/>
    <cellStyle name="Normal 3_10051" xfId="4870" xr:uid="{00000000-0005-0000-0000-0000D2270000}"/>
    <cellStyle name="Normal 30" xfId="4871" xr:uid="{00000000-0005-0000-0000-0000D3270000}"/>
    <cellStyle name="Normal 30 2" xfId="4872" xr:uid="{00000000-0005-0000-0000-0000D4270000}"/>
    <cellStyle name="Normal 30 2 2" xfId="11044" xr:uid="{00000000-0005-0000-0000-0000D5270000}"/>
    <cellStyle name="Normal 30 2 3" xfId="17236" xr:uid="{00000000-0005-0000-0000-0000D6270000}"/>
    <cellStyle name="Normal 30 3" xfId="4873" xr:uid="{00000000-0005-0000-0000-0000D7270000}"/>
    <cellStyle name="Normal 30 3 2" xfId="11045" xr:uid="{00000000-0005-0000-0000-0000D8270000}"/>
    <cellStyle name="Normal 30 3 3" xfId="17237" xr:uid="{00000000-0005-0000-0000-0000D9270000}"/>
    <cellStyle name="Normal 30 4" xfId="4874" xr:uid="{00000000-0005-0000-0000-0000DA270000}"/>
    <cellStyle name="Normal 30 4 2" xfId="11046" xr:uid="{00000000-0005-0000-0000-0000DB270000}"/>
    <cellStyle name="Normal 30 4 3" xfId="17238" xr:uid="{00000000-0005-0000-0000-0000DC270000}"/>
    <cellStyle name="Normal 30 5" xfId="4875" xr:uid="{00000000-0005-0000-0000-0000DD270000}"/>
    <cellStyle name="Normal 30 5 2" xfId="17239" xr:uid="{00000000-0005-0000-0000-0000DE270000}"/>
    <cellStyle name="Normal 30 6" xfId="11043" xr:uid="{00000000-0005-0000-0000-0000DF270000}"/>
    <cellStyle name="Normal 30 7" xfId="17235" xr:uid="{00000000-0005-0000-0000-0000E0270000}"/>
    <cellStyle name="Normal 31" xfId="4876" xr:uid="{00000000-0005-0000-0000-0000E1270000}"/>
    <cellStyle name="Normal 31 10" xfId="11047" xr:uid="{00000000-0005-0000-0000-0000E2270000}"/>
    <cellStyle name="Normal 31 11" xfId="17240" xr:uid="{00000000-0005-0000-0000-0000E3270000}"/>
    <cellStyle name="Normal 31 2" xfId="4877" xr:uid="{00000000-0005-0000-0000-0000E4270000}"/>
    <cellStyle name="Normal 31 2 10" xfId="17241" xr:uid="{00000000-0005-0000-0000-0000E5270000}"/>
    <cellStyle name="Normal 31 2 2" xfId="4878" xr:uid="{00000000-0005-0000-0000-0000E6270000}"/>
    <cellStyle name="Normal 31 2 2 2" xfId="4879" xr:uid="{00000000-0005-0000-0000-0000E7270000}"/>
    <cellStyle name="Normal 31 2 2 2 2" xfId="4880" xr:uid="{00000000-0005-0000-0000-0000E8270000}"/>
    <cellStyle name="Normal 31 2 2 2 2 2" xfId="4881" xr:uid="{00000000-0005-0000-0000-0000E9270000}"/>
    <cellStyle name="Normal 31 2 2 2 2 2 2" xfId="4882" xr:uid="{00000000-0005-0000-0000-0000EA270000}"/>
    <cellStyle name="Normal 31 2 2 2 2 2 2 2" xfId="11053" xr:uid="{00000000-0005-0000-0000-0000EB270000}"/>
    <cellStyle name="Normal 31 2 2 2 2 2 2 3" xfId="17246" xr:uid="{00000000-0005-0000-0000-0000EC270000}"/>
    <cellStyle name="Normal 31 2 2 2 2 2 3" xfId="11052" xr:uid="{00000000-0005-0000-0000-0000ED270000}"/>
    <cellStyle name="Normal 31 2 2 2 2 2 4" xfId="17245" xr:uid="{00000000-0005-0000-0000-0000EE270000}"/>
    <cellStyle name="Normal 31 2 2 2 2 3" xfId="4883" xr:uid="{00000000-0005-0000-0000-0000EF270000}"/>
    <cellStyle name="Normal 31 2 2 2 2 3 2" xfId="4884" xr:uid="{00000000-0005-0000-0000-0000F0270000}"/>
    <cellStyle name="Normal 31 2 2 2 2 3 2 2" xfId="11055" xr:uid="{00000000-0005-0000-0000-0000F1270000}"/>
    <cellStyle name="Normal 31 2 2 2 2 3 2 3" xfId="17248" xr:uid="{00000000-0005-0000-0000-0000F2270000}"/>
    <cellStyle name="Normal 31 2 2 2 2 3 3" xfId="11054" xr:uid="{00000000-0005-0000-0000-0000F3270000}"/>
    <cellStyle name="Normal 31 2 2 2 2 3 4" xfId="17247" xr:uid="{00000000-0005-0000-0000-0000F4270000}"/>
    <cellStyle name="Normal 31 2 2 2 2 4" xfId="4885" xr:uid="{00000000-0005-0000-0000-0000F5270000}"/>
    <cellStyle name="Normal 31 2 2 2 2 4 2" xfId="11056" xr:uid="{00000000-0005-0000-0000-0000F6270000}"/>
    <cellStyle name="Normal 31 2 2 2 2 4 3" xfId="17249" xr:uid="{00000000-0005-0000-0000-0000F7270000}"/>
    <cellStyle name="Normal 31 2 2 2 2 5" xfId="11051" xr:uid="{00000000-0005-0000-0000-0000F8270000}"/>
    <cellStyle name="Normal 31 2 2 2 2 6" xfId="17244" xr:uid="{00000000-0005-0000-0000-0000F9270000}"/>
    <cellStyle name="Normal 31 2 2 2 3" xfId="4886" xr:uid="{00000000-0005-0000-0000-0000FA270000}"/>
    <cellStyle name="Normal 31 2 2 2 3 2" xfId="4887" xr:uid="{00000000-0005-0000-0000-0000FB270000}"/>
    <cellStyle name="Normal 31 2 2 2 3 2 2" xfId="11058" xr:uid="{00000000-0005-0000-0000-0000FC270000}"/>
    <cellStyle name="Normal 31 2 2 2 3 2 3" xfId="17251" xr:uid="{00000000-0005-0000-0000-0000FD270000}"/>
    <cellStyle name="Normal 31 2 2 2 3 3" xfId="11057" xr:uid="{00000000-0005-0000-0000-0000FE270000}"/>
    <cellStyle name="Normal 31 2 2 2 3 4" xfId="17250" xr:uid="{00000000-0005-0000-0000-0000FF270000}"/>
    <cellStyle name="Normal 31 2 2 2 4" xfId="4888" xr:uid="{00000000-0005-0000-0000-000000280000}"/>
    <cellStyle name="Normal 31 2 2 2 4 2" xfId="4889" xr:uid="{00000000-0005-0000-0000-000001280000}"/>
    <cellStyle name="Normal 31 2 2 2 4 2 2" xfId="11060" xr:uid="{00000000-0005-0000-0000-000002280000}"/>
    <cellStyle name="Normal 31 2 2 2 4 2 3" xfId="17253" xr:uid="{00000000-0005-0000-0000-000003280000}"/>
    <cellStyle name="Normal 31 2 2 2 4 3" xfId="11059" xr:uid="{00000000-0005-0000-0000-000004280000}"/>
    <cellStyle name="Normal 31 2 2 2 4 4" xfId="17252" xr:uid="{00000000-0005-0000-0000-000005280000}"/>
    <cellStyle name="Normal 31 2 2 2 5" xfId="4890" xr:uid="{00000000-0005-0000-0000-000006280000}"/>
    <cellStyle name="Normal 31 2 2 2 5 2" xfId="11061" xr:uid="{00000000-0005-0000-0000-000007280000}"/>
    <cellStyle name="Normal 31 2 2 2 5 3" xfId="17254" xr:uid="{00000000-0005-0000-0000-000008280000}"/>
    <cellStyle name="Normal 31 2 2 2 6" xfId="11050" xr:uid="{00000000-0005-0000-0000-000009280000}"/>
    <cellStyle name="Normal 31 2 2 2 7" xfId="17243" xr:uid="{00000000-0005-0000-0000-00000A280000}"/>
    <cellStyle name="Normal 31 2 2 3" xfId="4891" xr:uid="{00000000-0005-0000-0000-00000B280000}"/>
    <cellStyle name="Normal 31 2 2 3 2" xfId="4892" xr:uid="{00000000-0005-0000-0000-00000C280000}"/>
    <cellStyle name="Normal 31 2 2 3 2 2" xfId="4893" xr:uid="{00000000-0005-0000-0000-00000D280000}"/>
    <cellStyle name="Normal 31 2 2 3 2 2 2" xfId="11064" xr:uid="{00000000-0005-0000-0000-00000E280000}"/>
    <cellStyle name="Normal 31 2 2 3 2 2 3" xfId="17257" xr:uid="{00000000-0005-0000-0000-00000F280000}"/>
    <cellStyle name="Normal 31 2 2 3 2 3" xfId="11063" xr:uid="{00000000-0005-0000-0000-000010280000}"/>
    <cellStyle name="Normal 31 2 2 3 2 4" xfId="17256" xr:uid="{00000000-0005-0000-0000-000011280000}"/>
    <cellStyle name="Normal 31 2 2 3 3" xfId="4894" xr:uid="{00000000-0005-0000-0000-000012280000}"/>
    <cellStyle name="Normal 31 2 2 3 3 2" xfId="4895" xr:uid="{00000000-0005-0000-0000-000013280000}"/>
    <cellStyle name="Normal 31 2 2 3 3 2 2" xfId="11066" xr:uid="{00000000-0005-0000-0000-000014280000}"/>
    <cellStyle name="Normal 31 2 2 3 3 2 3" xfId="17259" xr:uid="{00000000-0005-0000-0000-000015280000}"/>
    <cellStyle name="Normal 31 2 2 3 3 3" xfId="11065" xr:uid="{00000000-0005-0000-0000-000016280000}"/>
    <cellStyle name="Normal 31 2 2 3 3 4" xfId="17258" xr:uid="{00000000-0005-0000-0000-000017280000}"/>
    <cellStyle name="Normal 31 2 2 3 4" xfId="4896" xr:uid="{00000000-0005-0000-0000-000018280000}"/>
    <cellStyle name="Normal 31 2 2 3 4 2" xfId="11067" xr:uid="{00000000-0005-0000-0000-000019280000}"/>
    <cellStyle name="Normal 31 2 2 3 4 3" xfId="17260" xr:uid="{00000000-0005-0000-0000-00001A280000}"/>
    <cellStyle name="Normal 31 2 2 3 5" xfId="11062" xr:uid="{00000000-0005-0000-0000-00001B280000}"/>
    <cellStyle name="Normal 31 2 2 3 6" xfId="17255" xr:uid="{00000000-0005-0000-0000-00001C280000}"/>
    <cellStyle name="Normal 31 2 2 4" xfId="4897" xr:uid="{00000000-0005-0000-0000-00001D280000}"/>
    <cellStyle name="Normal 31 2 2 4 2" xfId="4898" xr:uid="{00000000-0005-0000-0000-00001E280000}"/>
    <cellStyle name="Normal 31 2 2 4 2 2" xfId="11069" xr:uid="{00000000-0005-0000-0000-00001F280000}"/>
    <cellStyle name="Normal 31 2 2 4 2 3" xfId="17262" xr:uid="{00000000-0005-0000-0000-000020280000}"/>
    <cellStyle name="Normal 31 2 2 4 3" xfId="11068" xr:uid="{00000000-0005-0000-0000-000021280000}"/>
    <cellStyle name="Normal 31 2 2 4 4" xfId="17261" xr:uid="{00000000-0005-0000-0000-000022280000}"/>
    <cellStyle name="Normal 31 2 2 5" xfId="4899" xr:uid="{00000000-0005-0000-0000-000023280000}"/>
    <cellStyle name="Normal 31 2 2 5 2" xfId="4900" xr:uid="{00000000-0005-0000-0000-000024280000}"/>
    <cellStyle name="Normal 31 2 2 5 2 2" xfId="11071" xr:uid="{00000000-0005-0000-0000-000025280000}"/>
    <cellStyle name="Normal 31 2 2 5 2 3" xfId="17264" xr:uid="{00000000-0005-0000-0000-000026280000}"/>
    <cellStyle name="Normal 31 2 2 5 3" xfId="11070" xr:uid="{00000000-0005-0000-0000-000027280000}"/>
    <cellStyle name="Normal 31 2 2 5 4" xfId="17263" xr:uid="{00000000-0005-0000-0000-000028280000}"/>
    <cellStyle name="Normal 31 2 2 6" xfId="4901" xr:uid="{00000000-0005-0000-0000-000029280000}"/>
    <cellStyle name="Normal 31 2 2 6 2" xfId="11072" xr:uid="{00000000-0005-0000-0000-00002A280000}"/>
    <cellStyle name="Normal 31 2 2 6 3" xfId="17265" xr:uid="{00000000-0005-0000-0000-00002B280000}"/>
    <cellStyle name="Normal 31 2 2 7" xfId="11049" xr:uid="{00000000-0005-0000-0000-00002C280000}"/>
    <cellStyle name="Normal 31 2 2 8" xfId="17242" xr:uid="{00000000-0005-0000-0000-00002D280000}"/>
    <cellStyle name="Normal 31 2 3" xfId="4902" xr:uid="{00000000-0005-0000-0000-00002E280000}"/>
    <cellStyle name="Normal 31 2 3 2" xfId="4903" xr:uid="{00000000-0005-0000-0000-00002F280000}"/>
    <cellStyle name="Normal 31 2 3 2 2" xfId="4904" xr:uid="{00000000-0005-0000-0000-000030280000}"/>
    <cellStyle name="Normal 31 2 3 2 2 2" xfId="4905" xr:uid="{00000000-0005-0000-0000-000031280000}"/>
    <cellStyle name="Normal 31 2 3 2 2 2 2" xfId="11076" xr:uid="{00000000-0005-0000-0000-000032280000}"/>
    <cellStyle name="Normal 31 2 3 2 2 2 3" xfId="17269" xr:uid="{00000000-0005-0000-0000-000033280000}"/>
    <cellStyle name="Normal 31 2 3 2 2 3" xfId="11075" xr:uid="{00000000-0005-0000-0000-000034280000}"/>
    <cellStyle name="Normal 31 2 3 2 2 4" xfId="17268" xr:uid="{00000000-0005-0000-0000-000035280000}"/>
    <cellStyle name="Normal 31 2 3 2 3" xfId="4906" xr:uid="{00000000-0005-0000-0000-000036280000}"/>
    <cellStyle name="Normal 31 2 3 2 3 2" xfId="4907" xr:uid="{00000000-0005-0000-0000-000037280000}"/>
    <cellStyle name="Normal 31 2 3 2 3 2 2" xfId="11078" xr:uid="{00000000-0005-0000-0000-000038280000}"/>
    <cellStyle name="Normal 31 2 3 2 3 2 3" xfId="17271" xr:uid="{00000000-0005-0000-0000-000039280000}"/>
    <cellStyle name="Normal 31 2 3 2 3 3" xfId="11077" xr:uid="{00000000-0005-0000-0000-00003A280000}"/>
    <cellStyle name="Normal 31 2 3 2 3 4" xfId="17270" xr:uid="{00000000-0005-0000-0000-00003B280000}"/>
    <cellStyle name="Normal 31 2 3 2 4" xfId="4908" xr:uid="{00000000-0005-0000-0000-00003C280000}"/>
    <cellStyle name="Normal 31 2 3 2 4 2" xfId="11079" xr:uid="{00000000-0005-0000-0000-00003D280000}"/>
    <cellStyle name="Normal 31 2 3 2 4 3" xfId="17272" xr:uid="{00000000-0005-0000-0000-00003E280000}"/>
    <cellStyle name="Normal 31 2 3 2 5" xfId="11074" xr:uid="{00000000-0005-0000-0000-00003F280000}"/>
    <cellStyle name="Normal 31 2 3 2 6" xfId="17267" xr:uid="{00000000-0005-0000-0000-000040280000}"/>
    <cellStyle name="Normal 31 2 3 3" xfId="4909" xr:uid="{00000000-0005-0000-0000-000041280000}"/>
    <cellStyle name="Normal 31 2 3 3 2" xfId="4910" xr:uid="{00000000-0005-0000-0000-000042280000}"/>
    <cellStyle name="Normal 31 2 3 3 2 2" xfId="11081" xr:uid="{00000000-0005-0000-0000-000043280000}"/>
    <cellStyle name="Normal 31 2 3 3 2 3" xfId="17274" xr:uid="{00000000-0005-0000-0000-000044280000}"/>
    <cellStyle name="Normal 31 2 3 3 3" xfId="11080" xr:uid="{00000000-0005-0000-0000-000045280000}"/>
    <cellStyle name="Normal 31 2 3 3 4" xfId="17273" xr:uid="{00000000-0005-0000-0000-000046280000}"/>
    <cellStyle name="Normal 31 2 3 4" xfId="4911" xr:uid="{00000000-0005-0000-0000-000047280000}"/>
    <cellStyle name="Normal 31 2 3 4 2" xfId="4912" xr:uid="{00000000-0005-0000-0000-000048280000}"/>
    <cellStyle name="Normal 31 2 3 4 2 2" xfId="11083" xr:uid="{00000000-0005-0000-0000-000049280000}"/>
    <cellStyle name="Normal 31 2 3 4 2 3" xfId="17276" xr:uid="{00000000-0005-0000-0000-00004A280000}"/>
    <cellStyle name="Normal 31 2 3 4 3" xfId="11082" xr:uid="{00000000-0005-0000-0000-00004B280000}"/>
    <cellStyle name="Normal 31 2 3 4 4" xfId="17275" xr:uid="{00000000-0005-0000-0000-00004C280000}"/>
    <cellStyle name="Normal 31 2 3 5" xfId="4913" xr:uid="{00000000-0005-0000-0000-00004D280000}"/>
    <cellStyle name="Normal 31 2 3 5 2" xfId="11084" xr:uid="{00000000-0005-0000-0000-00004E280000}"/>
    <cellStyle name="Normal 31 2 3 5 3" xfId="17277" xr:uid="{00000000-0005-0000-0000-00004F280000}"/>
    <cellStyle name="Normal 31 2 3 6" xfId="11073" xr:uid="{00000000-0005-0000-0000-000050280000}"/>
    <cellStyle name="Normal 31 2 3 7" xfId="17266" xr:uid="{00000000-0005-0000-0000-000051280000}"/>
    <cellStyle name="Normal 31 2 4" xfId="4914" xr:uid="{00000000-0005-0000-0000-000052280000}"/>
    <cellStyle name="Normal 31 2 4 2" xfId="4915" xr:uid="{00000000-0005-0000-0000-000053280000}"/>
    <cellStyle name="Normal 31 2 4 2 2" xfId="4916" xr:uid="{00000000-0005-0000-0000-000054280000}"/>
    <cellStyle name="Normal 31 2 4 2 2 2" xfId="11087" xr:uid="{00000000-0005-0000-0000-000055280000}"/>
    <cellStyle name="Normal 31 2 4 2 2 3" xfId="17280" xr:uid="{00000000-0005-0000-0000-000056280000}"/>
    <cellStyle name="Normal 31 2 4 2 3" xfId="11086" xr:uid="{00000000-0005-0000-0000-000057280000}"/>
    <cellStyle name="Normal 31 2 4 2 4" xfId="17279" xr:uid="{00000000-0005-0000-0000-000058280000}"/>
    <cellStyle name="Normal 31 2 4 3" xfId="4917" xr:uid="{00000000-0005-0000-0000-000059280000}"/>
    <cellStyle name="Normal 31 2 4 3 2" xfId="4918" xr:uid="{00000000-0005-0000-0000-00005A280000}"/>
    <cellStyle name="Normal 31 2 4 3 2 2" xfId="11089" xr:uid="{00000000-0005-0000-0000-00005B280000}"/>
    <cellStyle name="Normal 31 2 4 3 2 3" xfId="17282" xr:uid="{00000000-0005-0000-0000-00005C280000}"/>
    <cellStyle name="Normal 31 2 4 3 3" xfId="11088" xr:uid="{00000000-0005-0000-0000-00005D280000}"/>
    <cellStyle name="Normal 31 2 4 3 4" xfId="17281" xr:uid="{00000000-0005-0000-0000-00005E280000}"/>
    <cellStyle name="Normal 31 2 4 4" xfId="4919" xr:uid="{00000000-0005-0000-0000-00005F280000}"/>
    <cellStyle name="Normal 31 2 4 4 2" xfId="11090" xr:uid="{00000000-0005-0000-0000-000060280000}"/>
    <cellStyle name="Normal 31 2 4 4 3" xfId="17283" xr:uid="{00000000-0005-0000-0000-000061280000}"/>
    <cellStyle name="Normal 31 2 4 5" xfId="11085" xr:uid="{00000000-0005-0000-0000-000062280000}"/>
    <cellStyle name="Normal 31 2 4 6" xfId="17278" xr:uid="{00000000-0005-0000-0000-000063280000}"/>
    <cellStyle name="Normal 31 2 5" xfId="4920" xr:uid="{00000000-0005-0000-0000-000064280000}"/>
    <cellStyle name="Normal 31 2 5 2" xfId="4921" xr:uid="{00000000-0005-0000-0000-000065280000}"/>
    <cellStyle name="Normal 31 2 5 2 2" xfId="11092" xr:uid="{00000000-0005-0000-0000-000066280000}"/>
    <cellStyle name="Normal 31 2 5 2 3" xfId="17285" xr:uid="{00000000-0005-0000-0000-000067280000}"/>
    <cellStyle name="Normal 31 2 5 3" xfId="11091" xr:uid="{00000000-0005-0000-0000-000068280000}"/>
    <cellStyle name="Normal 31 2 5 4" xfId="17284" xr:uid="{00000000-0005-0000-0000-000069280000}"/>
    <cellStyle name="Normal 31 2 6" xfId="4922" xr:uid="{00000000-0005-0000-0000-00006A280000}"/>
    <cellStyle name="Normal 31 2 6 2" xfId="4923" xr:uid="{00000000-0005-0000-0000-00006B280000}"/>
    <cellStyle name="Normal 31 2 6 2 2" xfId="11094" xr:uid="{00000000-0005-0000-0000-00006C280000}"/>
    <cellStyle name="Normal 31 2 6 2 3" xfId="17287" xr:uid="{00000000-0005-0000-0000-00006D280000}"/>
    <cellStyle name="Normal 31 2 6 3" xfId="11093" xr:uid="{00000000-0005-0000-0000-00006E280000}"/>
    <cellStyle name="Normal 31 2 6 4" xfId="17286" xr:uid="{00000000-0005-0000-0000-00006F280000}"/>
    <cellStyle name="Normal 31 2 7" xfId="4924" xr:uid="{00000000-0005-0000-0000-000070280000}"/>
    <cellStyle name="Normal 31 2 7 2" xfId="11095" xr:uid="{00000000-0005-0000-0000-000071280000}"/>
    <cellStyle name="Normal 31 2 7 3" xfId="17288" xr:uid="{00000000-0005-0000-0000-000072280000}"/>
    <cellStyle name="Normal 31 2 8" xfId="4925" xr:uid="{00000000-0005-0000-0000-000073280000}"/>
    <cellStyle name="Normal 31 2 8 2" xfId="17289" xr:uid="{00000000-0005-0000-0000-000074280000}"/>
    <cellStyle name="Normal 31 2 9" xfId="11048" xr:uid="{00000000-0005-0000-0000-000075280000}"/>
    <cellStyle name="Normal 31 3" xfId="4926" xr:uid="{00000000-0005-0000-0000-000076280000}"/>
    <cellStyle name="Normal 31 3 2" xfId="4927" xr:uid="{00000000-0005-0000-0000-000077280000}"/>
    <cellStyle name="Normal 31 3 2 2" xfId="4928" xr:uid="{00000000-0005-0000-0000-000078280000}"/>
    <cellStyle name="Normal 31 3 2 2 2" xfId="4929" xr:uid="{00000000-0005-0000-0000-000079280000}"/>
    <cellStyle name="Normal 31 3 2 2 2 2" xfId="4930" xr:uid="{00000000-0005-0000-0000-00007A280000}"/>
    <cellStyle name="Normal 31 3 2 2 2 2 2" xfId="11100" xr:uid="{00000000-0005-0000-0000-00007B280000}"/>
    <cellStyle name="Normal 31 3 2 2 2 2 3" xfId="17294" xr:uid="{00000000-0005-0000-0000-00007C280000}"/>
    <cellStyle name="Normal 31 3 2 2 2 3" xfId="11099" xr:uid="{00000000-0005-0000-0000-00007D280000}"/>
    <cellStyle name="Normal 31 3 2 2 2 4" xfId="17293" xr:uid="{00000000-0005-0000-0000-00007E280000}"/>
    <cellStyle name="Normal 31 3 2 2 3" xfId="4931" xr:uid="{00000000-0005-0000-0000-00007F280000}"/>
    <cellStyle name="Normal 31 3 2 2 3 2" xfId="4932" xr:uid="{00000000-0005-0000-0000-000080280000}"/>
    <cellStyle name="Normal 31 3 2 2 3 2 2" xfId="11102" xr:uid="{00000000-0005-0000-0000-000081280000}"/>
    <cellStyle name="Normal 31 3 2 2 3 2 3" xfId="17296" xr:uid="{00000000-0005-0000-0000-000082280000}"/>
    <cellStyle name="Normal 31 3 2 2 3 3" xfId="11101" xr:uid="{00000000-0005-0000-0000-000083280000}"/>
    <cellStyle name="Normal 31 3 2 2 3 4" xfId="17295" xr:uid="{00000000-0005-0000-0000-000084280000}"/>
    <cellStyle name="Normal 31 3 2 2 4" xfId="4933" xr:uid="{00000000-0005-0000-0000-000085280000}"/>
    <cellStyle name="Normal 31 3 2 2 4 2" xfId="11103" xr:uid="{00000000-0005-0000-0000-000086280000}"/>
    <cellStyle name="Normal 31 3 2 2 4 3" xfId="17297" xr:uid="{00000000-0005-0000-0000-000087280000}"/>
    <cellStyle name="Normal 31 3 2 2 5" xfId="11098" xr:uid="{00000000-0005-0000-0000-000088280000}"/>
    <cellStyle name="Normal 31 3 2 2 6" xfId="17292" xr:uid="{00000000-0005-0000-0000-000089280000}"/>
    <cellStyle name="Normal 31 3 2 3" xfId="4934" xr:uid="{00000000-0005-0000-0000-00008A280000}"/>
    <cellStyle name="Normal 31 3 2 3 2" xfId="4935" xr:uid="{00000000-0005-0000-0000-00008B280000}"/>
    <cellStyle name="Normal 31 3 2 3 2 2" xfId="11105" xr:uid="{00000000-0005-0000-0000-00008C280000}"/>
    <cellStyle name="Normal 31 3 2 3 2 3" xfId="17299" xr:uid="{00000000-0005-0000-0000-00008D280000}"/>
    <cellStyle name="Normal 31 3 2 3 3" xfId="11104" xr:uid="{00000000-0005-0000-0000-00008E280000}"/>
    <cellStyle name="Normal 31 3 2 3 4" xfId="17298" xr:uid="{00000000-0005-0000-0000-00008F280000}"/>
    <cellStyle name="Normal 31 3 2 4" xfId="4936" xr:uid="{00000000-0005-0000-0000-000090280000}"/>
    <cellStyle name="Normal 31 3 2 4 2" xfId="4937" xr:uid="{00000000-0005-0000-0000-000091280000}"/>
    <cellStyle name="Normal 31 3 2 4 2 2" xfId="11107" xr:uid="{00000000-0005-0000-0000-000092280000}"/>
    <cellStyle name="Normal 31 3 2 4 2 3" xfId="17301" xr:uid="{00000000-0005-0000-0000-000093280000}"/>
    <cellStyle name="Normal 31 3 2 4 3" xfId="11106" xr:uid="{00000000-0005-0000-0000-000094280000}"/>
    <cellStyle name="Normal 31 3 2 4 4" xfId="17300" xr:uid="{00000000-0005-0000-0000-000095280000}"/>
    <cellStyle name="Normal 31 3 2 5" xfId="4938" xr:uid="{00000000-0005-0000-0000-000096280000}"/>
    <cellStyle name="Normal 31 3 2 5 2" xfId="11108" xr:uid="{00000000-0005-0000-0000-000097280000}"/>
    <cellStyle name="Normal 31 3 2 5 3" xfId="17302" xr:uid="{00000000-0005-0000-0000-000098280000}"/>
    <cellStyle name="Normal 31 3 2 6" xfId="11097" xr:uid="{00000000-0005-0000-0000-000099280000}"/>
    <cellStyle name="Normal 31 3 2 7" xfId="17291" xr:uid="{00000000-0005-0000-0000-00009A280000}"/>
    <cellStyle name="Normal 31 3 3" xfId="4939" xr:uid="{00000000-0005-0000-0000-00009B280000}"/>
    <cellStyle name="Normal 31 3 3 2" xfId="4940" xr:uid="{00000000-0005-0000-0000-00009C280000}"/>
    <cellStyle name="Normal 31 3 3 2 2" xfId="4941" xr:uid="{00000000-0005-0000-0000-00009D280000}"/>
    <cellStyle name="Normal 31 3 3 2 2 2" xfId="11111" xr:uid="{00000000-0005-0000-0000-00009E280000}"/>
    <cellStyle name="Normal 31 3 3 2 2 3" xfId="17305" xr:uid="{00000000-0005-0000-0000-00009F280000}"/>
    <cellStyle name="Normal 31 3 3 2 3" xfId="11110" xr:uid="{00000000-0005-0000-0000-0000A0280000}"/>
    <cellStyle name="Normal 31 3 3 2 4" xfId="17304" xr:uid="{00000000-0005-0000-0000-0000A1280000}"/>
    <cellStyle name="Normal 31 3 3 3" xfId="4942" xr:uid="{00000000-0005-0000-0000-0000A2280000}"/>
    <cellStyle name="Normal 31 3 3 3 2" xfId="4943" xr:uid="{00000000-0005-0000-0000-0000A3280000}"/>
    <cellStyle name="Normal 31 3 3 3 2 2" xfId="11113" xr:uid="{00000000-0005-0000-0000-0000A4280000}"/>
    <cellStyle name="Normal 31 3 3 3 2 3" xfId="17307" xr:uid="{00000000-0005-0000-0000-0000A5280000}"/>
    <cellStyle name="Normal 31 3 3 3 3" xfId="11112" xr:uid="{00000000-0005-0000-0000-0000A6280000}"/>
    <cellStyle name="Normal 31 3 3 3 4" xfId="17306" xr:uid="{00000000-0005-0000-0000-0000A7280000}"/>
    <cellStyle name="Normal 31 3 3 4" xfId="4944" xr:uid="{00000000-0005-0000-0000-0000A8280000}"/>
    <cellStyle name="Normal 31 3 3 4 2" xfId="11114" xr:uid="{00000000-0005-0000-0000-0000A9280000}"/>
    <cellStyle name="Normal 31 3 3 4 3" xfId="17308" xr:uid="{00000000-0005-0000-0000-0000AA280000}"/>
    <cellStyle name="Normal 31 3 3 5" xfId="11109" xr:uid="{00000000-0005-0000-0000-0000AB280000}"/>
    <cellStyle name="Normal 31 3 3 6" xfId="17303" xr:uid="{00000000-0005-0000-0000-0000AC280000}"/>
    <cellStyle name="Normal 31 3 4" xfId="4945" xr:uid="{00000000-0005-0000-0000-0000AD280000}"/>
    <cellStyle name="Normal 31 3 4 2" xfId="4946" xr:uid="{00000000-0005-0000-0000-0000AE280000}"/>
    <cellStyle name="Normal 31 3 4 2 2" xfId="11116" xr:uid="{00000000-0005-0000-0000-0000AF280000}"/>
    <cellStyle name="Normal 31 3 4 2 3" xfId="17310" xr:uid="{00000000-0005-0000-0000-0000B0280000}"/>
    <cellStyle name="Normal 31 3 4 3" xfId="11115" xr:uid="{00000000-0005-0000-0000-0000B1280000}"/>
    <cellStyle name="Normal 31 3 4 4" xfId="17309" xr:uid="{00000000-0005-0000-0000-0000B2280000}"/>
    <cellStyle name="Normal 31 3 5" xfId="4947" xr:uid="{00000000-0005-0000-0000-0000B3280000}"/>
    <cellStyle name="Normal 31 3 5 2" xfId="4948" xr:uid="{00000000-0005-0000-0000-0000B4280000}"/>
    <cellStyle name="Normal 31 3 5 2 2" xfId="11118" xr:uid="{00000000-0005-0000-0000-0000B5280000}"/>
    <cellStyle name="Normal 31 3 5 2 3" xfId="17312" xr:uid="{00000000-0005-0000-0000-0000B6280000}"/>
    <cellStyle name="Normal 31 3 5 3" xfId="11117" xr:uid="{00000000-0005-0000-0000-0000B7280000}"/>
    <cellStyle name="Normal 31 3 5 4" xfId="17311" xr:uid="{00000000-0005-0000-0000-0000B8280000}"/>
    <cellStyle name="Normal 31 3 6" xfId="4949" xr:uid="{00000000-0005-0000-0000-0000B9280000}"/>
    <cellStyle name="Normal 31 3 6 2" xfId="11119" xr:uid="{00000000-0005-0000-0000-0000BA280000}"/>
    <cellStyle name="Normal 31 3 6 3" xfId="17313" xr:uid="{00000000-0005-0000-0000-0000BB280000}"/>
    <cellStyle name="Normal 31 3 7" xfId="11096" xr:uid="{00000000-0005-0000-0000-0000BC280000}"/>
    <cellStyle name="Normal 31 3 8" xfId="17290" xr:uid="{00000000-0005-0000-0000-0000BD280000}"/>
    <cellStyle name="Normal 31 4" xfId="4950" xr:uid="{00000000-0005-0000-0000-0000BE280000}"/>
    <cellStyle name="Normal 31 4 2" xfId="4951" xr:uid="{00000000-0005-0000-0000-0000BF280000}"/>
    <cellStyle name="Normal 31 4 2 2" xfId="4952" xr:uid="{00000000-0005-0000-0000-0000C0280000}"/>
    <cellStyle name="Normal 31 4 2 2 2" xfId="4953" xr:uid="{00000000-0005-0000-0000-0000C1280000}"/>
    <cellStyle name="Normal 31 4 2 2 2 2" xfId="11123" xr:uid="{00000000-0005-0000-0000-0000C2280000}"/>
    <cellStyle name="Normal 31 4 2 2 2 3" xfId="17317" xr:uid="{00000000-0005-0000-0000-0000C3280000}"/>
    <cellStyle name="Normal 31 4 2 2 3" xfId="11122" xr:uid="{00000000-0005-0000-0000-0000C4280000}"/>
    <cellStyle name="Normal 31 4 2 2 4" xfId="17316" xr:uid="{00000000-0005-0000-0000-0000C5280000}"/>
    <cellStyle name="Normal 31 4 2 3" xfId="4954" xr:uid="{00000000-0005-0000-0000-0000C6280000}"/>
    <cellStyle name="Normal 31 4 2 3 2" xfId="4955" xr:uid="{00000000-0005-0000-0000-0000C7280000}"/>
    <cellStyle name="Normal 31 4 2 3 2 2" xfId="11125" xr:uid="{00000000-0005-0000-0000-0000C8280000}"/>
    <cellStyle name="Normal 31 4 2 3 2 3" xfId="17319" xr:uid="{00000000-0005-0000-0000-0000C9280000}"/>
    <cellStyle name="Normal 31 4 2 3 3" xfId="11124" xr:uid="{00000000-0005-0000-0000-0000CA280000}"/>
    <cellStyle name="Normal 31 4 2 3 4" xfId="17318" xr:uid="{00000000-0005-0000-0000-0000CB280000}"/>
    <cellStyle name="Normal 31 4 2 4" xfId="4956" xr:uid="{00000000-0005-0000-0000-0000CC280000}"/>
    <cellStyle name="Normal 31 4 2 4 2" xfId="11126" xr:uid="{00000000-0005-0000-0000-0000CD280000}"/>
    <cellStyle name="Normal 31 4 2 4 3" xfId="17320" xr:uid="{00000000-0005-0000-0000-0000CE280000}"/>
    <cellStyle name="Normal 31 4 2 5" xfId="11121" xr:uid="{00000000-0005-0000-0000-0000CF280000}"/>
    <cellStyle name="Normal 31 4 2 6" xfId="17315" xr:uid="{00000000-0005-0000-0000-0000D0280000}"/>
    <cellStyle name="Normal 31 4 3" xfId="4957" xr:uid="{00000000-0005-0000-0000-0000D1280000}"/>
    <cellStyle name="Normal 31 4 3 2" xfId="4958" xr:uid="{00000000-0005-0000-0000-0000D2280000}"/>
    <cellStyle name="Normal 31 4 3 2 2" xfId="11128" xr:uid="{00000000-0005-0000-0000-0000D3280000}"/>
    <cellStyle name="Normal 31 4 3 2 3" xfId="17322" xr:uid="{00000000-0005-0000-0000-0000D4280000}"/>
    <cellStyle name="Normal 31 4 3 3" xfId="11127" xr:uid="{00000000-0005-0000-0000-0000D5280000}"/>
    <cellStyle name="Normal 31 4 3 4" xfId="17321" xr:uid="{00000000-0005-0000-0000-0000D6280000}"/>
    <cellStyle name="Normal 31 4 4" xfId="4959" xr:uid="{00000000-0005-0000-0000-0000D7280000}"/>
    <cellStyle name="Normal 31 4 4 2" xfId="4960" xr:uid="{00000000-0005-0000-0000-0000D8280000}"/>
    <cellStyle name="Normal 31 4 4 2 2" xfId="11130" xr:uid="{00000000-0005-0000-0000-0000D9280000}"/>
    <cellStyle name="Normal 31 4 4 2 3" xfId="17324" xr:uid="{00000000-0005-0000-0000-0000DA280000}"/>
    <cellStyle name="Normal 31 4 4 3" xfId="11129" xr:uid="{00000000-0005-0000-0000-0000DB280000}"/>
    <cellStyle name="Normal 31 4 4 4" xfId="17323" xr:uid="{00000000-0005-0000-0000-0000DC280000}"/>
    <cellStyle name="Normal 31 4 5" xfId="4961" xr:uid="{00000000-0005-0000-0000-0000DD280000}"/>
    <cellStyle name="Normal 31 4 5 2" xfId="11131" xr:uid="{00000000-0005-0000-0000-0000DE280000}"/>
    <cellStyle name="Normal 31 4 5 3" xfId="17325" xr:uid="{00000000-0005-0000-0000-0000DF280000}"/>
    <cellStyle name="Normal 31 4 6" xfId="11120" xr:uid="{00000000-0005-0000-0000-0000E0280000}"/>
    <cellStyle name="Normal 31 4 7" xfId="17314" xr:uid="{00000000-0005-0000-0000-0000E1280000}"/>
    <cellStyle name="Normal 31 5" xfId="4962" xr:uid="{00000000-0005-0000-0000-0000E2280000}"/>
    <cellStyle name="Normal 31 5 2" xfId="4963" xr:uid="{00000000-0005-0000-0000-0000E3280000}"/>
    <cellStyle name="Normal 31 5 2 2" xfId="4964" xr:uid="{00000000-0005-0000-0000-0000E4280000}"/>
    <cellStyle name="Normal 31 5 2 2 2" xfId="11134" xr:uid="{00000000-0005-0000-0000-0000E5280000}"/>
    <cellStyle name="Normal 31 5 2 2 3" xfId="17328" xr:uid="{00000000-0005-0000-0000-0000E6280000}"/>
    <cellStyle name="Normal 31 5 2 3" xfId="11133" xr:uid="{00000000-0005-0000-0000-0000E7280000}"/>
    <cellStyle name="Normal 31 5 2 4" xfId="17327" xr:uid="{00000000-0005-0000-0000-0000E8280000}"/>
    <cellStyle name="Normal 31 5 3" xfId="4965" xr:uid="{00000000-0005-0000-0000-0000E9280000}"/>
    <cellStyle name="Normal 31 5 3 2" xfId="4966" xr:uid="{00000000-0005-0000-0000-0000EA280000}"/>
    <cellStyle name="Normal 31 5 3 2 2" xfId="11136" xr:uid="{00000000-0005-0000-0000-0000EB280000}"/>
    <cellStyle name="Normal 31 5 3 2 3" xfId="17330" xr:uid="{00000000-0005-0000-0000-0000EC280000}"/>
    <cellStyle name="Normal 31 5 3 3" xfId="11135" xr:uid="{00000000-0005-0000-0000-0000ED280000}"/>
    <cellStyle name="Normal 31 5 3 4" xfId="17329" xr:uid="{00000000-0005-0000-0000-0000EE280000}"/>
    <cellStyle name="Normal 31 5 4" xfId="4967" xr:uid="{00000000-0005-0000-0000-0000EF280000}"/>
    <cellStyle name="Normal 31 5 4 2" xfId="11137" xr:uid="{00000000-0005-0000-0000-0000F0280000}"/>
    <cellStyle name="Normal 31 5 4 3" xfId="17331" xr:uid="{00000000-0005-0000-0000-0000F1280000}"/>
    <cellStyle name="Normal 31 5 5" xfId="11132" xr:uid="{00000000-0005-0000-0000-0000F2280000}"/>
    <cellStyle name="Normal 31 5 6" xfId="17326" xr:uid="{00000000-0005-0000-0000-0000F3280000}"/>
    <cellStyle name="Normal 31 6" xfId="4968" xr:uid="{00000000-0005-0000-0000-0000F4280000}"/>
    <cellStyle name="Normal 31 6 2" xfId="4969" xr:uid="{00000000-0005-0000-0000-0000F5280000}"/>
    <cellStyle name="Normal 31 6 2 2" xfId="11139" xr:uid="{00000000-0005-0000-0000-0000F6280000}"/>
    <cellStyle name="Normal 31 6 2 3" xfId="17333" xr:uid="{00000000-0005-0000-0000-0000F7280000}"/>
    <cellStyle name="Normal 31 6 3" xfId="11138" xr:uid="{00000000-0005-0000-0000-0000F8280000}"/>
    <cellStyle name="Normal 31 6 4" xfId="17332" xr:uid="{00000000-0005-0000-0000-0000F9280000}"/>
    <cellStyle name="Normal 31 7" xfId="4970" xr:uid="{00000000-0005-0000-0000-0000FA280000}"/>
    <cellStyle name="Normal 31 7 2" xfId="4971" xr:uid="{00000000-0005-0000-0000-0000FB280000}"/>
    <cellStyle name="Normal 31 7 2 2" xfId="11141" xr:uid="{00000000-0005-0000-0000-0000FC280000}"/>
    <cellStyle name="Normal 31 7 2 3" xfId="17335" xr:uid="{00000000-0005-0000-0000-0000FD280000}"/>
    <cellStyle name="Normal 31 7 3" xfId="11140" xr:uid="{00000000-0005-0000-0000-0000FE280000}"/>
    <cellStyle name="Normal 31 7 4" xfId="17334" xr:uid="{00000000-0005-0000-0000-0000FF280000}"/>
    <cellStyle name="Normal 31 8" xfId="4972" xr:uid="{00000000-0005-0000-0000-000000290000}"/>
    <cellStyle name="Normal 31 8 2" xfId="11142" xr:uid="{00000000-0005-0000-0000-000001290000}"/>
    <cellStyle name="Normal 31 8 3" xfId="17336" xr:uid="{00000000-0005-0000-0000-000002290000}"/>
    <cellStyle name="Normal 31 9" xfId="4973" xr:uid="{00000000-0005-0000-0000-000003290000}"/>
    <cellStyle name="Normal 31 9 2" xfId="17337" xr:uid="{00000000-0005-0000-0000-000004290000}"/>
    <cellStyle name="Normal 32" xfId="4974" xr:uid="{00000000-0005-0000-0000-000005290000}"/>
    <cellStyle name="Normal 32 10" xfId="11143" xr:uid="{00000000-0005-0000-0000-000006290000}"/>
    <cellStyle name="Normal 32 11" xfId="17338" xr:uid="{00000000-0005-0000-0000-000007290000}"/>
    <cellStyle name="Normal 32 2" xfId="4975" xr:uid="{00000000-0005-0000-0000-000008290000}"/>
    <cellStyle name="Normal 32 2 2" xfId="4976" xr:uid="{00000000-0005-0000-0000-000009290000}"/>
    <cellStyle name="Normal 32 2 2 2" xfId="4977" xr:uid="{00000000-0005-0000-0000-00000A290000}"/>
    <cellStyle name="Normal 32 2 2 2 2" xfId="4978" xr:uid="{00000000-0005-0000-0000-00000B290000}"/>
    <cellStyle name="Normal 32 2 2 2 2 2" xfId="4979" xr:uid="{00000000-0005-0000-0000-00000C290000}"/>
    <cellStyle name="Normal 32 2 2 2 2 2 2" xfId="4980" xr:uid="{00000000-0005-0000-0000-00000D290000}"/>
    <cellStyle name="Normal 32 2 2 2 2 2 2 2" xfId="11149" xr:uid="{00000000-0005-0000-0000-00000E290000}"/>
    <cellStyle name="Normal 32 2 2 2 2 2 2 3" xfId="17344" xr:uid="{00000000-0005-0000-0000-00000F290000}"/>
    <cellStyle name="Normal 32 2 2 2 2 2 3" xfId="11148" xr:uid="{00000000-0005-0000-0000-000010290000}"/>
    <cellStyle name="Normal 32 2 2 2 2 2 4" xfId="17343" xr:uid="{00000000-0005-0000-0000-000011290000}"/>
    <cellStyle name="Normal 32 2 2 2 2 3" xfId="4981" xr:uid="{00000000-0005-0000-0000-000012290000}"/>
    <cellStyle name="Normal 32 2 2 2 2 3 2" xfId="4982" xr:uid="{00000000-0005-0000-0000-000013290000}"/>
    <cellStyle name="Normal 32 2 2 2 2 3 2 2" xfId="11151" xr:uid="{00000000-0005-0000-0000-000014290000}"/>
    <cellStyle name="Normal 32 2 2 2 2 3 2 3" xfId="17346" xr:uid="{00000000-0005-0000-0000-000015290000}"/>
    <cellStyle name="Normal 32 2 2 2 2 3 3" xfId="11150" xr:uid="{00000000-0005-0000-0000-000016290000}"/>
    <cellStyle name="Normal 32 2 2 2 2 3 4" xfId="17345" xr:uid="{00000000-0005-0000-0000-000017290000}"/>
    <cellStyle name="Normal 32 2 2 2 2 4" xfId="4983" xr:uid="{00000000-0005-0000-0000-000018290000}"/>
    <cellStyle name="Normal 32 2 2 2 2 4 2" xfId="11152" xr:uid="{00000000-0005-0000-0000-000019290000}"/>
    <cellStyle name="Normal 32 2 2 2 2 4 3" xfId="17347" xr:uid="{00000000-0005-0000-0000-00001A290000}"/>
    <cellStyle name="Normal 32 2 2 2 2 5" xfId="11147" xr:uid="{00000000-0005-0000-0000-00001B290000}"/>
    <cellStyle name="Normal 32 2 2 2 2 6" xfId="17342" xr:uid="{00000000-0005-0000-0000-00001C290000}"/>
    <cellStyle name="Normal 32 2 2 2 3" xfId="4984" xr:uid="{00000000-0005-0000-0000-00001D290000}"/>
    <cellStyle name="Normal 32 2 2 2 3 2" xfId="4985" xr:uid="{00000000-0005-0000-0000-00001E290000}"/>
    <cellStyle name="Normal 32 2 2 2 3 2 2" xfId="11154" xr:uid="{00000000-0005-0000-0000-00001F290000}"/>
    <cellStyle name="Normal 32 2 2 2 3 2 3" xfId="17349" xr:uid="{00000000-0005-0000-0000-000020290000}"/>
    <cellStyle name="Normal 32 2 2 2 3 3" xfId="11153" xr:uid="{00000000-0005-0000-0000-000021290000}"/>
    <cellStyle name="Normal 32 2 2 2 3 4" xfId="17348" xr:uid="{00000000-0005-0000-0000-000022290000}"/>
    <cellStyle name="Normal 32 2 2 2 4" xfId="4986" xr:uid="{00000000-0005-0000-0000-000023290000}"/>
    <cellStyle name="Normal 32 2 2 2 4 2" xfId="4987" xr:uid="{00000000-0005-0000-0000-000024290000}"/>
    <cellStyle name="Normal 32 2 2 2 4 2 2" xfId="11156" xr:uid="{00000000-0005-0000-0000-000025290000}"/>
    <cellStyle name="Normal 32 2 2 2 4 2 3" xfId="17351" xr:uid="{00000000-0005-0000-0000-000026290000}"/>
    <cellStyle name="Normal 32 2 2 2 4 3" xfId="11155" xr:uid="{00000000-0005-0000-0000-000027290000}"/>
    <cellStyle name="Normal 32 2 2 2 4 4" xfId="17350" xr:uid="{00000000-0005-0000-0000-000028290000}"/>
    <cellStyle name="Normal 32 2 2 2 5" xfId="4988" xr:uid="{00000000-0005-0000-0000-000029290000}"/>
    <cellStyle name="Normal 32 2 2 2 5 2" xfId="11157" xr:uid="{00000000-0005-0000-0000-00002A290000}"/>
    <cellStyle name="Normal 32 2 2 2 5 3" xfId="17352" xr:uid="{00000000-0005-0000-0000-00002B290000}"/>
    <cellStyle name="Normal 32 2 2 2 6" xfId="11146" xr:uid="{00000000-0005-0000-0000-00002C290000}"/>
    <cellStyle name="Normal 32 2 2 2 7" xfId="17341" xr:uid="{00000000-0005-0000-0000-00002D290000}"/>
    <cellStyle name="Normal 32 2 2 3" xfId="4989" xr:uid="{00000000-0005-0000-0000-00002E290000}"/>
    <cellStyle name="Normal 32 2 2 3 2" xfId="4990" xr:uid="{00000000-0005-0000-0000-00002F290000}"/>
    <cellStyle name="Normal 32 2 2 3 2 2" xfId="4991" xr:uid="{00000000-0005-0000-0000-000030290000}"/>
    <cellStyle name="Normal 32 2 2 3 2 2 2" xfId="11160" xr:uid="{00000000-0005-0000-0000-000031290000}"/>
    <cellStyle name="Normal 32 2 2 3 2 2 3" xfId="17355" xr:uid="{00000000-0005-0000-0000-000032290000}"/>
    <cellStyle name="Normal 32 2 2 3 2 3" xfId="11159" xr:uid="{00000000-0005-0000-0000-000033290000}"/>
    <cellStyle name="Normal 32 2 2 3 2 4" xfId="17354" xr:uid="{00000000-0005-0000-0000-000034290000}"/>
    <cellStyle name="Normal 32 2 2 3 3" xfId="4992" xr:uid="{00000000-0005-0000-0000-000035290000}"/>
    <cellStyle name="Normal 32 2 2 3 3 2" xfId="4993" xr:uid="{00000000-0005-0000-0000-000036290000}"/>
    <cellStyle name="Normal 32 2 2 3 3 2 2" xfId="11162" xr:uid="{00000000-0005-0000-0000-000037290000}"/>
    <cellStyle name="Normal 32 2 2 3 3 2 3" xfId="17357" xr:uid="{00000000-0005-0000-0000-000038290000}"/>
    <cellStyle name="Normal 32 2 2 3 3 3" xfId="11161" xr:uid="{00000000-0005-0000-0000-000039290000}"/>
    <cellStyle name="Normal 32 2 2 3 3 4" xfId="17356" xr:uid="{00000000-0005-0000-0000-00003A290000}"/>
    <cellStyle name="Normal 32 2 2 3 4" xfId="4994" xr:uid="{00000000-0005-0000-0000-00003B290000}"/>
    <cellStyle name="Normal 32 2 2 3 4 2" xfId="11163" xr:uid="{00000000-0005-0000-0000-00003C290000}"/>
    <cellStyle name="Normal 32 2 2 3 4 3" xfId="17358" xr:uid="{00000000-0005-0000-0000-00003D290000}"/>
    <cellStyle name="Normal 32 2 2 3 5" xfId="11158" xr:uid="{00000000-0005-0000-0000-00003E290000}"/>
    <cellStyle name="Normal 32 2 2 3 6" xfId="17353" xr:uid="{00000000-0005-0000-0000-00003F290000}"/>
    <cellStyle name="Normal 32 2 2 4" xfId="4995" xr:uid="{00000000-0005-0000-0000-000040290000}"/>
    <cellStyle name="Normal 32 2 2 4 2" xfId="4996" xr:uid="{00000000-0005-0000-0000-000041290000}"/>
    <cellStyle name="Normal 32 2 2 4 2 2" xfId="11165" xr:uid="{00000000-0005-0000-0000-000042290000}"/>
    <cellStyle name="Normal 32 2 2 4 2 3" xfId="17360" xr:uid="{00000000-0005-0000-0000-000043290000}"/>
    <cellStyle name="Normal 32 2 2 4 3" xfId="11164" xr:uid="{00000000-0005-0000-0000-000044290000}"/>
    <cellStyle name="Normal 32 2 2 4 4" xfId="17359" xr:uid="{00000000-0005-0000-0000-000045290000}"/>
    <cellStyle name="Normal 32 2 2 5" xfId="4997" xr:uid="{00000000-0005-0000-0000-000046290000}"/>
    <cellStyle name="Normal 32 2 2 5 2" xfId="4998" xr:uid="{00000000-0005-0000-0000-000047290000}"/>
    <cellStyle name="Normal 32 2 2 5 2 2" xfId="11167" xr:uid="{00000000-0005-0000-0000-000048290000}"/>
    <cellStyle name="Normal 32 2 2 5 2 3" xfId="17362" xr:uid="{00000000-0005-0000-0000-000049290000}"/>
    <cellStyle name="Normal 32 2 2 5 3" xfId="11166" xr:uid="{00000000-0005-0000-0000-00004A290000}"/>
    <cellStyle name="Normal 32 2 2 5 4" xfId="17361" xr:uid="{00000000-0005-0000-0000-00004B290000}"/>
    <cellStyle name="Normal 32 2 2 6" xfId="4999" xr:uid="{00000000-0005-0000-0000-00004C290000}"/>
    <cellStyle name="Normal 32 2 2 6 2" xfId="11168" xr:uid="{00000000-0005-0000-0000-00004D290000}"/>
    <cellStyle name="Normal 32 2 2 6 3" xfId="17363" xr:uid="{00000000-0005-0000-0000-00004E290000}"/>
    <cellStyle name="Normal 32 2 2 7" xfId="11145" xr:uid="{00000000-0005-0000-0000-00004F290000}"/>
    <cellStyle name="Normal 32 2 2 8" xfId="17340" xr:uid="{00000000-0005-0000-0000-000050290000}"/>
    <cellStyle name="Normal 32 2 3" xfId="5000" xr:uid="{00000000-0005-0000-0000-000051290000}"/>
    <cellStyle name="Normal 32 2 3 2" xfId="5001" xr:uid="{00000000-0005-0000-0000-000052290000}"/>
    <cellStyle name="Normal 32 2 3 2 2" xfId="5002" xr:uid="{00000000-0005-0000-0000-000053290000}"/>
    <cellStyle name="Normal 32 2 3 2 2 2" xfId="5003" xr:uid="{00000000-0005-0000-0000-000054290000}"/>
    <cellStyle name="Normal 32 2 3 2 2 2 2" xfId="11172" xr:uid="{00000000-0005-0000-0000-000055290000}"/>
    <cellStyle name="Normal 32 2 3 2 2 2 3" xfId="17367" xr:uid="{00000000-0005-0000-0000-000056290000}"/>
    <cellStyle name="Normal 32 2 3 2 2 3" xfId="11171" xr:uid="{00000000-0005-0000-0000-000057290000}"/>
    <cellStyle name="Normal 32 2 3 2 2 4" xfId="17366" xr:uid="{00000000-0005-0000-0000-000058290000}"/>
    <cellStyle name="Normal 32 2 3 2 3" xfId="5004" xr:uid="{00000000-0005-0000-0000-000059290000}"/>
    <cellStyle name="Normal 32 2 3 2 3 2" xfId="5005" xr:uid="{00000000-0005-0000-0000-00005A290000}"/>
    <cellStyle name="Normal 32 2 3 2 3 2 2" xfId="11174" xr:uid="{00000000-0005-0000-0000-00005B290000}"/>
    <cellStyle name="Normal 32 2 3 2 3 2 3" xfId="17369" xr:uid="{00000000-0005-0000-0000-00005C290000}"/>
    <cellStyle name="Normal 32 2 3 2 3 3" xfId="11173" xr:uid="{00000000-0005-0000-0000-00005D290000}"/>
    <cellStyle name="Normal 32 2 3 2 3 4" xfId="17368" xr:uid="{00000000-0005-0000-0000-00005E290000}"/>
    <cellStyle name="Normal 32 2 3 2 4" xfId="5006" xr:uid="{00000000-0005-0000-0000-00005F290000}"/>
    <cellStyle name="Normal 32 2 3 2 4 2" xfId="11175" xr:uid="{00000000-0005-0000-0000-000060290000}"/>
    <cellStyle name="Normal 32 2 3 2 4 3" xfId="17370" xr:uid="{00000000-0005-0000-0000-000061290000}"/>
    <cellStyle name="Normal 32 2 3 2 5" xfId="11170" xr:uid="{00000000-0005-0000-0000-000062290000}"/>
    <cellStyle name="Normal 32 2 3 2 6" xfId="17365" xr:uid="{00000000-0005-0000-0000-000063290000}"/>
    <cellStyle name="Normal 32 2 3 3" xfId="5007" xr:uid="{00000000-0005-0000-0000-000064290000}"/>
    <cellStyle name="Normal 32 2 3 3 2" xfId="5008" xr:uid="{00000000-0005-0000-0000-000065290000}"/>
    <cellStyle name="Normal 32 2 3 3 2 2" xfId="11177" xr:uid="{00000000-0005-0000-0000-000066290000}"/>
    <cellStyle name="Normal 32 2 3 3 2 3" xfId="17372" xr:uid="{00000000-0005-0000-0000-000067290000}"/>
    <cellStyle name="Normal 32 2 3 3 3" xfId="11176" xr:uid="{00000000-0005-0000-0000-000068290000}"/>
    <cellStyle name="Normal 32 2 3 3 4" xfId="17371" xr:uid="{00000000-0005-0000-0000-000069290000}"/>
    <cellStyle name="Normal 32 2 3 4" xfId="5009" xr:uid="{00000000-0005-0000-0000-00006A290000}"/>
    <cellStyle name="Normal 32 2 3 4 2" xfId="5010" xr:uid="{00000000-0005-0000-0000-00006B290000}"/>
    <cellStyle name="Normal 32 2 3 4 2 2" xfId="11179" xr:uid="{00000000-0005-0000-0000-00006C290000}"/>
    <cellStyle name="Normal 32 2 3 4 2 3" xfId="17374" xr:uid="{00000000-0005-0000-0000-00006D290000}"/>
    <cellStyle name="Normal 32 2 3 4 3" xfId="11178" xr:uid="{00000000-0005-0000-0000-00006E290000}"/>
    <cellStyle name="Normal 32 2 3 4 4" xfId="17373" xr:uid="{00000000-0005-0000-0000-00006F290000}"/>
    <cellStyle name="Normal 32 2 3 5" xfId="5011" xr:uid="{00000000-0005-0000-0000-000070290000}"/>
    <cellStyle name="Normal 32 2 3 5 2" xfId="11180" xr:uid="{00000000-0005-0000-0000-000071290000}"/>
    <cellStyle name="Normal 32 2 3 5 3" xfId="17375" xr:uid="{00000000-0005-0000-0000-000072290000}"/>
    <cellStyle name="Normal 32 2 3 6" xfId="11169" xr:uid="{00000000-0005-0000-0000-000073290000}"/>
    <cellStyle name="Normal 32 2 3 7" xfId="17364" xr:uid="{00000000-0005-0000-0000-000074290000}"/>
    <cellStyle name="Normal 32 2 4" xfId="5012" xr:uid="{00000000-0005-0000-0000-000075290000}"/>
    <cellStyle name="Normal 32 2 4 2" xfId="5013" xr:uid="{00000000-0005-0000-0000-000076290000}"/>
    <cellStyle name="Normal 32 2 4 2 2" xfId="5014" xr:uid="{00000000-0005-0000-0000-000077290000}"/>
    <cellStyle name="Normal 32 2 4 2 2 2" xfId="11183" xr:uid="{00000000-0005-0000-0000-000078290000}"/>
    <cellStyle name="Normal 32 2 4 2 2 3" xfId="17378" xr:uid="{00000000-0005-0000-0000-000079290000}"/>
    <cellStyle name="Normal 32 2 4 2 3" xfId="11182" xr:uid="{00000000-0005-0000-0000-00007A290000}"/>
    <cellStyle name="Normal 32 2 4 2 4" xfId="17377" xr:uid="{00000000-0005-0000-0000-00007B290000}"/>
    <cellStyle name="Normal 32 2 4 3" xfId="5015" xr:uid="{00000000-0005-0000-0000-00007C290000}"/>
    <cellStyle name="Normal 32 2 4 3 2" xfId="5016" xr:uid="{00000000-0005-0000-0000-00007D290000}"/>
    <cellStyle name="Normal 32 2 4 3 2 2" xfId="11185" xr:uid="{00000000-0005-0000-0000-00007E290000}"/>
    <cellStyle name="Normal 32 2 4 3 2 3" xfId="17380" xr:uid="{00000000-0005-0000-0000-00007F290000}"/>
    <cellStyle name="Normal 32 2 4 3 3" xfId="11184" xr:uid="{00000000-0005-0000-0000-000080290000}"/>
    <cellStyle name="Normal 32 2 4 3 4" xfId="17379" xr:uid="{00000000-0005-0000-0000-000081290000}"/>
    <cellStyle name="Normal 32 2 4 4" xfId="5017" xr:uid="{00000000-0005-0000-0000-000082290000}"/>
    <cellStyle name="Normal 32 2 4 4 2" xfId="11186" xr:uid="{00000000-0005-0000-0000-000083290000}"/>
    <cellStyle name="Normal 32 2 4 4 3" xfId="17381" xr:uid="{00000000-0005-0000-0000-000084290000}"/>
    <cellStyle name="Normal 32 2 4 5" xfId="11181" xr:uid="{00000000-0005-0000-0000-000085290000}"/>
    <cellStyle name="Normal 32 2 4 6" xfId="17376" xr:uid="{00000000-0005-0000-0000-000086290000}"/>
    <cellStyle name="Normal 32 2 5" xfId="5018" xr:uid="{00000000-0005-0000-0000-000087290000}"/>
    <cellStyle name="Normal 32 2 5 2" xfId="5019" xr:uid="{00000000-0005-0000-0000-000088290000}"/>
    <cellStyle name="Normal 32 2 5 2 2" xfId="11188" xr:uid="{00000000-0005-0000-0000-000089290000}"/>
    <cellStyle name="Normal 32 2 5 2 3" xfId="17383" xr:uid="{00000000-0005-0000-0000-00008A290000}"/>
    <cellStyle name="Normal 32 2 5 3" xfId="11187" xr:uid="{00000000-0005-0000-0000-00008B290000}"/>
    <cellStyle name="Normal 32 2 5 4" xfId="17382" xr:uid="{00000000-0005-0000-0000-00008C290000}"/>
    <cellStyle name="Normal 32 2 6" xfId="5020" xr:uid="{00000000-0005-0000-0000-00008D290000}"/>
    <cellStyle name="Normal 32 2 6 2" xfId="5021" xr:uid="{00000000-0005-0000-0000-00008E290000}"/>
    <cellStyle name="Normal 32 2 6 2 2" xfId="11190" xr:uid="{00000000-0005-0000-0000-00008F290000}"/>
    <cellStyle name="Normal 32 2 6 2 3" xfId="17385" xr:uid="{00000000-0005-0000-0000-000090290000}"/>
    <cellStyle name="Normal 32 2 6 3" xfId="11189" xr:uid="{00000000-0005-0000-0000-000091290000}"/>
    <cellStyle name="Normal 32 2 6 4" xfId="17384" xr:uid="{00000000-0005-0000-0000-000092290000}"/>
    <cellStyle name="Normal 32 2 7" xfId="5022" xr:uid="{00000000-0005-0000-0000-000093290000}"/>
    <cellStyle name="Normal 32 2 7 2" xfId="11191" xr:uid="{00000000-0005-0000-0000-000094290000}"/>
    <cellStyle name="Normal 32 2 7 3" xfId="17386" xr:uid="{00000000-0005-0000-0000-000095290000}"/>
    <cellStyle name="Normal 32 2 8" xfId="11144" xr:uid="{00000000-0005-0000-0000-000096290000}"/>
    <cellStyle name="Normal 32 2 9" xfId="17339" xr:uid="{00000000-0005-0000-0000-000097290000}"/>
    <cellStyle name="Normal 32 3" xfId="5023" xr:uid="{00000000-0005-0000-0000-000098290000}"/>
    <cellStyle name="Normal 32 3 2" xfId="5024" xr:uid="{00000000-0005-0000-0000-000099290000}"/>
    <cellStyle name="Normal 32 3 2 2" xfId="5025" xr:uid="{00000000-0005-0000-0000-00009A290000}"/>
    <cellStyle name="Normal 32 3 2 2 2" xfId="5026" xr:uid="{00000000-0005-0000-0000-00009B290000}"/>
    <cellStyle name="Normal 32 3 2 2 2 2" xfId="5027" xr:uid="{00000000-0005-0000-0000-00009C290000}"/>
    <cellStyle name="Normal 32 3 2 2 2 2 2" xfId="11196" xr:uid="{00000000-0005-0000-0000-00009D290000}"/>
    <cellStyle name="Normal 32 3 2 2 2 2 3" xfId="17391" xr:uid="{00000000-0005-0000-0000-00009E290000}"/>
    <cellStyle name="Normal 32 3 2 2 2 3" xfId="11195" xr:uid="{00000000-0005-0000-0000-00009F290000}"/>
    <cellStyle name="Normal 32 3 2 2 2 4" xfId="17390" xr:uid="{00000000-0005-0000-0000-0000A0290000}"/>
    <cellStyle name="Normal 32 3 2 2 3" xfId="5028" xr:uid="{00000000-0005-0000-0000-0000A1290000}"/>
    <cellStyle name="Normal 32 3 2 2 3 2" xfId="5029" xr:uid="{00000000-0005-0000-0000-0000A2290000}"/>
    <cellStyle name="Normal 32 3 2 2 3 2 2" xfId="11198" xr:uid="{00000000-0005-0000-0000-0000A3290000}"/>
    <cellStyle name="Normal 32 3 2 2 3 2 3" xfId="17393" xr:uid="{00000000-0005-0000-0000-0000A4290000}"/>
    <cellStyle name="Normal 32 3 2 2 3 3" xfId="11197" xr:uid="{00000000-0005-0000-0000-0000A5290000}"/>
    <cellStyle name="Normal 32 3 2 2 3 4" xfId="17392" xr:uid="{00000000-0005-0000-0000-0000A6290000}"/>
    <cellStyle name="Normal 32 3 2 2 4" xfId="5030" xr:uid="{00000000-0005-0000-0000-0000A7290000}"/>
    <cellStyle name="Normal 32 3 2 2 4 2" xfId="11199" xr:uid="{00000000-0005-0000-0000-0000A8290000}"/>
    <cellStyle name="Normal 32 3 2 2 4 3" xfId="17394" xr:uid="{00000000-0005-0000-0000-0000A9290000}"/>
    <cellStyle name="Normal 32 3 2 2 5" xfId="11194" xr:uid="{00000000-0005-0000-0000-0000AA290000}"/>
    <cellStyle name="Normal 32 3 2 2 6" xfId="17389" xr:uid="{00000000-0005-0000-0000-0000AB290000}"/>
    <cellStyle name="Normal 32 3 2 3" xfId="5031" xr:uid="{00000000-0005-0000-0000-0000AC290000}"/>
    <cellStyle name="Normal 32 3 2 3 2" xfId="5032" xr:uid="{00000000-0005-0000-0000-0000AD290000}"/>
    <cellStyle name="Normal 32 3 2 3 2 2" xfId="11201" xr:uid="{00000000-0005-0000-0000-0000AE290000}"/>
    <cellStyle name="Normal 32 3 2 3 2 3" xfId="17396" xr:uid="{00000000-0005-0000-0000-0000AF290000}"/>
    <cellStyle name="Normal 32 3 2 3 3" xfId="11200" xr:uid="{00000000-0005-0000-0000-0000B0290000}"/>
    <cellStyle name="Normal 32 3 2 3 4" xfId="17395" xr:uid="{00000000-0005-0000-0000-0000B1290000}"/>
    <cellStyle name="Normal 32 3 2 4" xfId="5033" xr:uid="{00000000-0005-0000-0000-0000B2290000}"/>
    <cellStyle name="Normal 32 3 2 4 2" xfId="5034" xr:uid="{00000000-0005-0000-0000-0000B3290000}"/>
    <cellStyle name="Normal 32 3 2 4 2 2" xfId="11203" xr:uid="{00000000-0005-0000-0000-0000B4290000}"/>
    <cellStyle name="Normal 32 3 2 4 2 3" xfId="17398" xr:uid="{00000000-0005-0000-0000-0000B5290000}"/>
    <cellStyle name="Normal 32 3 2 4 3" xfId="11202" xr:uid="{00000000-0005-0000-0000-0000B6290000}"/>
    <cellStyle name="Normal 32 3 2 4 4" xfId="17397" xr:uid="{00000000-0005-0000-0000-0000B7290000}"/>
    <cellStyle name="Normal 32 3 2 5" xfId="5035" xr:uid="{00000000-0005-0000-0000-0000B8290000}"/>
    <cellStyle name="Normal 32 3 2 5 2" xfId="11204" xr:uid="{00000000-0005-0000-0000-0000B9290000}"/>
    <cellStyle name="Normal 32 3 2 5 3" xfId="17399" xr:uid="{00000000-0005-0000-0000-0000BA290000}"/>
    <cellStyle name="Normal 32 3 2 6" xfId="11193" xr:uid="{00000000-0005-0000-0000-0000BB290000}"/>
    <cellStyle name="Normal 32 3 2 7" xfId="17388" xr:uid="{00000000-0005-0000-0000-0000BC290000}"/>
    <cellStyle name="Normal 32 3 3" xfId="5036" xr:uid="{00000000-0005-0000-0000-0000BD290000}"/>
    <cellStyle name="Normal 32 3 3 2" xfId="5037" xr:uid="{00000000-0005-0000-0000-0000BE290000}"/>
    <cellStyle name="Normal 32 3 3 2 2" xfId="5038" xr:uid="{00000000-0005-0000-0000-0000BF290000}"/>
    <cellStyle name="Normal 32 3 3 2 2 2" xfId="11207" xr:uid="{00000000-0005-0000-0000-0000C0290000}"/>
    <cellStyle name="Normal 32 3 3 2 2 3" xfId="17402" xr:uid="{00000000-0005-0000-0000-0000C1290000}"/>
    <cellStyle name="Normal 32 3 3 2 3" xfId="11206" xr:uid="{00000000-0005-0000-0000-0000C2290000}"/>
    <cellStyle name="Normal 32 3 3 2 4" xfId="17401" xr:uid="{00000000-0005-0000-0000-0000C3290000}"/>
    <cellStyle name="Normal 32 3 3 3" xfId="5039" xr:uid="{00000000-0005-0000-0000-0000C4290000}"/>
    <cellStyle name="Normal 32 3 3 3 2" xfId="5040" xr:uid="{00000000-0005-0000-0000-0000C5290000}"/>
    <cellStyle name="Normal 32 3 3 3 2 2" xfId="11209" xr:uid="{00000000-0005-0000-0000-0000C6290000}"/>
    <cellStyle name="Normal 32 3 3 3 2 3" xfId="17404" xr:uid="{00000000-0005-0000-0000-0000C7290000}"/>
    <cellStyle name="Normal 32 3 3 3 3" xfId="11208" xr:uid="{00000000-0005-0000-0000-0000C8290000}"/>
    <cellStyle name="Normal 32 3 3 3 4" xfId="17403" xr:uid="{00000000-0005-0000-0000-0000C9290000}"/>
    <cellStyle name="Normal 32 3 3 4" xfId="5041" xr:uid="{00000000-0005-0000-0000-0000CA290000}"/>
    <cellStyle name="Normal 32 3 3 4 2" xfId="11210" xr:uid="{00000000-0005-0000-0000-0000CB290000}"/>
    <cellStyle name="Normal 32 3 3 4 3" xfId="17405" xr:uid="{00000000-0005-0000-0000-0000CC290000}"/>
    <cellStyle name="Normal 32 3 3 5" xfId="11205" xr:uid="{00000000-0005-0000-0000-0000CD290000}"/>
    <cellStyle name="Normal 32 3 3 6" xfId="17400" xr:uid="{00000000-0005-0000-0000-0000CE290000}"/>
    <cellStyle name="Normal 32 3 4" xfId="5042" xr:uid="{00000000-0005-0000-0000-0000CF290000}"/>
    <cellStyle name="Normal 32 3 4 2" xfId="5043" xr:uid="{00000000-0005-0000-0000-0000D0290000}"/>
    <cellStyle name="Normal 32 3 4 2 2" xfId="11212" xr:uid="{00000000-0005-0000-0000-0000D1290000}"/>
    <cellStyle name="Normal 32 3 4 2 3" xfId="17407" xr:uid="{00000000-0005-0000-0000-0000D2290000}"/>
    <cellStyle name="Normal 32 3 4 3" xfId="11211" xr:uid="{00000000-0005-0000-0000-0000D3290000}"/>
    <cellStyle name="Normal 32 3 4 4" xfId="17406" xr:uid="{00000000-0005-0000-0000-0000D4290000}"/>
    <cellStyle name="Normal 32 3 5" xfId="5044" xr:uid="{00000000-0005-0000-0000-0000D5290000}"/>
    <cellStyle name="Normal 32 3 5 2" xfId="5045" xr:uid="{00000000-0005-0000-0000-0000D6290000}"/>
    <cellStyle name="Normal 32 3 5 2 2" xfId="11214" xr:uid="{00000000-0005-0000-0000-0000D7290000}"/>
    <cellStyle name="Normal 32 3 5 2 3" xfId="17409" xr:uid="{00000000-0005-0000-0000-0000D8290000}"/>
    <cellStyle name="Normal 32 3 5 3" xfId="11213" xr:uid="{00000000-0005-0000-0000-0000D9290000}"/>
    <cellStyle name="Normal 32 3 5 4" xfId="17408" xr:uid="{00000000-0005-0000-0000-0000DA290000}"/>
    <cellStyle name="Normal 32 3 6" xfId="5046" xr:uid="{00000000-0005-0000-0000-0000DB290000}"/>
    <cellStyle name="Normal 32 3 6 2" xfId="11215" xr:uid="{00000000-0005-0000-0000-0000DC290000}"/>
    <cellStyle name="Normal 32 3 6 3" xfId="17410" xr:uid="{00000000-0005-0000-0000-0000DD290000}"/>
    <cellStyle name="Normal 32 3 7" xfId="11192" xr:uid="{00000000-0005-0000-0000-0000DE290000}"/>
    <cellStyle name="Normal 32 3 8" xfId="17387" xr:uid="{00000000-0005-0000-0000-0000DF290000}"/>
    <cellStyle name="Normal 32 4" xfId="5047" xr:uid="{00000000-0005-0000-0000-0000E0290000}"/>
    <cellStyle name="Normal 32 4 2" xfId="5048" xr:uid="{00000000-0005-0000-0000-0000E1290000}"/>
    <cellStyle name="Normal 32 4 2 2" xfId="5049" xr:uid="{00000000-0005-0000-0000-0000E2290000}"/>
    <cellStyle name="Normal 32 4 2 2 2" xfId="5050" xr:uid="{00000000-0005-0000-0000-0000E3290000}"/>
    <cellStyle name="Normal 32 4 2 2 2 2" xfId="11219" xr:uid="{00000000-0005-0000-0000-0000E4290000}"/>
    <cellStyle name="Normal 32 4 2 2 2 3" xfId="17414" xr:uid="{00000000-0005-0000-0000-0000E5290000}"/>
    <cellStyle name="Normal 32 4 2 2 3" xfId="11218" xr:uid="{00000000-0005-0000-0000-0000E6290000}"/>
    <cellStyle name="Normal 32 4 2 2 4" xfId="17413" xr:uid="{00000000-0005-0000-0000-0000E7290000}"/>
    <cellStyle name="Normal 32 4 2 3" xfId="5051" xr:uid="{00000000-0005-0000-0000-0000E8290000}"/>
    <cellStyle name="Normal 32 4 2 3 2" xfId="5052" xr:uid="{00000000-0005-0000-0000-0000E9290000}"/>
    <cellStyle name="Normal 32 4 2 3 2 2" xfId="11221" xr:uid="{00000000-0005-0000-0000-0000EA290000}"/>
    <cellStyle name="Normal 32 4 2 3 2 3" xfId="17416" xr:uid="{00000000-0005-0000-0000-0000EB290000}"/>
    <cellStyle name="Normal 32 4 2 3 3" xfId="11220" xr:uid="{00000000-0005-0000-0000-0000EC290000}"/>
    <cellStyle name="Normal 32 4 2 3 4" xfId="17415" xr:uid="{00000000-0005-0000-0000-0000ED290000}"/>
    <cellStyle name="Normal 32 4 2 4" xfId="5053" xr:uid="{00000000-0005-0000-0000-0000EE290000}"/>
    <cellStyle name="Normal 32 4 2 4 2" xfId="11222" xr:uid="{00000000-0005-0000-0000-0000EF290000}"/>
    <cellStyle name="Normal 32 4 2 4 3" xfId="17417" xr:uid="{00000000-0005-0000-0000-0000F0290000}"/>
    <cellStyle name="Normal 32 4 2 5" xfId="11217" xr:uid="{00000000-0005-0000-0000-0000F1290000}"/>
    <cellStyle name="Normal 32 4 2 6" xfId="17412" xr:uid="{00000000-0005-0000-0000-0000F2290000}"/>
    <cellStyle name="Normal 32 4 3" xfId="5054" xr:uid="{00000000-0005-0000-0000-0000F3290000}"/>
    <cellStyle name="Normal 32 4 3 2" xfId="5055" xr:uid="{00000000-0005-0000-0000-0000F4290000}"/>
    <cellStyle name="Normal 32 4 3 2 2" xfId="11224" xr:uid="{00000000-0005-0000-0000-0000F5290000}"/>
    <cellStyle name="Normal 32 4 3 2 3" xfId="17419" xr:uid="{00000000-0005-0000-0000-0000F6290000}"/>
    <cellStyle name="Normal 32 4 3 3" xfId="11223" xr:uid="{00000000-0005-0000-0000-0000F7290000}"/>
    <cellStyle name="Normal 32 4 3 4" xfId="17418" xr:uid="{00000000-0005-0000-0000-0000F8290000}"/>
    <cellStyle name="Normal 32 4 4" xfId="5056" xr:uid="{00000000-0005-0000-0000-0000F9290000}"/>
    <cellStyle name="Normal 32 4 4 2" xfId="5057" xr:uid="{00000000-0005-0000-0000-0000FA290000}"/>
    <cellStyle name="Normal 32 4 4 2 2" xfId="11226" xr:uid="{00000000-0005-0000-0000-0000FB290000}"/>
    <cellStyle name="Normal 32 4 4 2 3" xfId="17421" xr:uid="{00000000-0005-0000-0000-0000FC290000}"/>
    <cellStyle name="Normal 32 4 4 3" xfId="11225" xr:uid="{00000000-0005-0000-0000-0000FD290000}"/>
    <cellStyle name="Normal 32 4 4 4" xfId="17420" xr:uid="{00000000-0005-0000-0000-0000FE290000}"/>
    <cellStyle name="Normal 32 4 5" xfId="5058" xr:uid="{00000000-0005-0000-0000-0000FF290000}"/>
    <cellStyle name="Normal 32 4 5 2" xfId="11227" xr:uid="{00000000-0005-0000-0000-0000002A0000}"/>
    <cellStyle name="Normal 32 4 5 3" xfId="17422" xr:uid="{00000000-0005-0000-0000-0000012A0000}"/>
    <cellStyle name="Normal 32 4 6" xfId="11216" xr:uid="{00000000-0005-0000-0000-0000022A0000}"/>
    <cellStyle name="Normal 32 4 7" xfId="17411" xr:uid="{00000000-0005-0000-0000-0000032A0000}"/>
    <cellStyle name="Normal 32 5" xfId="5059" xr:uid="{00000000-0005-0000-0000-0000042A0000}"/>
    <cellStyle name="Normal 32 5 2" xfId="5060" xr:uid="{00000000-0005-0000-0000-0000052A0000}"/>
    <cellStyle name="Normal 32 5 2 2" xfId="5061" xr:uid="{00000000-0005-0000-0000-0000062A0000}"/>
    <cellStyle name="Normal 32 5 2 2 2" xfId="11230" xr:uid="{00000000-0005-0000-0000-0000072A0000}"/>
    <cellStyle name="Normal 32 5 2 2 3" xfId="17425" xr:uid="{00000000-0005-0000-0000-0000082A0000}"/>
    <cellStyle name="Normal 32 5 2 3" xfId="11229" xr:uid="{00000000-0005-0000-0000-0000092A0000}"/>
    <cellStyle name="Normal 32 5 2 4" xfId="17424" xr:uid="{00000000-0005-0000-0000-00000A2A0000}"/>
    <cellStyle name="Normal 32 5 3" xfId="5062" xr:uid="{00000000-0005-0000-0000-00000B2A0000}"/>
    <cellStyle name="Normal 32 5 3 2" xfId="5063" xr:uid="{00000000-0005-0000-0000-00000C2A0000}"/>
    <cellStyle name="Normal 32 5 3 2 2" xfId="11232" xr:uid="{00000000-0005-0000-0000-00000D2A0000}"/>
    <cellStyle name="Normal 32 5 3 2 3" xfId="17427" xr:uid="{00000000-0005-0000-0000-00000E2A0000}"/>
    <cellStyle name="Normal 32 5 3 3" xfId="11231" xr:uid="{00000000-0005-0000-0000-00000F2A0000}"/>
    <cellStyle name="Normal 32 5 3 4" xfId="17426" xr:uid="{00000000-0005-0000-0000-0000102A0000}"/>
    <cellStyle name="Normal 32 5 4" xfId="5064" xr:uid="{00000000-0005-0000-0000-0000112A0000}"/>
    <cellStyle name="Normal 32 5 4 2" xfId="11233" xr:uid="{00000000-0005-0000-0000-0000122A0000}"/>
    <cellStyle name="Normal 32 5 4 3" xfId="17428" xr:uid="{00000000-0005-0000-0000-0000132A0000}"/>
    <cellStyle name="Normal 32 5 5" xfId="11228" xr:uid="{00000000-0005-0000-0000-0000142A0000}"/>
    <cellStyle name="Normal 32 5 6" xfId="17423" xr:uid="{00000000-0005-0000-0000-0000152A0000}"/>
    <cellStyle name="Normal 32 6" xfId="5065" xr:uid="{00000000-0005-0000-0000-0000162A0000}"/>
    <cellStyle name="Normal 32 6 2" xfId="5066" xr:uid="{00000000-0005-0000-0000-0000172A0000}"/>
    <cellStyle name="Normal 32 6 2 2" xfId="11235" xr:uid="{00000000-0005-0000-0000-0000182A0000}"/>
    <cellStyle name="Normal 32 6 2 3" xfId="17430" xr:uid="{00000000-0005-0000-0000-0000192A0000}"/>
    <cellStyle name="Normal 32 6 3" xfId="11234" xr:uid="{00000000-0005-0000-0000-00001A2A0000}"/>
    <cellStyle name="Normal 32 6 4" xfId="17429" xr:uid="{00000000-0005-0000-0000-00001B2A0000}"/>
    <cellStyle name="Normal 32 7" xfId="5067" xr:uid="{00000000-0005-0000-0000-00001C2A0000}"/>
    <cellStyle name="Normal 32 7 2" xfId="5068" xr:uid="{00000000-0005-0000-0000-00001D2A0000}"/>
    <cellStyle name="Normal 32 7 2 2" xfId="11237" xr:uid="{00000000-0005-0000-0000-00001E2A0000}"/>
    <cellStyle name="Normal 32 7 2 3" xfId="17432" xr:uid="{00000000-0005-0000-0000-00001F2A0000}"/>
    <cellStyle name="Normal 32 7 3" xfId="11236" xr:uid="{00000000-0005-0000-0000-0000202A0000}"/>
    <cellStyle name="Normal 32 7 4" xfId="17431" xr:uid="{00000000-0005-0000-0000-0000212A0000}"/>
    <cellStyle name="Normal 32 8" xfId="5069" xr:uid="{00000000-0005-0000-0000-0000222A0000}"/>
    <cellStyle name="Normal 32 8 2" xfId="11238" xr:uid="{00000000-0005-0000-0000-0000232A0000}"/>
    <cellStyle name="Normal 32 8 3" xfId="17433" xr:uid="{00000000-0005-0000-0000-0000242A0000}"/>
    <cellStyle name="Normal 32 9" xfId="5070" xr:uid="{00000000-0005-0000-0000-0000252A0000}"/>
    <cellStyle name="Normal 32 9 2" xfId="17434" xr:uid="{00000000-0005-0000-0000-0000262A0000}"/>
    <cellStyle name="Normal 33" xfId="5071" xr:uid="{00000000-0005-0000-0000-0000272A0000}"/>
    <cellStyle name="Normal 33 2" xfId="5072" xr:uid="{00000000-0005-0000-0000-0000282A0000}"/>
    <cellStyle name="Normal 33 2 2" xfId="11240" xr:uid="{00000000-0005-0000-0000-0000292A0000}"/>
    <cellStyle name="Normal 33 2 3" xfId="17436" xr:uid="{00000000-0005-0000-0000-00002A2A0000}"/>
    <cellStyle name="Normal 33 3" xfId="5073" xr:uid="{00000000-0005-0000-0000-00002B2A0000}"/>
    <cellStyle name="Normal 33 3 2" xfId="11241" xr:uid="{00000000-0005-0000-0000-00002C2A0000}"/>
    <cellStyle name="Normal 33 3 3" xfId="17437" xr:uid="{00000000-0005-0000-0000-00002D2A0000}"/>
    <cellStyle name="Normal 33 4" xfId="5074" xr:uid="{00000000-0005-0000-0000-00002E2A0000}"/>
    <cellStyle name="Normal 33 4 2" xfId="17438" xr:uid="{00000000-0005-0000-0000-00002F2A0000}"/>
    <cellStyle name="Normal 33 5" xfId="11239" xr:uid="{00000000-0005-0000-0000-0000302A0000}"/>
    <cellStyle name="Normal 33 6" xfId="17435" xr:uid="{00000000-0005-0000-0000-0000312A0000}"/>
    <cellStyle name="Normal 34" xfId="5075" xr:uid="{00000000-0005-0000-0000-0000322A0000}"/>
    <cellStyle name="Normal 34 2" xfId="5076" xr:uid="{00000000-0005-0000-0000-0000332A0000}"/>
    <cellStyle name="Normal 34 2 2" xfId="11243" xr:uid="{00000000-0005-0000-0000-0000342A0000}"/>
    <cellStyle name="Normal 34 2 3" xfId="17440" xr:uid="{00000000-0005-0000-0000-0000352A0000}"/>
    <cellStyle name="Normal 34 3" xfId="5077" xr:uid="{00000000-0005-0000-0000-0000362A0000}"/>
    <cellStyle name="Normal 34 3 2" xfId="11244" xr:uid="{00000000-0005-0000-0000-0000372A0000}"/>
    <cellStyle name="Normal 34 3 3" xfId="17441" xr:uid="{00000000-0005-0000-0000-0000382A0000}"/>
    <cellStyle name="Normal 34 4" xfId="5078" xr:uid="{00000000-0005-0000-0000-0000392A0000}"/>
    <cellStyle name="Normal 34 4 2" xfId="17442" xr:uid="{00000000-0005-0000-0000-00003A2A0000}"/>
    <cellStyle name="Normal 34 5" xfId="11242" xr:uid="{00000000-0005-0000-0000-00003B2A0000}"/>
    <cellStyle name="Normal 34 6" xfId="17439" xr:uid="{00000000-0005-0000-0000-00003C2A0000}"/>
    <cellStyle name="Normal 35" xfId="5079" xr:uid="{00000000-0005-0000-0000-00003D2A0000}"/>
    <cellStyle name="Normal 35 10" xfId="17443" xr:uid="{00000000-0005-0000-0000-00003E2A0000}"/>
    <cellStyle name="Normal 35 2" xfId="5080" xr:uid="{00000000-0005-0000-0000-00003F2A0000}"/>
    <cellStyle name="Normal 35 2 2" xfId="5081" xr:uid="{00000000-0005-0000-0000-0000402A0000}"/>
    <cellStyle name="Normal 35 2 2 2" xfId="5082" xr:uid="{00000000-0005-0000-0000-0000412A0000}"/>
    <cellStyle name="Normal 35 2 2 2 2" xfId="5083" xr:uid="{00000000-0005-0000-0000-0000422A0000}"/>
    <cellStyle name="Normal 35 2 2 2 2 2" xfId="5084" xr:uid="{00000000-0005-0000-0000-0000432A0000}"/>
    <cellStyle name="Normal 35 2 2 2 2 2 2" xfId="11250" xr:uid="{00000000-0005-0000-0000-0000442A0000}"/>
    <cellStyle name="Normal 35 2 2 2 2 2 3" xfId="17448" xr:uid="{00000000-0005-0000-0000-0000452A0000}"/>
    <cellStyle name="Normal 35 2 2 2 2 3" xfId="11249" xr:uid="{00000000-0005-0000-0000-0000462A0000}"/>
    <cellStyle name="Normal 35 2 2 2 2 4" xfId="17447" xr:uid="{00000000-0005-0000-0000-0000472A0000}"/>
    <cellStyle name="Normal 35 2 2 2 3" xfId="5085" xr:uid="{00000000-0005-0000-0000-0000482A0000}"/>
    <cellStyle name="Normal 35 2 2 2 3 2" xfId="5086" xr:uid="{00000000-0005-0000-0000-0000492A0000}"/>
    <cellStyle name="Normal 35 2 2 2 3 2 2" xfId="11252" xr:uid="{00000000-0005-0000-0000-00004A2A0000}"/>
    <cellStyle name="Normal 35 2 2 2 3 2 3" xfId="17450" xr:uid="{00000000-0005-0000-0000-00004B2A0000}"/>
    <cellStyle name="Normal 35 2 2 2 3 3" xfId="11251" xr:uid="{00000000-0005-0000-0000-00004C2A0000}"/>
    <cellStyle name="Normal 35 2 2 2 3 4" xfId="17449" xr:uid="{00000000-0005-0000-0000-00004D2A0000}"/>
    <cellStyle name="Normal 35 2 2 2 4" xfId="5087" xr:uid="{00000000-0005-0000-0000-00004E2A0000}"/>
    <cellStyle name="Normal 35 2 2 2 4 2" xfId="11253" xr:uid="{00000000-0005-0000-0000-00004F2A0000}"/>
    <cellStyle name="Normal 35 2 2 2 4 3" xfId="17451" xr:uid="{00000000-0005-0000-0000-0000502A0000}"/>
    <cellStyle name="Normal 35 2 2 2 5" xfId="11248" xr:uid="{00000000-0005-0000-0000-0000512A0000}"/>
    <cellStyle name="Normal 35 2 2 2 6" xfId="17446" xr:uid="{00000000-0005-0000-0000-0000522A0000}"/>
    <cellStyle name="Normal 35 2 2 3" xfId="5088" xr:uid="{00000000-0005-0000-0000-0000532A0000}"/>
    <cellStyle name="Normal 35 2 2 3 2" xfId="5089" xr:uid="{00000000-0005-0000-0000-0000542A0000}"/>
    <cellStyle name="Normal 35 2 2 3 2 2" xfId="11255" xr:uid="{00000000-0005-0000-0000-0000552A0000}"/>
    <cellStyle name="Normal 35 2 2 3 2 3" xfId="17453" xr:uid="{00000000-0005-0000-0000-0000562A0000}"/>
    <cellStyle name="Normal 35 2 2 3 3" xfId="11254" xr:uid="{00000000-0005-0000-0000-0000572A0000}"/>
    <cellStyle name="Normal 35 2 2 3 4" xfId="17452" xr:uid="{00000000-0005-0000-0000-0000582A0000}"/>
    <cellStyle name="Normal 35 2 2 4" xfId="5090" xr:uid="{00000000-0005-0000-0000-0000592A0000}"/>
    <cellStyle name="Normal 35 2 2 4 2" xfId="5091" xr:uid="{00000000-0005-0000-0000-00005A2A0000}"/>
    <cellStyle name="Normal 35 2 2 4 2 2" xfId="11257" xr:uid="{00000000-0005-0000-0000-00005B2A0000}"/>
    <cellStyle name="Normal 35 2 2 4 2 3" xfId="17455" xr:uid="{00000000-0005-0000-0000-00005C2A0000}"/>
    <cellStyle name="Normal 35 2 2 4 3" xfId="11256" xr:uid="{00000000-0005-0000-0000-00005D2A0000}"/>
    <cellStyle name="Normal 35 2 2 4 4" xfId="17454" xr:uid="{00000000-0005-0000-0000-00005E2A0000}"/>
    <cellStyle name="Normal 35 2 2 5" xfId="5092" xr:uid="{00000000-0005-0000-0000-00005F2A0000}"/>
    <cellStyle name="Normal 35 2 2 5 2" xfId="11258" xr:uid="{00000000-0005-0000-0000-0000602A0000}"/>
    <cellStyle name="Normal 35 2 2 5 3" xfId="17456" xr:uid="{00000000-0005-0000-0000-0000612A0000}"/>
    <cellStyle name="Normal 35 2 2 6" xfId="11247" xr:uid="{00000000-0005-0000-0000-0000622A0000}"/>
    <cellStyle name="Normal 35 2 2 7" xfId="17445" xr:uid="{00000000-0005-0000-0000-0000632A0000}"/>
    <cellStyle name="Normal 35 2 3" xfId="5093" xr:uid="{00000000-0005-0000-0000-0000642A0000}"/>
    <cellStyle name="Normal 35 2 3 2" xfId="5094" xr:uid="{00000000-0005-0000-0000-0000652A0000}"/>
    <cellStyle name="Normal 35 2 3 2 2" xfId="5095" xr:uid="{00000000-0005-0000-0000-0000662A0000}"/>
    <cellStyle name="Normal 35 2 3 2 2 2" xfId="11261" xr:uid="{00000000-0005-0000-0000-0000672A0000}"/>
    <cellStyle name="Normal 35 2 3 2 2 3" xfId="17459" xr:uid="{00000000-0005-0000-0000-0000682A0000}"/>
    <cellStyle name="Normal 35 2 3 2 3" xfId="11260" xr:uid="{00000000-0005-0000-0000-0000692A0000}"/>
    <cellStyle name="Normal 35 2 3 2 4" xfId="17458" xr:uid="{00000000-0005-0000-0000-00006A2A0000}"/>
    <cellStyle name="Normal 35 2 3 3" xfId="5096" xr:uid="{00000000-0005-0000-0000-00006B2A0000}"/>
    <cellStyle name="Normal 35 2 3 3 2" xfId="5097" xr:uid="{00000000-0005-0000-0000-00006C2A0000}"/>
    <cellStyle name="Normal 35 2 3 3 2 2" xfId="11263" xr:uid="{00000000-0005-0000-0000-00006D2A0000}"/>
    <cellStyle name="Normal 35 2 3 3 2 3" xfId="17461" xr:uid="{00000000-0005-0000-0000-00006E2A0000}"/>
    <cellStyle name="Normal 35 2 3 3 3" xfId="11262" xr:uid="{00000000-0005-0000-0000-00006F2A0000}"/>
    <cellStyle name="Normal 35 2 3 3 4" xfId="17460" xr:uid="{00000000-0005-0000-0000-0000702A0000}"/>
    <cellStyle name="Normal 35 2 3 4" xfId="5098" xr:uid="{00000000-0005-0000-0000-0000712A0000}"/>
    <cellStyle name="Normal 35 2 3 4 2" xfId="11264" xr:uid="{00000000-0005-0000-0000-0000722A0000}"/>
    <cellStyle name="Normal 35 2 3 4 3" xfId="17462" xr:uid="{00000000-0005-0000-0000-0000732A0000}"/>
    <cellStyle name="Normal 35 2 3 5" xfId="11259" xr:uid="{00000000-0005-0000-0000-0000742A0000}"/>
    <cellStyle name="Normal 35 2 3 6" xfId="17457" xr:uid="{00000000-0005-0000-0000-0000752A0000}"/>
    <cellStyle name="Normal 35 2 4" xfId="5099" xr:uid="{00000000-0005-0000-0000-0000762A0000}"/>
    <cellStyle name="Normal 35 2 4 2" xfId="5100" xr:uid="{00000000-0005-0000-0000-0000772A0000}"/>
    <cellStyle name="Normal 35 2 4 2 2" xfId="11266" xr:uid="{00000000-0005-0000-0000-0000782A0000}"/>
    <cellStyle name="Normal 35 2 4 2 3" xfId="17464" xr:uid="{00000000-0005-0000-0000-0000792A0000}"/>
    <cellStyle name="Normal 35 2 4 3" xfId="11265" xr:uid="{00000000-0005-0000-0000-00007A2A0000}"/>
    <cellStyle name="Normal 35 2 4 4" xfId="17463" xr:uid="{00000000-0005-0000-0000-00007B2A0000}"/>
    <cellStyle name="Normal 35 2 5" xfId="5101" xr:uid="{00000000-0005-0000-0000-00007C2A0000}"/>
    <cellStyle name="Normal 35 2 5 2" xfId="5102" xr:uid="{00000000-0005-0000-0000-00007D2A0000}"/>
    <cellStyle name="Normal 35 2 5 2 2" xfId="11268" xr:uid="{00000000-0005-0000-0000-00007E2A0000}"/>
    <cellStyle name="Normal 35 2 5 2 3" xfId="17466" xr:uid="{00000000-0005-0000-0000-00007F2A0000}"/>
    <cellStyle name="Normal 35 2 5 3" xfId="11267" xr:uid="{00000000-0005-0000-0000-0000802A0000}"/>
    <cellStyle name="Normal 35 2 5 4" xfId="17465" xr:uid="{00000000-0005-0000-0000-0000812A0000}"/>
    <cellStyle name="Normal 35 2 6" xfId="5103" xr:uid="{00000000-0005-0000-0000-0000822A0000}"/>
    <cellStyle name="Normal 35 2 6 2" xfId="11269" xr:uid="{00000000-0005-0000-0000-0000832A0000}"/>
    <cellStyle name="Normal 35 2 6 3" xfId="17467" xr:uid="{00000000-0005-0000-0000-0000842A0000}"/>
    <cellStyle name="Normal 35 2 7" xfId="11246" xr:uid="{00000000-0005-0000-0000-0000852A0000}"/>
    <cellStyle name="Normal 35 2 8" xfId="17444" xr:uid="{00000000-0005-0000-0000-0000862A0000}"/>
    <cellStyle name="Normal 35 3" xfId="5104" xr:uid="{00000000-0005-0000-0000-0000872A0000}"/>
    <cellStyle name="Normal 35 3 2" xfId="5105" xr:uid="{00000000-0005-0000-0000-0000882A0000}"/>
    <cellStyle name="Normal 35 3 2 2" xfId="5106" xr:uid="{00000000-0005-0000-0000-0000892A0000}"/>
    <cellStyle name="Normal 35 3 2 2 2" xfId="5107" xr:uid="{00000000-0005-0000-0000-00008A2A0000}"/>
    <cellStyle name="Normal 35 3 2 2 2 2" xfId="11273" xr:uid="{00000000-0005-0000-0000-00008B2A0000}"/>
    <cellStyle name="Normal 35 3 2 2 2 3" xfId="17471" xr:uid="{00000000-0005-0000-0000-00008C2A0000}"/>
    <cellStyle name="Normal 35 3 2 2 3" xfId="11272" xr:uid="{00000000-0005-0000-0000-00008D2A0000}"/>
    <cellStyle name="Normal 35 3 2 2 4" xfId="17470" xr:uid="{00000000-0005-0000-0000-00008E2A0000}"/>
    <cellStyle name="Normal 35 3 2 3" xfId="5108" xr:uid="{00000000-0005-0000-0000-00008F2A0000}"/>
    <cellStyle name="Normal 35 3 2 3 2" xfId="5109" xr:uid="{00000000-0005-0000-0000-0000902A0000}"/>
    <cellStyle name="Normal 35 3 2 3 2 2" xfId="11275" xr:uid="{00000000-0005-0000-0000-0000912A0000}"/>
    <cellStyle name="Normal 35 3 2 3 2 3" xfId="17473" xr:uid="{00000000-0005-0000-0000-0000922A0000}"/>
    <cellStyle name="Normal 35 3 2 3 3" xfId="11274" xr:uid="{00000000-0005-0000-0000-0000932A0000}"/>
    <cellStyle name="Normal 35 3 2 3 4" xfId="17472" xr:uid="{00000000-0005-0000-0000-0000942A0000}"/>
    <cellStyle name="Normal 35 3 2 4" xfId="5110" xr:uid="{00000000-0005-0000-0000-0000952A0000}"/>
    <cellStyle name="Normal 35 3 2 4 2" xfId="11276" xr:uid="{00000000-0005-0000-0000-0000962A0000}"/>
    <cellStyle name="Normal 35 3 2 4 3" xfId="17474" xr:uid="{00000000-0005-0000-0000-0000972A0000}"/>
    <cellStyle name="Normal 35 3 2 5" xfId="11271" xr:uid="{00000000-0005-0000-0000-0000982A0000}"/>
    <cellStyle name="Normal 35 3 2 6" xfId="17469" xr:uid="{00000000-0005-0000-0000-0000992A0000}"/>
    <cellStyle name="Normal 35 3 3" xfId="5111" xr:uid="{00000000-0005-0000-0000-00009A2A0000}"/>
    <cellStyle name="Normal 35 3 3 2" xfId="5112" xr:uid="{00000000-0005-0000-0000-00009B2A0000}"/>
    <cellStyle name="Normal 35 3 3 2 2" xfId="11278" xr:uid="{00000000-0005-0000-0000-00009C2A0000}"/>
    <cellStyle name="Normal 35 3 3 2 3" xfId="17476" xr:uid="{00000000-0005-0000-0000-00009D2A0000}"/>
    <cellStyle name="Normal 35 3 3 3" xfId="11277" xr:uid="{00000000-0005-0000-0000-00009E2A0000}"/>
    <cellStyle name="Normal 35 3 3 4" xfId="17475" xr:uid="{00000000-0005-0000-0000-00009F2A0000}"/>
    <cellStyle name="Normal 35 3 4" xfId="5113" xr:uid="{00000000-0005-0000-0000-0000A02A0000}"/>
    <cellStyle name="Normal 35 3 4 2" xfId="5114" xr:uid="{00000000-0005-0000-0000-0000A12A0000}"/>
    <cellStyle name="Normal 35 3 4 2 2" xfId="11280" xr:uid="{00000000-0005-0000-0000-0000A22A0000}"/>
    <cellStyle name="Normal 35 3 4 2 3" xfId="17478" xr:uid="{00000000-0005-0000-0000-0000A32A0000}"/>
    <cellStyle name="Normal 35 3 4 3" xfId="11279" xr:uid="{00000000-0005-0000-0000-0000A42A0000}"/>
    <cellStyle name="Normal 35 3 4 4" xfId="17477" xr:uid="{00000000-0005-0000-0000-0000A52A0000}"/>
    <cellStyle name="Normal 35 3 5" xfId="5115" xr:uid="{00000000-0005-0000-0000-0000A62A0000}"/>
    <cellStyle name="Normal 35 3 5 2" xfId="11281" xr:uid="{00000000-0005-0000-0000-0000A72A0000}"/>
    <cellStyle name="Normal 35 3 5 3" xfId="17479" xr:uid="{00000000-0005-0000-0000-0000A82A0000}"/>
    <cellStyle name="Normal 35 3 6" xfId="11270" xr:uid="{00000000-0005-0000-0000-0000A92A0000}"/>
    <cellStyle name="Normal 35 3 7" xfId="17468" xr:uid="{00000000-0005-0000-0000-0000AA2A0000}"/>
    <cellStyle name="Normal 35 4" xfId="5116" xr:uid="{00000000-0005-0000-0000-0000AB2A0000}"/>
    <cellStyle name="Normal 35 4 2" xfId="5117" xr:uid="{00000000-0005-0000-0000-0000AC2A0000}"/>
    <cellStyle name="Normal 35 4 2 2" xfId="5118" xr:uid="{00000000-0005-0000-0000-0000AD2A0000}"/>
    <cellStyle name="Normal 35 4 2 2 2" xfId="11284" xr:uid="{00000000-0005-0000-0000-0000AE2A0000}"/>
    <cellStyle name="Normal 35 4 2 2 3" xfId="17482" xr:uid="{00000000-0005-0000-0000-0000AF2A0000}"/>
    <cellStyle name="Normal 35 4 2 3" xfId="11283" xr:uid="{00000000-0005-0000-0000-0000B02A0000}"/>
    <cellStyle name="Normal 35 4 2 4" xfId="17481" xr:uid="{00000000-0005-0000-0000-0000B12A0000}"/>
    <cellStyle name="Normal 35 4 3" xfId="5119" xr:uid="{00000000-0005-0000-0000-0000B22A0000}"/>
    <cellStyle name="Normal 35 4 3 2" xfId="5120" xr:uid="{00000000-0005-0000-0000-0000B32A0000}"/>
    <cellStyle name="Normal 35 4 3 2 2" xfId="11286" xr:uid="{00000000-0005-0000-0000-0000B42A0000}"/>
    <cellStyle name="Normal 35 4 3 2 3" xfId="17484" xr:uid="{00000000-0005-0000-0000-0000B52A0000}"/>
    <cellStyle name="Normal 35 4 3 3" xfId="11285" xr:uid="{00000000-0005-0000-0000-0000B62A0000}"/>
    <cellStyle name="Normal 35 4 3 4" xfId="17483" xr:uid="{00000000-0005-0000-0000-0000B72A0000}"/>
    <cellStyle name="Normal 35 4 4" xfId="5121" xr:uid="{00000000-0005-0000-0000-0000B82A0000}"/>
    <cellStyle name="Normal 35 4 4 2" xfId="11287" xr:uid="{00000000-0005-0000-0000-0000B92A0000}"/>
    <cellStyle name="Normal 35 4 4 3" xfId="17485" xr:uid="{00000000-0005-0000-0000-0000BA2A0000}"/>
    <cellStyle name="Normal 35 4 5" xfId="11282" xr:uid="{00000000-0005-0000-0000-0000BB2A0000}"/>
    <cellStyle name="Normal 35 4 6" xfId="17480" xr:uid="{00000000-0005-0000-0000-0000BC2A0000}"/>
    <cellStyle name="Normal 35 5" xfId="5122" xr:uid="{00000000-0005-0000-0000-0000BD2A0000}"/>
    <cellStyle name="Normal 35 5 2" xfId="5123" xr:uid="{00000000-0005-0000-0000-0000BE2A0000}"/>
    <cellStyle name="Normal 35 5 2 2" xfId="11289" xr:uid="{00000000-0005-0000-0000-0000BF2A0000}"/>
    <cellStyle name="Normal 35 5 2 3" xfId="17487" xr:uid="{00000000-0005-0000-0000-0000C02A0000}"/>
    <cellStyle name="Normal 35 5 3" xfId="11288" xr:uid="{00000000-0005-0000-0000-0000C12A0000}"/>
    <cellStyle name="Normal 35 5 4" xfId="17486" xr:uid="{00000000-0005-0000-0000-0000C22A0000}"/>
    <cellStyle name="Normal 35 6" xfId="5124" xr:uid="{00000000-0005-0000-0000-0000C32A0000}"/>
    <cellStyle name="Normal 35 6 2" xfId="5125" xr:uid="{00000000-0005-0000-0000-0000C42A0000}"/>
    <cellStyle name="Normal 35 6 2 2" xfId="11291" xr:uid="{00000000-0005-0000-0000-0000C52A0000}"/>
    <cellStyle name="Normal 35 6 2 3" xfId="17489" xr:uid="{00000000-0005-0000-0000-0000C62A0000}"/>
    <cellStyle name="Normal 35 6 3" xfId="11290" xr:uid="{00000000-0005-0000-0000-0000C72A0000}"/>
    <cellStyle name="Normal 35 6 4" xfId="17488" xr:uid="{00000000-0005-0000-0000-0000C82A0000}"/>
    <cellStyle name="Normal 35 7" xfId="5126" xr:uid="{00000000-0005-0000-0000-0000C92A0000}"/>
    <cellStyle name="Normal 35 7 2" xfId="11292" xr:uid="{00000000-0005-0000-0000-0000CA2A0000}"/>
    <cellStyle name="Normal 35 7 3" xfId="17490" xr:uid="{00000000-0005-0000-0000-0000CB2A0000}"/>
    <cellStyle name="Normal 35 8" xfId="5127" xr:uid="{00000000-0005-0000-0000-0000CC2A0000}"/>
    <cellStyle name="Normal 35 8 2" xfId="17491" xr:uid="{00000000-0005-0000-0000-0000CD2A0000}"/>
    <cellStyle name="Normal 35 9" xfId="11245" xr:uid="{00000000-0005-0000-0000-0000CE2A0000}"/>
    <cellStyle name="Normal 36" xfId="5128" xr:uid="{00000000-0005-0000-0000-0000CF2A0000}"/>
    <cellStyle name="Normal 36 10" xfId="17492" xr:uid="{00000000-0005-0000-0000-0000D02A0000}"/>
    <cellStyle name="Normal 36 2" xfId="5129" xr:uid="{00000000-0005-0000-0000-0000D12A0000}"/>
    <cellStyle name="Normal 36 2 2" xfId="5130" xr:uid="{00000000-0005-0000-0000-0000D22A0000}"/>
    <cellStyle name="Normal 36 2 2 2" xfId="5131" xr:uid="{00000000-0005-0000-0000-0000D32A0000}"/>
    <cellStyle name="Normal 36 2 2 2 2" xfId="5132" xr:uid="{00000000-0005-0000-0000-0000D42A0000}"/>
    <cellStyle name="Normal 36 2 2 2 2 2" xfId="5133" xr:uid="{00000000-0005-0000-0000-0000D52A0000}"/>
    <cellStyle name="Normal 36 2 2 2 2 2 2" xfId="11298" xr:uid="{00000000-0005-0000-0000-0000D62A0000}"/>
    <cellStyle name="Normal 36 2 2 2 2 2 3" xfId="17497" xr:uid="{00000000-0005-0000-0000-0000D72A0000}"/>
    <cellStyle name="Normal 36 2 2 2 2 3" xfId="11297" xr:uid="{00000000-0005-0000-0000-0000D82A0000}"/>
    <cellStyle name="Normal 36 2 2 2 2 4" xfId="17496" xr:uid="{00000000-0005-0000-0000-0000D92A0000}"/>
    <cellStyle name="Normal 36 2 2 2 3" xfId="5134" xr:uid="{00000000-0005-0000-0000-0000DA2A0000}"/>
    <cellStyle name="Normal 36 2 2 2 3 2" xfId="5135" xr:uid="{00000000-0005-0000-0000-0000DB2A0000}"/>
    <cellStyle name="Normal 36 2 2 2 3 2 2" xfId="11300" xr:uid="{00000000-0005-0000-0000-0000DC2A0000}"/>
    <cellStyle name="Normal 36 2 2 2 3 2 3" xfId="17499" xr:uid="{00000000-0005-0000-0000-0000DD2A0000}"/>
    <cellStyle name="Normal 36 2 2 2 3 3" xfId="11299" xr:uid="{00000000-0005-0000-0000-0000DE2A0000}"/>
    <cellStyle name="Normal 36 2 2 2 3 4" xfId="17498" xr:uid="{00000000-0005-0000-0000-0000DF2A0000}"/>
    <cellStyle name="Normal 36 2 2 2 4" xfId="5136" xr:uid="{00000000-0005-0000-0000-0000E02A0000}"/>
    <cellStyle name="Normal 36 2 2 2 4 2" xfId="11301" xr:uid="{00000000-0005-0000-0000-0000E12A0000}"/>
    <cellStyle name="Normal 36 2 2 2 4 3" xfId="17500" xr:uid="{00000000-0005-0000-0000-0000E22A0000}"/>
    <cellStyle name="Normal 36 2 2 2 5" xfId="11296" xr:uid="{00000000-0005-0000-0000-0000E32A0000}"/>
    <cellStyle name="Normal 36 2 2 2 6" xfId="17495" xr:uid="{00000000-0005-0000-0000-0000E42A0000}"/>
    <cellStyle name="Normal 36 2 2 3" xfId="5137" xr:uid="{00000000-0005-0000-0000-0000E52A0000}"/>
    <cellStyle name="Normal 36 2 2 3 2" xfId="5138" xr:uid="{00000000-0005-0000-0000-0000E62A0000}"/>
    <cellStyle name="Normal 36 2 2 3 2 2" xfId="11303" xr:uid="{00000000-0005-0000-0000-0000E72A0000}"/>
    <cellStyle name="Normal 36 2 2 3 2 3" xfId="17502" xr:uid="{00000000-0005-0000-0000-0000E82A0000}"/>
    <cellStyle name="Normal 36 2 2 3 3" xfId="11302" xr:uid="{00000000-0005-0000-0000-0000E92A0000}"/>
    <cellStyle name="Normal 36 2 2 3 4" xfId="17501" xr:uid="{00000000-0005-0000-0000-0000EA2A0000}"/>
    <cellStyle name="Normal 36 2 2 4" xfId="5139" xr:uid="{00000000-0005-0000-0000-0000EB2A0000}"/>
    <cellStyle name="Normal 36 2 2 4 2" xfId="5140" xr:uid="{00000000-0005-0000-0000-0000EC2A0000}"/>
    <cellStyle name="Normal 36 2 2 4 2 2" xfId="11305" xr:uid="{00000000-0005-0000-0000-0000ED2A0000}"/>
    <cellStyle name="Normal 36 2 2 4 2 3" xfId="17504" xr:uid="{00000000-0005-0000-0000-0000EE2A0000}"/>
    <cellStyle name="Normal 36 2 2 4 3" xfId="11304" xr:uid="{00000000-0005-0000-0000-0000EF2A0000}"/>
    <cellStyle name="Normal 36 2 2 4 4" xfId="17503" xr:uid="{00000000-0005-0000-0000-0000F02A0000}"/>
    <cellStyle name="Normal 36 2 2 5" xfId="5141" xr:uid="{00000000-0005-0000-0000-0000F12A0000}"/>
    <cellStyle name="Normal 36 2 2 5 2" xfId="11306" xr:uid="{00000000-0005-0000-0000-0000F22A0000}"/>
    <cellStyle name="Normal 36 2 2 5 3" xfId="17505" xr:uid="{00000000-0005-0000-0000-0000F32A0000}"/>
    <cellStyle name="Normal 36 2 2 6" xfId="11295" xr:uid="{00000000-0005-0000-0000-0000F42A0000}"/>
    <cellStyle name="Normal 36 2 2 7" xfId="17494" xr:uid="{00000000-0005-0000-0000-0000F52A0000}"/>
    <cellStyle name="Normal 36 2 3" xfId="5142" xr:uid="{00000000-0005-0000-0000-0000F62A0000}"/>
    <cellStyle name="Normal 36 2 3 2" xfId="5143" xr:uid="{00000000-0005-0000-0000-0000F72A0000}"/>
    <cellStyle name="Normal 36 2 3 2 2" xfId="5144" xr:uid="{00000000-0005-0000-0000-0000F82A0000}"/>
    <cellStyle name="Normal 36 2 3 2 2 2" xfId="11309" xr:uid="{00000000-0005-0000-0000-0000F92A0000}"/>
    <cellStyle name="Normal 36 2 3 2 2 3" xfId="17508" xr:uid="{00000000-0005-0000-0000-0000FA2A0000}"/>
    <cellStyle name="Normal 36 2 3 2 3" xfId="11308" xr:uid="{00000000-0005-0000-0000-0000FB2A0000}"/>
    <cellStyle name="Normal 36 2 3 2 4" xfId="17507" xr:uid="{00000000-0005-0000-0000-0000FC2A0000}"/>
    <cellStyle name="Normal 36 2 3 3" xfId="5145" xr:uid="{00000000-0005-0000-0000-0000FD2A0000}"/>
    <cellStyle name="Normal 36 2 3 3 2" xfId="5146" xr:uid="{00000000-0005-0000-0000-0000FE2A0000}"/>
    <cellStyle name="Normal 36 2 3 3 2 2" xfId="11311" xr:uid="{00000000-0005-0000-0000-0000FF2A0000}"/>
    <cellStyle name="Normal 36 2 3 3 2 3" xfId="17510" xr:uid="{00000000-0005-0000-0000-0000002B0000}"/>
    <cellStyle name="Normal 36 2 3 3 3" xfId="11310" xr:uid="{00000000-0005-0000-0000-0000012B0000}"/>
    <cellStyle name="Normal 36 2 3 3 4" xfId="17509" xr:uid="{00000000-0005-0000-0000-0000022B0000}"/>
    <cellStyle name="Normal 36 2 3 4" xfId="5147" xr:uid="{00000000-0005-0000-0000-0000032B0000}"/>
    <cellStyle name="Normal 36 2 3 4 2" xfId="11312" xr:uid="{00000000-0005-0000-0000-0000042B0000}"/>
    <cellStyle name="Normal 36 2 3 4 3" xfId="17511" xr:uid="{00000000-0005-0000-0000-0000052B0000}"/>
    <cellStyle name="Normal 36 2 3 5" xfId="11307" xr:uid="{00000000-0005-0000-0000-0000062B0000}"/>
    <cellStyle name="Normal 36 2 3 6" xfId="17506" xr:uid="{00000000-0005-0000-0000-0000072B0000}"/>
    <cellStyle name="Normal 36 2 4" xfId="5148" xr:uid="{00000000-0005-0000-0000-0000082B0000}"/>
    <cellStyle name="Normal 36 2 4 2" xfId="5149" xr:uid="{00000000-0005-0000-0000-0000092B0000}"/>
    <cellStyle name="Normal 36 2 4 2 2" xfId="11314" xr:uid="{00000000-0005-0000-0000-00000A2B0000}"/>
    <cellStyle name="Normal 36 2 4 2 3" xfId="17513" xr:uid="{00000000-0005-0000-0000-00000B2B0000}"/>
    <cellStyle name="Normal 36 2 4 3" xfId="11313" xr:uid="{00000000-0005-0000-0000-00000C2B0000}"/>
    <cellStyle name="Normal 36 2 4 4" xfId="17512" xr:uid="{00000000-0005-0000-0000-00000D2B0000}"/>
    <cellStyle name="Normal 36 2 5" xfId="5150" xr:uid="{00000000-0005-0000-0000-00000E2B0000}"/>
    <cellStyle name="Normal 36 2 5 2" xfId="5151" xr:uid="{00000000-0005-0000-0000-00000F2B0000}"/>
    <cellStyle name="Normal 36 2 5 2 2" xfId="11316" xr:uid="{00000000-0005-0000-0000-0000102B0000}"/>
    <cellStyle name="Normal 36 2 5 2 3" xfId="17515" xr:uid="{00000000-0005-0000-0000-0000112B0000}"/>
    <cellStyle name="Normal 36 2 5 3" xfId="11315" xr:uid="{00000000-0005-0000-0000-0000122B0000}"/>
    <cellStyle name="Normal 36 2 5 4" xfId="17514" xr:uid="{00000000-0005-0000-0000-0000132B0000}"/>
    <cellStyle name="Normal 36 2 6" xfId="5152" xr:uid="{00000000-0005-0000-0000-0000142B0000}"/>
    <cellStyle name="Normal 36 2 6 2" xfId="11317" xr:uid="{00000000-0005-0000-0000-0000152B0000}"/>
    <cellStyle name="Normal 36 2 6 3" xfId="17516" xr:uid="{00000000-0005-0000-0000-0000162B0000}"/>
    <cellStyle name="Normal 36 2 7" xfId="11294" xr:uid="{00000000-0005-0000-0000-0000172B0000}"/>
    <cellStyle name="Normal 36 2 8" xfId="17493" xr:uid="{00000000-0005-0000-0000-0000182B0000}"/>
    <cellStyle name="Normal 36 3" xfId="5153" xr:uid="{00000000-0005-0000-0000-0000192B0000}"/>
    <cellStyle name="Normal 36 3 2" xfId="5154" xr:uid="{00000000-0005-0000-0000-00001A2B0000}"/>
    <cellStyle name="Normal 36 3 2 2" xfId="5155" xr:uid="{00000000-0005-0000-0000-00001B2B0000}"/>
    <cellStyle name="Normal 36 3 2 2 2" xfId="5156" xr:uid="{00000000-0005-0000-0000-00001C2B0000}"/>
    <cellStyle name="Normal 36 3 2 2 2 2" xfId="11321" xr:uid="{00000000-0005-0000-0000-00001D2B0000}"/>
    <cellStyle name="Normal 36 3 2 2 2 3" xfId="17520" xr:uid="{00000000-0005-0000-0000-00001E2B0000}"/>
    <cellStyle name="Normal 36 3 2 2 3" xfId="11320" xr:uid="{00000000-0005-0000-0000-00001F2B0000}"/>
    <cellStyle name="Normal 36 3 2 2 4" xfId="17519" xr:uid="{00000000-0005-0000-0000-0000202B0000}"/>
    <cellStyle name="Normal 36 3 2 3" xfId="5157" xr:uid="{00000000-0005-0000-0000-0000212B0000}"/>
    <cellStyle name="Normal 36 3 2 3 2" xfId="5158" xr:uid="{00000000-0005-0000-0000-0000222B0000}"/>
    <cellStyle name="Normal 36 3 2 3 2 2" xfId="11323" xr:uid="{00000000-0005-0000-0000-0000232B0000}"/>
    <cellStyle name="Normal 36 3 2 3 2 3" xfId="17522" xr:uid="{00000000-0005-0000-0000-0000242B0000}"/>
    <cellStyle name="Normal 36 3 2 3 3" xfId="11322" xr:uid="{00000000-0005-0000-0000-0000252B0000}"/>
    <cellStyle name="Normal 36 3 2 3 4" xfId="17521" xr:uid="{00000000-0005-0000-0000-0000262B0000}"/>
    <cellStyle name="Normal 36 3 2 4" xfId="5159" xr:uid="{00000000-0005-0000-0000-0000272B0000}"/>
    <cellStyle name="Normal 36 3 2 4 2" xfId="11324" xr:uid="{00000000-0005-0000-0000-0000282B0000}"/>
    <cellStyle name="Normal 36 3 2 4 3" xfId="17523" xr:uid="{00000000-0005-0000-0000-0000292B0000}"/>
    <cellStyle name="Normal 36 3 2 5" xfId="11319" xr:uid="{00000000-0005-0000-0000-00002A2B0000}"/>
    <cellStyle name="Normal 36 3 2 6" xfId="17518" xr:uid="{00000000-0005-0000-0000-00002B2B0000}"/>
    <cellStyle name="Normal 36 3 3" xfId="5160" xr:uid="{00000000-0005-0000-0000-00002C2B0000}"/>
    <cellStyle name="Normal 36 3 3 2" xfId="5161" xr:uid="{00000000-0005-0000-0000-00002D2B0000}"/>
    <cellStyle name="Normal 36 3 3 2 2" xfId="11326" xr:uid="{00000000-0005-0000-0000-00002E2B0000}"/>
    <cellStyle name="Normal 36 3 3 2 3" xfId="17525" xr:uid="{00000000-0005-0000-0000-00002F2B0000}"/>
    <cellStyle name="Normal 36 3 3 3" xfId="11325" xr:uid="{00000000-0005-0000-0000-0000302B0000}"/>
    <cellStyle name="Normal 36 3 3 4" xfId="17524" xr:uid="{00000000-0005-0000-0000-0000312B0000}"/>
    <cellStyle name="Normal 36 3 4" xfId="5162" xr:uid="{00000000-0005-0000-0000-0000322B0000}"/>
    <cellStyle name="Normal 36 3 4 2" xfId="5163" xr:uid="{00000000-0005-0000-0000-0000332B0000}"/>
    <cellStyle name="Normal 36 3 4 2 2" xfId="11328" xr:uid="{00000000-0005-0000-0000-0000342B0000}"/>
    <cellStyle name="Normal 36 3 4 2 3" xfId="17527" xr:uid="{00000000-0005-0000-0000-0000352B0000}"/>
    <cellStyle name="Normal 36 3 4 3" xfId="11327" xr:uid="{00000000-0005-0000-0000-0000362B0000}"/>
    <cellStyle name="Normal 36 3 4 4" xfId="17526" xr:uid="{00000000-0005-0000-0000-0000372B0000}"/>
    <cellStyle name="Normal 36 3 5" xfId="5164" xr:uid="{00000000-0005-0000-0000-0000382B0000}"/>
    <cellStyle name="Normal 36 3 5 2" xfId="11329" xr:uid="{00000000-0005-0000-0000-0000392B0000}"/>
    <cellStyle name="Normal 36 3 5 3" xfId="17528" xr:uid="{00000000-0005-0000-0000-00003A2B0000}"/>
    <cellStyle name="Normal 36 3 6" xfId="11318" xr:uid="{00000000-0005-0000-0000-00003B2B0000}"/>
    <cellStyle name="Normal 36 3 7" xfId="17517" xr:uid="{00000000-0005-0000-0000-00003C2B0000}"/>
    <cellStyle name="Normal 36 4" xfId="5165" xr:uid="{00000000-0005-0000-0000-00003D2B0000}"/>
    <cellStyle name="Normal 36 4 2" xfId="5166" xr:uid="{00000000-0005-0000-0000-00003E2B0000}"/>
    <cellStyle name="Normal 36 4 2 2" xfId="5167" xr:uid="{00000000-0005-0000-0000-00003F2B0000}"/>
    <cellStyle name="Normal 36 4 2 2 2" xfId="11332" xr:uid="{00000000-0005-0000-0000-0000402B0000}"/>
    <cellStyle name="Normal 36 4 2 2 3" xfId="17531" xr:uid="{00000000-0005-0000-0000-0000412B0000}"/>
    <cellStyle name="Normal 36 4 2 3" xfId="11331" xr:uid="{00000000-0005-0000-0000-0000422B0000}"/>
    <cellStyle name="Normal 36 4 2 4" xfId="17530" xr:uid="{00000000-0005-0000-0000-0000432B0000}"/>
    <cellStyle name="Normal 36 4 3" xfId="5168" xr:uid="{00000000-0005-0000-0000-0000442B0000}"/>
    <cellStyle name="Normal 36 4 3 2" xfId="5169" xr:uid="{00000000-0005-0000-0000-0000452B0000}"/>
    <cellStyle name="Normal 36 4 3 2 2" xfId="11334" xr:uid="{00000000-0005-0000-0000-0000462B0000}"/>
    <cellStyle name="Normal 36 4 3 2 3" xfId="17533" xr:uid="{00000000-0005-0000-0000-0000472B0000}"/>
    <cellStyle name="Normal 36 4 3 3" xfId="11333" xr:uid="{00000000-0005-0000-0000-0000482B0000}"/>
    <cellStyle name="Normal 36 4 3 4" xfId="17532" xr:uid="{00000000-0005-0000-0000-0000492B0000}"/>
    <cellStyle name="Normal 36 4 4" xfId="5170" xr:uid="{00000000-0005-0000-0000-00004A2B0000}"/>
    <cellStyle name="Normal 36 4 4 2" xfId="11335" xr:uid="{00000000-0005-0000-0000-00004B2B0000}"/>
    <cellStyle name="Normal 36 4 4 3" xfId="17534" xr:uid="{00000000-0005-0000-0000-00004C2B0000}"/>
    <cellStyle name="Normal 36 4 5" xfId="11330" xr:uid="{00000000-0005-0000-0000-00004D2B0000}"/>
    <cellStyle name="Normal 36 4 6" xfId="17529" xr:uid="{00000000-0005-0000-0000-00004E2B0000}"/>
    <cellStyle name="Normal 36 5" xfId="5171" xr:uid="{00000000-0005-0000-0000-00004F2B0000}"/>
    <cellStyle name="Normal 36 5 2" xfId="5172" xr:uid="{00000000-0005-0000-0000-0000502B0000}"/>
    <cellStyle name="Normal 36 5 2 2" xfId="11337" xr:uid="{00000000-0005-0000-0000-0000512B0000}"/>
    <cellStyle name="Normal 36 5 2 3" xfId="17536" xr:uid="{00000000-0005-0000-0000-0000522B0000}"/>
    <cellStyle name="Normal 36 5 3" xfId="11336" xr:uid="{00000000-0005-0000-0000-0000532B0000}"/>
    <cellStyle name="Normal 36 5 4" xfId="17535" xr:uid="{00000000-0005-0000-0000-0000542B0000}"/>
    <cellStyle name="Normal 36 6" xfId="5173" xr:uid="{00000000-0005-0000-0000-0000552B0000}"/>
    <cellStyle name="Normal 36 6 2" xfId="5174" xr:uid="{00000000-0005-0000-0000-0000562B0000}"/>
    <cellStyle name="Normal 36 6 2 2" xfId="11339" xr:uid="{00000000-0005-0000-0000-0000572B0000}"/>
    <cellStyle name="Normal 36 6 2 3" xfId="17538" xr:uid="{00000000-0005-0000-0000-0000582B0000}"/>
    <cellStyle name="Normal 36 6 3" xfId="11338" xr:uid="{00000000-0005-0000-0000-0000592B0000}"/>
    <cellStyle name="Normal 36 6 4" xfId="17537" xr:uid="{00000000-0005-0000-0000-00005A2B0000}"/>
    <cellStyle name="Normal 36 7" xfId="5175" xr:uid="{00000000-0005-0000-0000-00005B2B0000}"/>
    <cellStyle name="Normal 36 7 2" xfId="11340" xr:uid="{00000000-0005-0000-0000-00005C2B0000}"/>
    <cellStyle name="Normal 36 7 3" xfId="17539" xr:uid="{00000000-0005-0000-0000-00005D2B0000}"/>
    <cellStyle name="Normal 36 8" xfId="5176" xr:uid="{00000000-0005-0000-0000-00005E2B0000}"/>
    <cellStyle name="Normal 36 8 2" xfId="17540" xr:uid="{00000000-0005-0000-0000-00005F2B0000}"/>
    <cellStyle name="Normal 36 9" xfId="11293" xr:uid="{00000000-0005-0000-0000-0000602B0000}"/>
    <cellStyle name="Normal 37" xfId="5177" xr:uid="{00000000-0005-0000-0000-0000612B0000}"/>
    <cellStyle name="Normal 37 10" xfId="17541" xr:uid="{00000000-0005-0000-0000-0000622B0000}"/>
    <cellStyle name="Normal 37 2" xfId="5178" xr:uid="{00000000-0005-0000-0000-0000632B0000}"/>
    <cellStyle name="Normal 37 2 2" xfId="5179" xr:uid="{00000000-0005-0000-0000-0000642B0000}"/>
    <cellStyle name="Normal 37 2 2 2" xfId="5180" xr:uid="{00000000-0005-0000-0000-0000652B0000}"/>
    <cellStyle name="Normal 37 2 2 2 2" xfId="5181" xr:uid="{00000000-0005-0000-0000-0000662B0000}"/>
    <cellStyle name="Normal 37 2 2 2 2 2" xfId="5182" xr:uid="{00000000-0005-0000-0000-0000672B0000}"/>
    <cellStyle name="Normal 37 2 2 2 2 2 2" xfId="11346" xr:uid="{00000000-0005-0000-0000-0000682B0000}"/>
    <cellStyle name="Normal 37 2 2 2 2 2 3" xfId="17546" xr:uid="{00000000-0005-0000-0000-0000692B0000}"/>
    <cellStyle name="Normal 37 2 2 2 2 3" xfId="11345" xr:uid="{00000000-0005-0000-0000-00006A2B0000}"/>
    <cellStyle name="Normal 37 2 2 2 2 4" xfId="17545" xr:uid="{00000000-0005-0000-0000-00006B2B0000}"/>
    <cellStyle name="Normal 37 2 2 2 3" xfId="5183" xr:uid="{00000000-0005-0000-0000-00006C2B0000}"/>
    <cellStyle name="Normal 37 2 2 2 3 2" xfId="5184" xr:uid="{00000000-0005-0000-0000-00006D2B0000}"/>
    <cellStyle name="Normal 37 2 2 2 3 2 2" xfId="11348" xr:uid="{00000000-0005-0000-0000-00006E2B0000}"/>
    <cellStyle name="Normal 37 2 2 2 3 2 3" xfId="17548" xr:uid="{00000000-0005-0000-0000-00006F2B0000}"/>
    <cellStyle name="Normal 37 2 2 2 3 3" xfId="11347" xr:uid="{00000000-0005-0000-0000-0000702B0000}"/>
    <cellStyle name="Normal 37 2 2 2 3 4" xfId="17547" xr:uid="{00000000-0005-0000-0000-0000712B0000}"/>
    <cellStyle name="Normal 37 2 2 2 4" xfId="5185" xr:uid="{00000000-0005-0000-0000-0000722B0000}"/>
    <cellStyle name="Normal 37 2 2 2 4 2" xfId="11349" xr:uid="{00000000-0005-0000-0000-0000732B0000}"/>
    <cellStyle name="Normal 37 2 2 2 4 3" xfId="17549" xr:uid="{00000000-0005-0000-0000-0000742B0000}"/>
    <cellStyle name="Normal 37 2 2 2 5" xfId="11344" xr:uid="{00000000-0005-0000-0000-0000752B0000}"/>
    <cellStyle name="Normal 37 2 2 2 6" xfId="17544" xr:uid="{00000000-0005-0000-0000-0000762B0000}"/>
    <cellStyle name="Normal 37 2 2 3" xfId="5186" xr:uid="{00000000-0005-0000-0000-0000772B0000}"/>
    <cellStyle name="Normal 37 2 2 3 2" xfId="5187" xr:uid="{00000000-0005-0000-0000-0000782B0000}"/>
    <cellStyle name="Normal 37 2 2 3 2 2" xfId="11351" xr:uid="{00000000-0005-0000-0000-0000792B0000}"/>
    <cellStyle name="Normal 37 2 2 3 2 3" xfId="17551" xr:uid="{00000000-0005-0000-0000-00007A2B0000}"/>
    <cellStyle name="Normal 37 2 2 3 3" xfId="11350" xr:uid="{00000000-0005-0000-0000-00007B2B0000}"/>
    <cellStyle name="Normal 37 2 2 3 4" xfId="17550" xr:uid="{00000000-0005-0000-0000-00007C2B0000}"/>
    <cellStyle name="Normal 37 2 2 4" xfId="5188" xr:uid="{00000000-0005-0000-0000-00007D2B0000}"/>
    <cellStyle name="Normal 37 2 2 4 2" xfId="5189" xr:uid="{00000000-0005-0000-0000-00007E2B0000}"/>
    <cellStyle name="Normal 37 2 2 4 2 2" xfId="11353" xr:uid="{00000000-0005-0000-0000-00007F2B0000}"/>
    <cellStyle name="Normal 37 2 2 4 2 3" xfId="17553" xr:uid="{00000000-0005-0000-0000-0000802B0000}"/>
    <cellStyle name="Normal 37 2 2 4 3" xfId="11352" xr:uid="{00000000-0005-0000-0000-0000812B0000}"/>
    <cellStyle name="Normal 37 2 2 4 4" xfId="17552" xr:uid="{00000000-0005-0000-0000-0000822B0000}"/>
    <cellStyle name="Normal 37 2 2 5" xfId="5190" xr:uid="{00000000-0005-0000-0000-0000832B0000}"/>
    <cellStyle name="Normal 37 2 2 5 2" xfId="11354" xr:uid="{00000000-0005-0000-0000-0000842B0000}"/>
    <cellStyle name="Normal 37 2 2 5 3" xfId="17554" xr:uid="{00000000-0005-0000-0000-0000852B0000}"/>
    <cellStyle name="Normal 37 2 2 6" xfId="11343" xr:uid="{00000000-0005-0000-0000-0000862B0000}"/>
    <cellStyle name="Normal 37 2 2 7" xfId="17543" xr:uid="{00000000-0005-0000-0000-0000872B0000}"/>
    <cellStyle name="Normal 37 2 3" xfId="5191" xr:uid="{00000000-0005-0000-0000-0000882B0000}"/>
    <cellStyle name="Normal 37 2 3 2" xfId="5192" xr:uid="{00000000-0005-0000-0000-0000892B0000}"/>
    <cellStyle name="Normal 37 2 3 2 2" xfId="5193" xr:uid="{00000000-0005-0000-0000-00008A2B0000}"/>
    <cellStyle name="Normal 37 2 3 2 2 2" xfId="11357" xr:uid="{00000000-0005-0000-0000-00008B2B0000}"/>
    <cellStyle name="Normal 37 2 3 2 2 3" xfId="17557" xr:uid="{00000000-0005-0000-0000-00008C2B0000}"/>
    <cellStyle name="Normal 37 2 3 2 3" xfId="11356" xr:uid="{00000000-0005-0000-0000-00008D2B0000}"/>
    <cellStyle name="Normal 37 2 3 2 4" xfId="17556" xr:uid="{00000000-0005-0000-0000-00008E2B0000}"/>
    <cellStyle name="Normal 37 2 3 3" xfId="5194" xr:uid="{00000000-0005-0000-0000-00008F2B0000}"/>
    <cellStyle name="Normal 37 2 3 3 2" xfId="5195" xr:uid="{00000000-0005-0000-0000-0000902B0000}"/>
    <cellStyle name="Normal 37 2 3 3 2 2" xfId="11359" xr:uid="{00000000-0005-0000-0000-0000912B0000}"/>
    <cellStyle name="Normal 37 2 3 3 2 3" xfId="17559" xr:uid="{00000000-0005-0000-0000-0000922B0000}"/>
    <cellStyle name="Normal 37 2 3 3 3" xfId="11358" xr:uid="{00000000-0005-0000-0000-0000932B0000}"/>
    <cellStyle name="Normal 37 2 3 3 4" xfId="17558" xr:uid="{00000000-0005-0000-0000-0000942B0000}"/>
    <cellStyle name="Normal 37 2 3 4" xfId="5196" xr:uid="{00000000-0005-0000-0000-0000952B0000}"/>
    <cellStyle name="Normal 37 2 3 4 2" xfId="11360" xr:uid="{00000000-0005-0000-0000-0000962B0000}"/>
    <cellStyle name="Normal 37 2 3 4 3" xfId="17560" xr:uid="{00000000-0005-0000-0000-0000972B0000}"/>
    <cellStyle name="Normal 37 2 3 5" xfId="11355" xr:uid="{00000000-0005-0000-0000-0000982B0000}"/>
    <cellStyle name="Normal 37 2 3 6" xfId="17555" xr:uid="{00000000-0005-0000-0000-0000992B0000}"/>
    <cellStyle name="Normal 37 2 4" xfId="5197" xr:uid="{00000000-0005-0000-0000-00009A2B0000}"/>
    <cellStyle name="Normal 37 2 4 2" xfId="5198" xr:uid="{00000000-0005-0000-0000-00009B2B0000}"/>
    <cellStyle name="Normal 37 2 4 2 2" xfId="11362" xr:uid="{00000000-0005-0000-0000-00009C2B0000}"/>
    <cellStyle name="Normal 37 2 4 2 3" xfId="17562" xr:uid="{00000000-0005-0000-0000-00009D2B0000}"/>
    <cellStyle name="Normal 37 2 4 3" xfId="11361" xr:uid="{00000000-0005-0000-0000-00009E2B0000}"/>
    <cellStyle name="Normal 37 2 4 4" xfId="17561" xr:uid="{00000000-0005-0000-0000-00009F2B0000}"/>
    <cellStyle name="Normal 37 2 5" xfId="5199" xr:uid="{00000000-0005-0000-0000-0000A02B0000}"/>
    <cellStyle name="Normal 37 2 5 2" xfId="5200" xr:uid="{00000000-0005-0000-0000-0000A12B0000}"/>
    <cellStyle name="Normal 37 2 5 2 2" xfId="11364" xr:uid="{00000000-0005-0000-0000-0000A22B0000}"/>
    <cellStyle name="Normal 37 2 5 2 3" xfId="17564" xr:uid="{00000000-0005-0000-0000-0000A32B0000}"/>
    <cellStyle name="Normal 37 2 5 3" xfId="11363" xr:uid="{00000000-0005-0000-0000-0000A42B0000}"/>
    <cellStyle name="Normal 37 2 5 4" xfId="17563" xr:uid="{00000000-0005-0000-0000-0000A52B0000}"/>
    <cellStyle name="Normal 37 2 6" xfId="5201" xr:uid="{00000000-0005-0000-0000-0000A62B0000}"/>
    <cellStyle name="Normal 37 2 6 2" xfId="11365" xr:uid="{00000000-0005-0000-0000-0000A72B0000}"/>
    <cellStyle name="Normal 37 2 6 3" xfId="17565" xr:uid="{00000000-0005-0000-0000-0000A82B0000}"/>
    <cellStyle name="Normal 37 2 7" xfId="11342" xr:uid="{00000000-0005-0000-0000-0000A92B0000}"/>
    <cellStyle name="Normal 37 2 8" xfId="17542" xr:uid="{00000000-0005-0000-0000-0000AA2B0000}"/>
    <cellStyle name="Normal 37 3" xfId="5202" xr:uid="{00000000-0005-0000-0000-0000AB2B0000}"/>
    <cellStyle name="Normal 37 3 2" xfId="5203" xr:uid="{00000000-0005-0000-0000-0000AC2B0000}"/>
    <cellStyle name="Normal 37 3 2 2" xfId="5204" xr:uid="{00000000-0005-0000-0000-0000AD2B0000}"/>
    <cellStyle name="Normal 37 3 2 2 2" xfId="5205" xr:uid="{00000000-0005-0000-0000-0000AE2B0000}"/>
    <cellStyle name="Normal 37 3 2 2 2 2" xfId="11369" xr:uid="{00000000-0005-0000-0000-0000AF2B0000}"/>
    <cellStyle name="Normal 37 3 2 2 2 3" xfId="17569" xr:uid="{00000000-0005-0000-0000-0000B02B0000}"/>
    <cellStyle name="Normal 37 3 2 2 3" xfId="11368" xr:uid="{00000000-0005-0000-0000-0000B12B0000}"/>
    <cellStyle name="Normal 37 3 2 2 4" xfId="17568" xr:uid="{00000000-0005-0000-0000-0000B22B0000}"/>
    <cellStyle name="Normal 37 3 2 3" xfId="5206" xr:uid="{00000000-0005-0000-0000-0000B32B0000}"/>
    <cellStyle name="Normal 37 3 2 3 2" xfId="5207" xr:uid="{00000000-0005-0000-0000-0000B42B0000}"/>
    <cellStyle name="Normal 37 3 2 3 2 2" xfId="11371" xr:uid="{00000000-0005-0000-0000-0000B52B0000}"/>
    <cellStyle name="Normal 37 3 2 3 2 3" xfId="17571" xr:uid="{00000000-0005-0000-0000-0000B62B0000}"/>
    <cellStyle name="Normal 37 3 2 3 3" xfId="11370" xr:uid="{00000000-0005-0000-0000-0000B72B0000}"/>
    <cellStyle name="Normal 37 3 2 3 4" xfId="17570" xr:uid="{00000000-0005-0000-0000-0000B82B0000}"/>
    <cellStyle name="Normal 37 3 2 4" xfId="5208" xr:uid="{00000000-0005-0000-0000-0000B92B0000}"/>
    <cellStyle name="Normal 37 3 2 4 2" xfId="11372" xr:uid="{00000000-0005-0000-0000-0000BA2B0000}"/>
    <cellStyle name="Normal 37 3 2 4 3" xfId="17572" xr:uid="{00000000-0005-0000-0000-0000BB2B0000}"/>
    <cellStyle name="Normal 37 3 2 5" xfId="11367" xr:uid="{00000000-0005-0000-0000-0000BC2B0000}"/>
    <cellStyle name="Normal 37 3 2 6" xfId="17567" xr:uid="{00000000-0005-0000-0000-0000BD2B0000}"/>
    <cellStyle name="Normal 37 3 3" xfId="5209" xr:uid="{00000000-0005-0000-0000-0000BE2B0000}"/>
    <cellStyle name="Normal 37 3 3 2" xfId="5210" xr:uid="{00000000-0005-0000-0000-0000BF2B0000}"/>
    <cellStyle name="Normal 37 3 3 2 2" xfId="11374" xr:uid="{00000000-0005-0000-0000-0000C02B0000}"/>
    <cellStyle name="Normal 37 3 3 2 3" xfId="17574" xr:uid="{00000000-0005-0000-0000-0000C12B0000}"/>
    <cellStyle name="Normal 37 3 3 3" xfId="11373" xr:uid="{00000000-0005-0000-0000-0000C22B0000}"/>
    <cellStyle name="Normal 37 3 3 4" xfId="17573" xr:uid="{00000000-0005-0000-0000-0000C32B0000}"/>
    <cellStyle name="Normal 37 3 4" xfId="5211" xr:uid="{00000000-0005-0000-0000-0000C42B0000}"/>
    <cellStyle name="Normal 37 3 4 2" xfId="5212" xr:uid="{00000000-0005-0000-0000-0000C52B0000}"/>
    <cellStyle name="Normal 37 3 4 2 2" xfId="11376" xr:uid="{00000000-0005-0000-0000-0000C62B0000}"/>
    <cellStyle name="Normal 37 3 4 2 3" xfId="17576" xr:uid="{00000000-0005-0000-0000-0000C72B0000}"/>
    <cellStyle name="Normal 37 3 4 3" xfId="11375" xr:uid="{00000000-0005-0000-0000-0000C82B0000}"/>
    <cellStyle name="Normal 37 3 4 4" xfId="17575" xr:uid="{00000000-0005-0000-0000-0000C92B0000}"/>
    <cellStyle name="Normal 37 3 5" xfId="5213" xr:uid="{00000000-0005-0000-0000-0000CA2B0000}"/>
    <cellStyle name="Normal 37 3 5 2" xfId="11377" xr:uid="{00000000-0005-0000-0000-0000CB2B0000}"/>
    <cellStyle name="Normal 37 3 5 3" xfId="17577" xr:uid="{00000000-0005-0000-0000-0000CC2B0000}"/>
    <cellStyle name="Normal 37 3 6" xfId="11366" xr:uid="{00000000-0005-0000-0000-0000CD2B0000}"/>
    <cellStyle name="Normal 37 3 7" xfId="17566" xr:uid="{00000000-0005-0000-0000-0000CE2B0000}"/>
    <cellStyle name="Normal 37 4" xfId="5214" xr:uid="{00000000-0005-0000-0000-0000CF2B0000}"/>
    <cellStyle name="Normal 37 4 2" xfId="5215" xr:uid="{00000000-0005-0000-0000-0000D02B0000}"/>
    <cellStyle name="Normal 37 4 2 2" xfId="5216" xr:uid="{00000000-0005-0000-0000-0000D12B0000}"/>
    <cellStyle name="Normal 37 4 2 2 2" xfId="11380" xr:uid="{00000000-0005-0000-0000-0000D22B0000}"/>
    <cellStyle name="Normal 37 4 2 2 3" xfId="17580" xr:uid="{00000000-0005-0000-0000-0000D32B0000}"/>
    <cellStyle name="Normal 37 4 2 3" xfId="11379" xr:uid="{00000000-0005-0000-0000-0000D42B0000}"/>
    <cellStyle name="Normal 37 4 2 4" xfId="17579" xr:uid="{00000000-0005-0000-0000-0000D52B0000}"/>
    <cellStyle name="Normal 37 4 3" xfId="5217" xr:uid="{00000000-0005-0000-0000-0000D62B0000}"/>
    <cellStyle name="Normal 37 4 3 2" xfId="5218" xr:uid="{00000000-0005-0000-0000-0000D72B0000}"/>
    <cellStyle name="Normal 37 4 3 2 2" xfId="11382" xr:uid="{00000000-0005-0000-0000-0000D82B0000}"/>
    <cellStyle name="Normal 37 4 3 2 3" xfId="17582" xr:uid="{00000000-0005-0000-0000-0000D92B0000}"/>
    <cellStyle name="Normal 37 4 3 3" xfId="11381" xr:uid="{00000000-0005-0000-0000-0000DA2B0000}"/>
    <cellStyle name="Normal 37 4 3 4" xfId="17581" xr:uid="{00000000-0005-0000-0000-0000DB2B0000}"/>
    <cellStyle name="Normal 37 4 4" xfId="5219" xr:uid="{00000000-0005-0000-0000-0000DC2B0000}"/>
    <cellStyle name="Normal 37 4 4 2" xfId="11383" xr:uid="{00000000-0005-0000-0000-0000DD2B0000}"/>
    <cellStyle name="Normal 37 4 4 3" xfId="17583" xr:uid="{00000000-0005-0000-0000-0000DE2B0000}"/>
    <cellStyle name="Normal 37 4 5" xfId="11378" xr:uid="{00000000-0005-0000-0000-0000DF2B0000}"/>
    <cellStyle name="Normal 37 4 6" xfId="17578" xr:uid="{00000000-0005-0000-0000-0000E02B0000}"/>
    <cellStyle name="Normal 37 5" xfId="5220" xr:uid="{00000000-0005-0000-0000-0000E12B0000}"/>
    <cellStyle name="Normal 37 5 2" xfId="5221" xr:uid="{00000000-0005-0000-0000-0000E22B0000}"/>
    <cellStyle name="Normal 37 5 2 2" xfId="11385" xr:uid="{00000000-0005-0000-0000-0000E32B0000}"/>
    <cellStyle name="Normal 37 5 2 3" xfId="17585" xr:uid="{00000000-0005-0000-0000-0000E42B0000}"/>
    <cellStyle name="Normal 37 5 3" xfId="11384" xr:uid="{00000000-0005-0000-0000-0000E52B0000}"/>
    <cellStyle name="Normal 37 5 4" xfId="17584" xr:uid="{00000000-0005-0000-0000-0000E62B0000}"/>
    <cellStyle name="Normal 37 6" xfId="5222" xr:uid="{00000000-0005-0000-0000-0000E72B0000}"/>
    <cellStyle name="Normal 37 6 2" xfId="5223" xr:uid="{00000000-0005-0000-0000-0000E82B0000}"/>
    <cellStyle name="Normal 37 6 2 2" xfId="11387" xr:uid="{00000000-0005-0000-0000-0000E92B0000}"/>
    <cellStyle name="Normal 37 6 2 3" xfId="17587" xr:uid="{00000000-0005-0000-0000-0000EA2B0000}"/>
    <cellStyle name="Normal 37 6 3" xfId="11386" xr:uid="{00000000-0005-0000-0000-0000EB2B0000}"/>
    <cellStyle name="Normal 37 6 4" xfId="17586" xr:uid="{00000000-0005-0000-0000-0000EC2B0000}"/>
    <cellStyle name="Normal 37 7" xfId="5224" xr:uid="{00000000-0005-0000-0000-0000ED2B0000}"/>
    <cellStyle name="Normal 37 7 2" xfId="11388" xr:uid="{00000000-0005-0000-0000-0000EE2B0000}"/>
    <cellStyle name="Normal 37 7 3" xfId="17588" xr:uid="{00000000-0005-0000-0000-0000EF2B0000}"/>
    <cellStyle name="Normal 37 8" xfId="5225" xr:uid="{00000000-0005-0000-0000-0000F02B0000}"/>
    <cellStyle name="Normal 37 8 2" xfId="17589" xr:uid="{00000000-0005-0000-0000-0000F12B0000}"/>
    <cellStyle name="Normal 37 9" xfId="11341" xr:uid="{00000000-0005-0000-0000-0000F22B0000}"/>
    <cellStyle name="Normal 38" xfId="5226" xr:uid="{00000000-0005-0000-0000-0000F32B0000}"/>
    <cellStyle name="Normal 38 10" xfId="17590" xr:uid="{00000000-0005-0000-0000-0000F42B0000}"/>
    <cellStyle name="Normal 38 2" xfId="5227" xr:uid="{00000000-0005-0000-0000-0000F52B0000}"/>
    <cellStyle name="Normal 38 2 2" xfId="5228" xr:uid="{00000000-0005-0000-0000-0000F62B0000}"/>
    <cellStyle name="Normal 38 2 2 2" xfId="5229" xr:uid="{00000000-0005-0000-0000-0000F72B0000}"/>
    <cellStyle name="Normal 38 2 2 2 2" xfId="5230" xr:uid="{00000000-0005-0000-0000-0000F82B0000}"/>
    <cellStyle name="Normal 38 2 2 2 2 2" xfId="5231" xr:uid="{00000000-0005-0000-0000-0000F92B0000}"/>
    <cellStyle name="Normal 38 2 2 2 2 2 2" xfId="11394" xr:uid="{00000000-0005-0000-0000-0000FA2B0000}"/>
    <cellStyle name="Normal 38 2 2 2 2 2 3" xfId="17595" xr:uid="{00000000-0005-0000-0000-0000FB2B0000}"/>
    <cellStyle name="Normal 38 2 2 2 2 3" xfId="11393" xr:uid="{00000000-0005-0000-0000-0000FC2B0000}"/>
    <cellStyle name="Normal 38 2 2 2 2 4" xfId="17594" xr:uid="{00000000-0005-0000-0000-0000FD2B0000}"/>
    <cellStyle name="Normal 38 2 2 2 3" xfId="5232" xr:uid="{00000000-0005-0000-0000-0000FE2B0000}"/>
    <cellStyle name="Normal 38 2 2 2 3 2" xfId="5233" xr:uid="{00000000-0005-0000-0000-0000FF2B0000}"/>
    <cellStyle name="Normal 38 2 2 2 3 2 2" xfId="11396" xr:uid="{00000000-0005-0000-0000-0000002C0000}"/>
    <cellStyle name="Normal 38 2 2 2 3 2 3" xfId="17597" xr:uid="{00000000-0005-0000-0000-0000012C0000}"/>
    <cellStyle name="Normal 38 2 2 2 3 3" xfId="11395" xr:uid="{00000000-0005-0000-0000-0000022C0000}"/>
    <cellStyle name="Normal 38 2 2 2 3 4" xfId="17596" xr:uid="{00000000-0005-0000-0000-0000032C0000}"/>
    <cellStyle name="Normal 38 2 2 2 4" xfId="5234" xr:uid="{00000000-0005-0000-0000-0000042C0000}"/>
    <cellStyle name="Normal 38 2 2 2 4 2" xfId="11397" xr:uid="{00000000-0005-0000-0000-0000052C0000}"/>
    <cellStyle name="Normal 38 2 2 2 4 3" xfId="17598" xr:uid="{00000000-0005-0000-0000-0000062C0000}"/>
    <cellStyle name="Normal 38 2 2 2 5" xfId="11392" xr:uid="{00000000-0005-0000-0000-0000072C0000}"/>
    <cellStyle name="Normal 38 2 2 2 6" xfId="17593" xr:uid="{00000000-0005-0000-0000-0000082C0000}"/>
    <cellStyle name="Normal 38 2 2 3" xfId="5235" xr:uid="{00000000-0005-0000-0000-0000092C0000}"/>
    <cellStyle name="Normal 38 2 2 3 2" xfId="5236" xr:uid="{00000000-0005-0000-0000-00000A2C0000}"/>
    <cellStyle name="Normal 38 2 2 3 2 2" xfId="11399" xr:uid="{00000000-0005-0000-0000-00000B2C0000}"/>
    <cellStyle name="Normal 38 2 2 3 2 3" xfId="17600" xr:uid="{00000000-0005-0000-0000-00000C2C0000}"/>
    <cellStyle name="Normal 38 2 2 3 3" xfId="11398" xr:uid="{00000000-0005-0000-0000-00000D2C0000}"/>
    <cellStyle name="Normal 38 2 2 3 4" xfId="17599" xr:uid="{00000000-0005-0000-0000-00000E2C0000}"/>
    <cellStyle name="Normal 38 2 2 4" xfId="5237" xr:uid="{00000000-0005-0000-0000-00000F2C0000}"/>
    <cellStyle name="Normal 38 2 2 4 2" xfId="5238" xr:uid="{00000000-0005-0000-0000-0000102C0000}"/>
    <cellStyle name="Normal 38 2 2 4 2 2" xfId="11401" xr:uid="{00000000-0005-0000-0000-0000112C0000}"/>
    <cellStyle name="Normal 38 2 2 4 2 3" xfId="17602" xr:uid="{00000000-0005-0000-0000-0000122C0000}"/>
    <cellStyle name="Normal 38 2 2 4 3" xfId="11400" xr:uid="{00000000-0005-0000-0000-0000132C0000}"/>
    <cellStyle name="Normal 38 2 2 4 4" xfId="17601" xr:uid="{00000000-0005-0000-0000-0000142C0000}"/>
    <cellStyle name="Normal 38 2 2 5" xfId="5239" xr:uid="{00000000-0005-0000-0000-0000152C0000}"/>
    <cellStyle name="Normal 38 2 2 5 2" xfId="11402" xr:uid="{00000000-0005-0000-0000-0000162C0000}"/>
    <cellStyle name="Normal 38 2 2 5 3" xfId="17603" xr:uid="{00000000-0005-0000-0000-0000172C0000}"/>
    <cellStyle name="Normal 38 2 2 6" xfId="11391" xr:uid="{00000000-0005-0000-0000-0000182C0000}"/>
    <cellStyle name="Normal 38 2 2 7" xfId="17592" xr:uid="{00000000-0005-0000-0000-0000192C0000}"/>
    <cellStyle name="Normal 38 2 3" xfId="5240" xr:uid="{00000000-0005-0000-0000-00001A2C0000}"/>
    <cellStyle name="Normal 38 2 3 2" xfId="5241" xr:uid="{00000000-0005-0000-0000-00001B2C0000}"/>
    <cellStyle name="Normal 38 2 3 2 2" xfId="5242" xr:uid="{00000000-0005-0000-0000-00001C2C0000}"/>
    <cellStyle name="Normal 38 2 3 2 2 2" xfId="11405" xr:uid="{00000000-0005-0000-0000-00001D2C0000}"/>
    <cellStyle name="Normal 38 2 3 2 2 3" xfId="17606" xr:uid="{00000000-0005-0000-0000-00001E2C0000}"/>
    <cellStyle name="Normal 38 2 3 2 3" xfId="11404" xr:uid="{00000000-0005-0000-0000-00001F2C0000}"/>
    <cellStyle name="Normal 38 2 3 2 4" xfId="17605" xr:uid="{00000000-0005-0000-0000-0000202C0000}"/>
    <cellStyle name="Normal 38 2 3 3" xfId="5243" xr:uid="{00000000-0005-0000-0000-0000212C0000}"/>
    <cellStyle name="Normal 38 2 3 3 2" xfId="5244" xr:uid="{00000000-0005-0000-0000-0000222C0000}"/>
    <cellStyle name="Normal 38 2 3 3 2 2" xfId="11407" xr:uid="{00000000-0005-0000-0000-0000232C0000}"/>
    <cellStyle name="Normal 38 2 3 3 2 3" xfId="17608" xr:uid="{00000000-0005-0000-0000-0000242C0000}"/>
    <cellStyle name="Normal 38 2 3 3 3" xfId="11406" xr:uid="{00000000-0005-0000-0000-0000252C0000}"/>
    <cellStyle name="Normal 38 2 3 3 4" xfId="17607" xr:uid="{00000000-0005-0000-0000-0000262C0000}"/>
    <cellStyle name="Normal 38 2 3 4" xfId="5245" xr:uid="{00000000-0005-0000-0000-0000272C0000}"/>
    <cellStyle name="Normal 38 2 3 4 2" xfId="11408" xr:uid="{00000000-0005-0000-0000-0000282C0000}"/>
    <cellStyle name="Normal 38 2 3 4 3" xfId="17609" xr:uid="{00000000-0005-0000-0000-0000292C0000}"/>
    <cellStyle name="Normal 38 2 3 5" xfId="11403" xr:uid="{00000000-0005-0000-0000-00002A2C0000}"/>
    <cellStyle name="Normal 38 2 3 6" xfId="17604" xr:uid="{00000000-0005-0000-0000-00002B2C0000}"/>
    <cellStyle name="Normal 38 2 4" xfId="5246" xr:uid="{00000000-0005-0000-0000-00002C2C0000}"/>
    <cellStyle name="Normal 38 2 4 2" xfId="5247" xr:uid="{00000000-0005-0000-0000-00002D2C0000}"/>
    <cellStyle name="Normal 38 2 4 2 2" xfId="11410" xr:uid="{00000000-0005-0000-0000-00002E2C0000}"/>
    <cellStyle name="Normal 38 2 4 2 3" xfId="17611" xr:uid="{00000000-0005-0000-0000-00002F2C0000}"/>
    <cellStyle name="Normal 38 2 4 3" xfId="11409" xr:uid="{00000000-0005-0000-0000-0000302C0000}"/>
    <cellStyle name="Normal 38 2 4 4" xfId="17610" xr:uid="{00000000-0005-0000-0000-0000312C0000}"/>
    <cellStyle name="Normal 38 2 5" xfId="5248" xr:uid="{00000000-0005-0000-0000-0000322C0000}"/>
    <cellStyle name="Normal 38 2 5 2" xfId="5249" xr:uid="{00000000-0005-0000-0000-0000332C0000}"/>
    <cellStyle name="Normal 38 2 5 2 2" xfId="11412" xr:uid="{00000000-0005-0000-0000-0000342C0000}"/>
    <cellStyle name="Normal 38 2 5 2 3" xfId="17613" xr:uid="{00000000-0005-0000-0000-0000352C0000}"/>
    <cellStyle name="Normal 38 2 5 3" xfId="11411" xr:uid="{00000000-0005-0000-0000-0000362C0000}"/>
    <cellStyle name="Normal 38 2 5 4" xfId="17612" xr:uid="{00000000-0005-0000-0000-0000372C0000}"/>
    <cellStyle name="Normal 38 2 6" xfId="5250" xr:uid="{00000000-0005-0000-0000-0000382C0000}"/>
    <cellStyle name="Normal 38 2 6 2" xfId="11413" xr:uid="{00000000-0005-0000-0000-0000392C0000}"/>
    <cellStyle name="Normal 38 2 6 3" xfId="17614" xr:uid="{00000000-0005-0000-0000-00003A2C0000}"/>
    <cellStyle name="Normal 38 2 7" xfId="11390" xr:uid="{00000000-0005-0000-0000-00003B2C0000}"/>
    <cellStyle name="Normal 38 2 8" xfId="17591" xr:uid="{00000000-0005-0000-0000-00003C2C0000}"/>
    <cellStyle name="Normal 38 3" xfId="5251" xr:uid="{00000000-0005-0000-0000-00003D2C0000}"/>
    <cellStyle name="Normal 38 3 2" xfId="5252" xr:uid="{00000000-0005-0000-0000-00003E2C0000}"/>
    <cellStyle name="Normal 38 3 2 2" xfId="5253" xr:uid="{00000000-0005-0000-0000-00003F2C0000}"/>
    <cellStyle name="Normal 38 3 2 2 2" xfId="5254" xr:uid="{00000000-0005-0000-0000-0000402C0000}"/>
    <cellStyle name="Normal 38 3 2 2 2 2" xfId="11417" xr:uid="{00000000-0005-0000-0000-0000412C0000}"/>
    <cellStyle name="Normal 38 3 2 2 2 3" xfId="17618" xr:uid="{00000000-0005-0000-0000-0000422C0000}"/>
    <cellStyle name="Normal 38 3 2 2 3" xfId="11416" xr:uid="{00000000-0005-0000-0000-0000432C0000}"/>
    <cellStyle name="Normal 38 3 2 2 4" xfId="17617" xr:uid="{00000000-0005-0000-0000-0000442C0000}"/>
    <cellStyle name="Normal 38 3 2 3" xfId="5255" xr:uid="{00000000-0005-0000-0000-0000452C0000}"/>
    <cellStyle name="Normal 38 3 2 3 2" xfId="5256" xr:uid="{00000000-0005-0000-0000-0000462C0000}"/>
    <cellStyle name="Normal 38 3 2 3 2 2" xfId="11419" xr:uid="{00000000-0005-0000-0000-0000472C0000}"/>
    <cellStyle name="Normal 38 3 2 3 2 3" xfId="17620" xr:uid="{00000000-0005-0000-0000-0000482C0000}"/>
    <cellStyle name="Normal 38 3 2 3 3" xfId="11418" xr:uid="{00000000-0005-0000-0000-0000492C0000}"/>
    <cellStyle name="Normal 38 3 2 3 4" xfId="17619" xr:uid="{00000000-0005-0000-0000-00004A2C0000}"/>
    <cellStyle name="Normal 38 3 2 4" xfId="5257" xr:uid="{00000000-0005-0000-0000-00004B2C0000}"/>
    <cellStyle name="Normal 38 3 2 4 2" xfId="11420" xr:uid="{00000000-0005-0000-0000-00004C2C0000}"/>
    <cellStyle name="Normal 38 3 2 4 3" xfId="17621" xr:uid="{00000000-0005-0000-0000-00004D2C0000}"/>
    <cellStyle name="Normal 38 3 2 5" xfId="11415" xr:uid="{00000000-0005-0000-0000-00004E2C0000}"/>
    <cellStyle name="Normal 38 3 2 6" xfId="17616" xr:uid="{00000000-0005-0000-0000-00004F2C0000}"/>
    <cellStyle name="Normal 38 3 3" xfId="5258" xr:uid="{00000000-0005-0000-0000-0000502C0000}"/>
    <cellStyle name="Normal 38 3 3 2" xfId="5259" xr:uid="{00000000-0005-0000-0000-0000512C0000}"/>
    <cellStyle name="Normal 38 3 3 2 2" xfId="11422" xr:uid="{00000000-0005-0000-0000-0000522C0000}"/>
    <cellStyle name="Normal 38 3 3 2 3" xfId="17623" xr:uid="{00000000-0005-0000-0000-0000532C0000}"/>
    <cellStyle name="Normal 38 3 3 3" xfId="11421" xr:uid="{00000000-0005-0000-0000-0000542C0000}"/>
    <cellStyle name="Normal 38 3 3 4" xfId="17622" xr:uid="{00000000-0005-0000-0000-0000552C0000}"/>
    <cellStyle name="Normal 38 3 4" xfId="5260" xr:uid="{00000000-0005-0000-0000-0000562C0000}"/>
    <cellStyle name="Normal 38 3 4 2" xfId="5261" xr:uid="{00000000-0005-0000-0000-0000572C0000}"/>
    <cellStyle name="Normal 38 3 4 2 2" xfId="11424" xr:uid="{00000000-0005-0000-0000-0000582C0000}"/>
    <cellStyle name="Normal 38 3 4 2 3" xfId="17625" xr:uid="{00000000-0005-0000-0000-0000592C0000}"/>
    <cellStyle name="Normal 38 3 4 3" xfId="11423" xr:uid="{00000000-0005-0000-0000-00005A2C0000}"/>
    <cellStyle name="Normal 38 3 4 4" xfId="17624" xr:uid="{00000000-0005-0000-0000-00005B2C0000}"/>
    <cellStyle name="Normal 38 3 5" xfId="5262" xr:uid="{00000000-0005-0000-0000-00005C2C0000}"/>
    <cellStyle name="Normal 38 3 5 2" xfId="11425" xr:uid="{00000000-0005-0000-0000-00005D2C0000}"/>
    <cellStyle name="Normal 38 3 5 3" xfId="17626" xr:uid="{00000000-0005-0000-0000-00005E2C0000}"/>
    <cellStyle name="Normal 38 3 6" xfId="11414" xr:uid="{00000000-0005-0000-0000-00005F2C0000}"/>
    <cellStyle name="Normal 38 3 7" xfId="17615" xr:uid="{00000000-0005-0000-0000-0000602C0000}"/>
    <cellStyle name="Normal 38 4" xfId="5263" xr:uid="{00000000-0005-0000-0000-0000612C0000}"/>
    <cellStyle name="Normal 38 4 2" xfId="5264" xr:uid="{00000000-0005-0000-0000-0000622C0000}"/>
    <cellStyle name="Normal 38 4 2 2" xfId="5265" xr:uid="{00000000-0005-0000-0000-0000632C0000}"/>
    <cellStyle name="Normal 38 4 2 2 2" xfId="11428" xr:uid="{00000000-0005-0000-0000-0000642C0000}"/>
    <cellStyle name="Normal 38 4 2 2 3" xfId="17629" xr:uid="{00000000-0005-0000-0000-0000652C0000}"/>
    <cellStyle name="Normal 38 4 2 3" xfId="11427" xr:uid="{00000000-0005-0000-0000-0000662C0000}"/>
    <cellStyle name="Normal 38 4 2 4" xfId="17628" xr:uid="{00000000-0005-0000-0000-0000672C0000}"/>
    <cellStyle name="Normal 38 4 3" xfId="5266" xr:uid="{00000000-0005-0000-0000-0000682C0000}"/>
    <cellStyle name="Normal 38 4 3 2" xfId="5267" xr:uid="{00000000-0005-0000-0000-0000692C0000}"/>
    <cellStyle name="Normal 38 4 3 2 2" xfId="11430" xr:uid="{00000000-0005-0000-0000-00006A2C0000}"/>
    <cellStyle name="Normal 38 4 3 2 3" xfId="17631" xr:uid="{00000000-0005-0000-0000-00006B2C0000}"/>
    <cellStyle name="Normal 38 4 3 3" xfId="11429" xr:uid="{00000000-0005-0000-0000-00006C2C0000}"/>
    <cellStyle name="Normal 38 4 3 4" xfId="17630" xr:uid="{00000000-0005-0000-0000-00006D2C0000}"/>
    <cellStyle name="Normal 38 4 4" xfId="5268" xr:uid="{00000000-0005-0000-0000-00006E2C0000}"/>
    <cellStyle name="Normal 38 4 4 2" xfId="11431" xr:uid="{00000000-0005-0000-0000-00006F2C0000}"/>
    <cellStyle name="Normal 38 4 4 3" xfId="17632" xr:uid="{00000000-0005-0000-0000-0000702C0000}"/>
    <cellStyle name="Normal 38 4 5" xfId="11426" xr:uid="{00000000-0005-0000-0000-0000712C0000}"/>
    <cellStyle name="Normal 38 4 6" xfId="17627" xr:uid="{00000000-0005-0000-0000-0000722C0000}"/>
    <cellStyle name="Normal 38 5" xfId="5269" xr:uid="{00000000-0005-0000-0000-0000732C0000}"/>
    <cellStyle name="Normal 38 5 2" xfId="5270" xr:uid="{00000000-0005-0000-0000-0000742C0000}"/>
    <cellStyle name="Normal 38 5 2 2" xfId="11433" xr:uid="{00000000-0005-0000-0000-0000752C0000}"/>
    <cellStyle name="Normal 38 5 2 3" xfId="17634" xr:uid="{00000000-0005-0000-0000-0000762C0000}"/>
    <cellStyle name="Normal 38 5 3" xfId="11432" xr:uid="{00000000-0005-0000-0000-0000772C0000}"/>
    <cellStyle name="Normal 38 5 4" xfId="17633" xr:uid="{00000000-0005-0000-0000-0000782C0000}"/>
    <cellStyle name="Normal 38 6" xfId="5271" xr:uid="{00000000-0005-0000-0000-0000792C0000}"/>
    <cellStyle name="Normal 38 6 2" xfId="5272" xr:uid="{00000000-0005-0000-0000-00007A2C0000}"/>
    <cellStyle name="Normal 38 6 2 2" xfId="11435" xr:uid="{00000000-0005-0000-0000-00007B2C0000}"/>
    <cellStyle name="Normal 38 6 2 3" xfId="17636" xr:uid="{00000000-0005-0000-0000-00007C2C0000}"/>
    <cellStyle name="Normal 38 6 3" xfId="11434" xr:uid="{00000000-0005-0000-0000-00007D2C0000}"/>
    <cellStyle name="Normal 38 6 4" xfId="17635" xr:uid="{00000000-0005-0000-0000-00007E2C0000}"/>
    <cellStyle name="Normal 38 7" xfId="5273" xr:uid="{00000000-0005-0000-0000-00007F2C0000}"/>
    <cellStyle name="Normal 38 7 2" xfId="11436" xr:uid="{00000000-0005-0000-0000-0000802C0000}"/>
    <cellStyle name="Normal 38 7 3" xfId="17637" xr:uid="{00000000-0005-0000-0000-0000812C0000}"/>
    <cellStyle name="Normal 38 8" xfId="5274" xr:uid="{00000000-0005-0000-0000-0000822C0000}"/>
    <cellStyle name="Normal 38 8 2" xfId="17638" xr:uid="{00000000-0005-0000-0000-0000832C0000}"/>
    <cellStyle name="Normal 38 9" xfId="11389" xr:uid="{00000000-0005-0000-0000-0000842C0000}"/>
    <cellStyle name="Normal 39" xfId="5275" xr:uid="{00000000-0005-0000-0000-0000852C0000}"/>
    <cellStyle name="Normal 39 10" xfId="17639" xr:uid="{00000000-0005-0000-0000-0000862C0000}"/>
    <cellStyle name="Normal 39 2" xfId="5276" xr:uid="{00000000-0005-0000-0000-0000872C0000}"/>
    <cellStyle name="Normal 39 2 2" xfId="5277" xr:uid="{00000000-0005-0000-0000-0000882C0000}"/>
    <cellStyle name="Normal 39 2 2 2" xfId="5278" xr:uid="{00000000-0005-0000-0000-0000892C0000}"/>
    <cellStyle name="Normal 39 2 2 2 2" xfId="5279" xr:uid="{00000000-0005-0000-0000-00008A2C0000}"/>
    <cellStyle name="Normal 39 2 2 2 2 2" xfId="5280" xr:uid="{00000000-0005-0000-0000-00008B2C0000}"/>
    <cellStyle name="Normal 39 2 2 2 2 2 2" xfId="11442" xr:uid="{00000000-0005-0000-0000-00008C2C0000}"/>
    <cellStyle name="Normal 39 2 2 2 2 2 3" xfId="17644" xr:uid="{00000000-0005-0000-0000-00008D2C0000}"/>
    <cellStyle name="Normal 39 2 2 2 2 3" xfId="11441" xr:uid="{00000000-0005-0000-0000-00008E2C0000}"/>
    <cellStyle name="Normal 39 2 2 2 2 4" xfId="17643" xr:uid="{00000000-0005-0000-0000-00008F2C0000}"/>
    <cellStyle name="Normal 39 2 2 2 3" xfId="5281" xr:uid="{00000000-0005-0000-0000-0000902C0000}"/>
    <cellStyle name="Normal 39 2 2 2 3 2" xfId="5282" xr:uid="{00000000-0005-0000-0000-0000912C0000}"/>
    <cellStyle name="Normal 39 2 2 2 3 2 2" xfId="11444" xr:uid="{00000000-0005-0000-0000-0000922C0000}"/>
    <cellStyle name="Normal 39 2 2 2 3 2 3" xfId="17646" xr:uid="{00000000-0005-0000-0000-0000932C0000}"/>
    <cellStyle name="Normal 39 2 2 2 3 3" xfId="11443" xr:uid="{00000000-0005-0000-0000-0000942C0000}"/>
    <cellStyle name="Normal 39 2 2 2 3 4" xfId="17645" xr:uid="{00000000-0005-0000-0000-0000952C0000}"/>
    <cellStyle name="Normal 39 2 2 2 4" xfId="5283" xr:uid="{00000000-0005-0000-0000-0000962C0000}"/>
    <cellStyle name="Normal 39 2 2 2 4 2" xfId="11445" xr:uid="{00000000-0005-0000-0000-0000972C0000}"/>
    <cellStyle name="Normal 39 2 2 2 4 3" xfId="17647" xr:uid="{00000000-0005-0000-0000-0000982C0000}"/>
    <cellStyle name="Normal 39 2 2 2 5" xfId="11440" xr:uid="{00000000-0005-0000-0000-0000992C0000}"/>
    <cellStyle name="Normal 39 2 2 2 6" xfId="17642" xr:uid="{00000000-0005-0000-0000-00009A2C0000}"/>
    <cellStyle name="Normal 39 2 2 3" xfId="5284" xr:uid="{00000000-0005-0000-0000-00009B2C0000}"/>
    <cellStyle name="Normal 39 2 2 3 2" xfId="5285" xr:uid="{00000000-0005-0000-0000-00009C2C0000}"/>
    <cellStyle name="Normal 39 2 2 3 2 2" xfId="11447" xr:uid="{00000000-0005-0000-0000-00009D2C0000}"/>
    <cellStyle name="Normal 39 2 2 3 2 3" xfId="17649" xr:uid="{00000000-0005-0000-0000-00009E2C0000}"/>
    <cellStyle name="Normal 39 2 2 3 3" xfId="11446" xr:uid="{00000000-0005-0000-0000-00009F2C0000}"/>
    <cellStyle name="Normal 39 2 2 3 4" xfId="17648" xr:uid="{00000000-0005-0000-0000-0000A02C0000}"/>
    <cellStyle name="Normal 39 2 2 4" xfId="5286" xr:uid="{00000000-0005-0000-0000-0000A12C0000}"/>
    <cellStyle name="Normal 39 2 2 4 2" xfId="5287" xr:uid="{00000000-0005-0000-0000-0000A22C0000}"/>
    <cellStyle name="Normal 39 2 2 4 2 2" xfId="11449" xr:uid="{00000000-0005-0000-0000-0000A32C0000}"/>
    <cellStyle name="Normal 39 2 2 4 2 3" xfId="17651" xr:uid="{00000000-0005-0000-0000-0000A42C0000}"/>
    <cellStyle name="Normal 39 2 2 4 3" xfId="11448" xr:uid="{00000000-0005-0000-0000-0000A52C0000}"/>
    <cellStyle name="Normal 39 2 2 4 4" xfId="17650" xr:uid="{00000000-0005-0000-0000-0000A62C0000}"/>
    <cellStyle name="Normal 39 2 2 5" xfId="5288" xr:uid="{00000000-0005-0000-0000-0000A72C0000}"/>
    <cellStyle name="Normal 39 2 2 5 2" xfId="11450" xr:uid="{00000000-0005-0000-0000-0000A82C0000}"/>
    <cellStyle name="Normal 39 2 2 5 3" xfId="17652" xr:uid="{00000000-0005-0000-0000-0000A92C0000}"/>
    <cellStyle name="Normal 39 2 2 6" xfId="11439" xr:uid="{00000000-0005-0000-0000-0000AA2C0000}"/>
    <cellStyle name="Normal 39 2 2 7" xfId="17641" xr:uid="{00000000-0005-0000-0000-0000AB2C0000}"/>
    <cellStyle name="Normal 39 2 3" xfId="5289" xr:uid="{00000000-0005-0000-0000-0000AC2C0000}"/>
    <cellStyle name="Normal 39 2 3 2" xfId="5290" xr:uid="{00000000-0005-0000-0000-0000AD2C0000}"/>
    <cellStyle name="Normal 39 2 3 2 2" xfId="5291" xr:uid="{00000000-0005-0000-0000-0000AE2C0000}"/>
    <cellStyle name="Normal 39 2 3 2 2 2" xfId="11453" xr:uid="{00000000-0005-0000-0000-0000AF2C0000}"/>
    <cellStyle name="Normal 39 2 3 2 2 3" xfId="17655" xr:uid="{00000000-0005-0000-0000-0000B02C0000}"/>
    <cellStyle name="Normal 39 2 3 2 3" xfId="11452" xr:uid="{00000000-0005-0000-0000-0000B12C0000}"/>
    <cellStyle name="Normal 39 2 3 2 4" xfId="17654" xr:uid="{00000000-0005-0000-0000-0000B22C0000}"/>
    <cellStyle name="Normal 39 2 3 3" xfId="5292" xr:uid="{00000000-0005-0000-0000-0000B32C0000}"/>
    <cellStyle name="Normal 39 2 3 3 2" xfId="5293" xr:uid="{00000000-0005-0000-0000-0000B42C0000}"/>
    <cellStyle name="Normal 39 2 3 3 2 2" xfId="11455" xr:uid="{00000000-0005-0000-0000-0000B52C0000}"/>
    <cellStyle name="Normal 39 2 3 3 2 3" xfId="17657" xr:uid="{00000000-0005-0000-0000-0000B62C0000}"/>
    <cellStyle name="Normal 39 2 3 3 3" xfId="11454" xr:uid="{00000000-0005-0000-0000-0000B72C0000}"/>
    <cellStyle name="Normal 39 2 3 3 4" xfId="17656" xr:uid="{00000000-0005-0000-0000-0000B82C0000}"/>
    <cellStyle name="Normal 39 2 3 4" xfId="5294" xr:uid="{00000000-0005-0000-0000-0000B92C0000}"/>
    <cellStyle name="Normal 39 2 3 4 2" xfId="11456" xr:uid="{00000000-0005-0000-0000-0000BA2C0000}"/>
    <cellStyle name="Normal 39 2 3 4 3" xfId="17658" xr:uid="{00000000-0005-0000-0000-0000BB2C0000}"/>
    <cellStyle name="Normal 39 2 3 5" xfId="11451" xr:uid="{00000000-0005-0000-0000-0000BC2C0000}"/>
    <cellStyle name="Normal 39 2 3 6" xfId="17653" xr:uid="{00000000-0005-0000-0000-0000BD2C0000}"/>
    <cellStyle name="Normal 39 2 4" xfId="5295" xr:uid="{00000000-0005-0000-0000-0000BE2C0000}"/>
    <cellStyle name="Normal 39 2 4 2" xfId="5296" xr:uid="{00000000-0005-0000-0000-0000BF2C0000}"/>
    <cellStyle name="Normal 39 2 4 2 2" xfId="11458" xr:uid="{00000000-0005-0000-0000-0000C02C0000}"/>
    <cellStyle name="Normal 39 2 4 2 3" xfId="17660" xr:uid="{00000000-0005-0000-0000-0000C12C0000}"/>
    <cellStyle name="Normal 39 2 4 3" xfId="11457" xr:uid="{00000000-0005-0000-0000-0000C22C0000}"/>
    <cellStyle name="Normal 39 2 4 4" xfId="17659" xr:uid="{00000000-0005-0000-0000-0000C32C0000}"/>
    <cellStyle name="Normal 39 2 5" xfId="5297" xr:uid="{00000000-0005-0000-0000-0000C42C0000}"/>
    <cellStyle name="Normal 39 2 5 2" xfId="5298" xr:uid="{00000000-0005-0000-0000-0000C52C0000}"/>
    <cellStyle name="Normal 39 2 5 2 2" xfId="11460" xr:uid="{00000000-0005-0000-0000-0000C62C0000}"/>
    <cellStyle name="Normal 39 2 5 2 3" xfId="17662" xr:uid="{00000000-0005-0000-0000-0000C72C0000}"/>
    <cellStyle name="Normal 39 2 5 3" xfId="11459" xr:uid="{00000000-0005-0000-0000-0000C82C0000}"/>
    <cellStyle name="Normal 39 2 5 4" xfId="17661" xr:uid="{00000000-0005-0000-0000-0000C92C0000}"/>
    <cellStyle name="Normal 39 2 6" xfId="5299" xr:uid="{00000000-0005-0000-0000-0000CA2C0000}"/>
    <cellStyle name="Normal 39 2 6 2" xfId="11461" xr:uid="{00000000-0005-0000-0000-0000CB2C0000}"/>
    <cellStyle name="Normal 39 2 6 3" xfId="17663" xr:uid="{00000000-0005-0000-0000-0000CC2C0000}"/>
    <cellStyle name="Normal 39 2 7" xfId="11438" xr:uid="{00000000-0005-0000-0000-0000CD2C0000}"/>
    <cellStyle name="Normal 39 2 8" xfId="17640" xr:uid="{00000000-0005-0000-0000-0000CE2C0000}"/>
    <cellStyle name="Normal 39 3" xfId="5300" xr:uid="{00000000-0005-0000-0000-0000CF2C0000}"/>
    <cellStyle name="Normal 39 3 2" xfId="5301" xr:uid="{00000000-0005-0000-0000-0000D02C0000}"/>
    <cellStyle name="Normal 39 3 2 2" xfId="5302" xr:uid="{00000000-0005-0000-0000-0000D12C0000}"/>
    <cellStyle name="Normal 39 3 2 2 2" xfId="5303" xr:uid="{00000000-0005-0000-0000-0000D22C0000}"/>
    <cellStyle name="Normal 39 3 2 2 2 2" xfId="11465" xr:uid="{00000000-0005-0000-0000-0000D32C0000}"/>
    <cellStyle name="Normal 39 3 2 2 2 3" xfId="17667" xr:uid="{00000000-0005-0000-0000-0000D42C0000}"/>
    <cellStyle name="Normal 39 3 2 2 3" xfId="11464" xr:uid="{00000000-0005-0000-0000-0000D52C0000}"/>
    <cellStyle name="Normal 39 3 2 2 4" xfId="17666" xr:uid="{00000000-0005-0000-0000-0000D62C0000}"/>
    <cellStyle name="Normal 39 3 2 3" xfId="5304" xr:uid="{00000000-0005-0000-0000-0000D72C0000}"/>
    <cellStyle name="Normal 39 3 2 3 2" xfId="5305" xr:uid="{00000000-0005-0000-0000-0000D82C0000}"/>
    <cellStyle name="Normal 39 3 2 3 2 2" xfId="11467" xr:uid="{00000000-0005-0000-0000-0000D92C0000}"/>
    <cellStyle name="Normal 39 3 2 3 2 3" xfId="17669" xr:uid="{00000000-0005-0000-0000-0000DA2C0000}"/>
    <cellStyle name="Normal 39 3 2 3 3" xfId="11466" xr:uid="{00000000-0005-0000-0000-0000DB2C0000}"/>
    <cellStyle name="Normal 39 3 2 3 4" xfId="17668" xr:uid="{00000000-0005-0000-0000-0000DC2C0000}"/>
    <cellStyle name="Normal 39 3 2 4" xfId="5306" xr:uid="{00000000-0005-0000-0000-0000DD2C0000}"/>
    <cellStyle name="Normal 39 3 2 4 2" xfId="11468" xr:uid="{00000000-0005-0000-0000-0000DE2C0000}"/>
    <cellStyle name="Normal 39 3 2 4 3" xfId="17670" xr:uid="{00000000-0005-0000-0000-0000DF2C0000}"/>
    <cellStyle name="Normal 39 3 2 5" xfId="11463" xr:uid="{00000000-0005-0000-0000-0000E02C0000}"/>
    <cellStyle name="Normal 39 3 2 6" xfId="17665" xr:uid="{00000000-0005-0000-0000-0000E12C0000}"/>
    <cellStyle name="Normal 39 3 3" xfId="5307" xr:uid="{00000000-0005-0000-0000-0000E22C0000}"/>
    <cellStyle name="Normal 39 3 3 2" xfId="5308" xr:uid="{00000000-0005-0000-0000-0000E32C0000}"/>
    <cellStyle name="Normal 39 3 3 2 2" xfId="11470" xr:uid="{00000000-0005-0000-0000-0000E42C0000}"/>
    <cellStyle name="Normal 39 3 3 2 3" xfId="17672" xr:uid="{00000000-0005-0000-0000-0000E52C0000}"/>
    <cellStyle name="Normal 39 3 3 3" xfId="11469" xr:uid="{00000000-0005-0000-0000-0000E62C0000}"/>
    <cellStyle name="Normal 39 3 3 4" xfId="17671" xr:uid="{00000000-0005-0000-0000-0000E72C0000}"/>
    <cellStyle name="Normal 39 3 4" xfId="5309" xr:uid="{00000000-0005-0000-0000-0000E82C0000}"/>
    <cellStyle name="Normal 39 3 4 2" xfId="5310" xr:uid="{00000000-0005-0000-0000-0000E92C0000}"/>
    <cellStyle name="Normal 39 3 4 2 2" xfId="11472" xr:uid="{00000000-0005-0000-0000-0000EA2C0000}"/>
    <cellStyle name="Normal 39 3 4 2 3" xfId="17674" xr:uid="{00000000-0005-0000-0000-0000EB2C0000}"/>
    <cellStyle name="Normal 39 3 4 3" xfId="11471" xr:uid="{00000000-0005-0000-0000-0000EC2C0000}"/>
    <cellStyle name="Normal 39 3 4 4" xfId="17673" xr:uid="{00000000-0005-0000-0000-0000ED2C0000}"/>
    <cellStyle name="Normal 39 3 5" xfId="5311" xr:uid="{00000000-0005-0000-0000-0000EE2C0000}"/>
    <cellStyle name="Normal 39 3 5 2" xfId="11473" xr:uid="{00000000-0005-0000-0000-0000EF2C0000}"/>
    <cellStyle name="Normal 39 3 5 3" xfId="17675" xr:uid="{00000000-0005-0000-0000-0000F02C0000}"/>
    <cellStyle name="Normal 39 3 6" xfId="11462" xr:uid="{00000000-0005-0000-0000-0000F12C0000}"/>
    <cellStyle name="Normal 39 3 7" xfId="17664" xr:uid="{00000000-0005-0000-0000-0000F22C0000}"/>
    <cellStyle name="Normal 39 4" xfId="5312" xr:uid="{00000000-0005-0000-0000-0000F32C0000}"/>
    <cellStyle name="Normal 39 4 2" xfId="5313" xr:uid="{00000000-0005-0000-0000-0000F42C0000}"/>
    <cellStyle name="Normal 39 4 2 2" xfId="5314" xr:uid="{00000000-0005-0000-0000-0000F52C0000}"/>
    <cellStyle name="Normal 39 4 2 2 2" xfId="11476" xr:uid="{00000000-0005-0000-0000-0000F62C0000}"/>
    <cellStyle name="Normal 39 4 2 2 3" xfId="17678" xr:uid="{00000000-0005-0000-0000-0000F72C0000}"/>
    <cellStyle name="Normal 39 4 2 3" xfId="11475" xr:uid="{00000000-0005-0000-0000-0000F82C0000}"/>
    <cellStyle name="Normal 39 4 2 4" xfId="17677" xr:uid="{00000000-0005-0000-0000-0000F92C0000}"/>
    <cellStyle name="Normal 39 4 3" xfId="5315" xr:uid="{00000000-0005-0000-0000-0000FA2C0000}"/>
    <cellStyle name="Normal 39 4 3 2" xfId="5316" xr:uid="{00000000-0005-0000-0000-0000FB2C0000}"/>
    <cellStyle name="Normal 39 4 3 2 2" xfId="11478" xr:uid="{00000000-0005-0000-0000-0000FC2C0000}"/>
    <cellStyle name="Normal 39 4 3 2 3" xfId="17680" xr:uid="{00000000-0005-0000-0000-0000FD2C0000}"/>
    <cellStyle name="Normal 39 4 3 3" xfId="11477" xr:uid="{00000000-0005-0000-0000-0000FE2C0000}"/>
    <cellStyle name="Normal 39 4 3 4" xfId="17679" xr:uid="{00000000-0005-0000-0000-0000FF2C0000}"/>
    <cellStyle name="Normal 39 4 4" xfId="5317" xr:uid="{00000000-0005-0000-0000-0000002D0000}"/>
    <cellStyle name="Normal 39 4 4 2" xfId="11479" xr:uid="{00000000-0005-0000-0000-0000012D0000}"/>
    <cellStyle name="Normal 39 4 4 3" xfId="17681" xr:uid="{00000000-0005-0000-0000-0000022D0000}"/>
    <cellStyle name="Normal 39 4 5" xfId="11474" xr:uid="{00000000-0005-0000-0000-0000032D0000}"/>
    <cellStyle name="Normal 39 4 6" xfId="17676" xr:uid="{00000000-0005-0000-0000-0000042D0000}"/>
    <cellStyle name="Normal 39 5" xfId="5318" xr:uid="{00000000-0005-0000-0000-0000052D0000}"/>
    <cellStyle name="Normal 39 5 2" xfId="5319" xr:uid="{00000000-0005-0000-0000-0000062D0000}"/>
    <cellStyle name="Normal 39 5 2 2" xfId="11481" xr:uid="{00000000-0005-0000-0000-0000072D0000}"/>
    <cellStyle name="Normal 39 5 2 3" xfId="17683" xr:uid="{00000000-0005-0000-0000-0000082D0000}"/>
    <cellStyle name="Normal 39 5 3" xfId="11480" xr:uid="{00000000-0005-0000-0000-0000092D0000}"/>
    <cellStyle name="Normal 39 5 4" xfId="17682" xr:uid="{00000000-0005-0000-0000-00000A2D0000}"/>
    <cellStyle name="Normal 39 6" xfId="5320" xr:uid="{00000000-0005-0000-0000-00000B2D0000}"/>
    <cellStyle name="Normal 39 6 2" xfId="5321" xr:uid="{00000000-0005-0000-0000-00000C2D0000}"/>
    <cellStyle name="Normal 39 6 2 2" xfId="11483" xr:uid="{00000000-0005-0000-0000-00000D2D0000}"/>
    <cellStyle name="Normal 39 6 2 3" xfId="17685" xr:uid="{00000000-0005-0000-0000-00000E2D0000}"/>
    <cellStyle name="Normal 39 6 3" xfId="11482" xr:uid="{00000000-0005-0000-0000-00000F2D0000}"/>
    <cellStyle name="Normal 39 6 4" xfId="17684" xr:uid="{00000000-0005-0000-0000-0000102D0000}"/>
    <cellStyle name="Normal 39 7" xfId="5322" xr:uid="{00000000-0005-0000-0000-0000112D0000}"/>
    <cellStyle name="Normal 39 7 2" xfId="11484" xr:uid="{00000000-0005-0000-0000-0000122D0000}"/>
    <cellStyle name="Normal 39 7 3" xfId="17686" xr:uid="{00000000-0005-0000-0000-0000132D0000}"/>
    <cellStyle name="Normal 39 8" xfId="5323" xr:uid="{00000000-0005-0000-0000-0000142D0000}"/>
    <cellStyle name="Normal 39 8 2" xfId="17687" xr:uid="{00000000-0005-0000-0000-0000152D0000}"/>
    <cellStyle name="Normal 39 9" xfId="11437" xr:uid="{00000000-0005-0000-0000-0000162D0000}"/>
    <cellStyle name="Normal 4" xfId="5324" xr:uid="{00000000-0005-0000-0000-0000172D0000}"/>
    <cellStyle name="Normal 4 2" xfId="5325" xr:uid="{00000000-0005-0000-0000-0000182D0000}"/>
    <cellStyle name="Normal 4 2 2" xfId="5326" xr:uid="{00000000-0005-0000-0000-0000192D0000}"/>
    <cellStyle name="Normal 4 2 2 2" xfId="5327" xr:uid="{00000000-0005-0000-0000-00001A2D0000}"/>
    <cellStyle name="Normal 4 2 2 2 2" xfId="5328" xr:uid="{00000000-0005-0000-0000-00001B2D0000}"/>
    <cellStyle name="Normal 4 2 2 2 2 2" xfId="5329" xr:uid="{00000000-0005-0000-0000-00001C2D0000}"/>
    <cellStyle name="Normal 4 2 2 2 2 2 2" xfId="11490" xr:uid="{00000000-0005-0000-0000-00001D2D0000}"/>
    <cellStyle name="Normal 4 2 2 2 2 2 3" xfId="17693" xr:uid="{00000000-0005-0000-0000-00001E2D0000}"/>
    <cellStyle name="Normal 4 2 2 2 2 3" xfId="11489" xr:uid="{00000000-0005-0000-0000-00001F2D0000}"/>
    <cellStyle name="Normal 4 2 2 2 2 4" xfId="17692" xr:uid="{00000000-0005-0000-0000-0000202D0000}"/>
    <cellStyle name="Normal 4 2 2 2 3" xfId="5330" xr:uid="{00000000-0005-0000-0000-0000212D0000}"/>
    <cellStyle name="Normal 4 2 2 2 3 2" xfId="5331" xr:uid="{00000000-0005-0000-0000-0000222D0000}"/>
    <cellStyle name="Normal 4 2 2 2 3 2 2" xfId="11492" xr:uid="{00000000-0005-0000-0000-0000232D0000}"/>
    <cellStyle name="Normal 4 2 2 2 3 2 3" xfId="17695" xr:uid="{00000000-0005-0000-0000-0000242D0000}"/>
    <cellStyle name="Normal 4 2 2 2 3 3" xfId="11491" xr:uid="{00000000-0005-0000-0000-0000252D0000}"/>
    <cellStyle name="Normal 4 2 2 2 3 4" xfId="17694" xr:uid="{00000000-0005-0000-0000-0000262D0000}"/>
    <cellStyle name="Normal 4 2 2 2 4" xfId="5332" xr:uid="{00000000-0005-0000-0000-0000272D0000}"/>
    <cellStyle name="Normal 4 2 2 2 4 2" xfId="11493" xr:uid="{00000000-0005-0000-0000-0000282D0000}"/>
    <cellStyle name="Normal 4 2 2 2 4 3" xfId="17696" xr:uid="{00000000-0005-0000-0000-0000292D0000}"/>
    <cellStyle name="Normal 4 2 2 2 5" xfId="11488" xr:uid="{00000000-0005-0000-0000-00002A2D0000}"/>
    <cellStyle name="Normal 4 2 2 2 6" xfId="17691" xr:uid="{00000000-0005-0000-0000-00002B2D0000}"/>
    <cellStyle name="Normal 4 2 2 3" xfId="5333" xr:uid="{00000000-0005-0000-0000-00002C2D0000}"/>
    <cellStyle name="Normal 4 2 2 3 2" xfId="5334" xr:uid="{00000000-0005-0000-0000-00002D2D0000}"/>
    <cellStyle name="Normal 4 2 2 3 2 2" xfId="11495" xr:uid="{00000000-0005-0000-0000-00002E2D0000}"/>
    <cellStyle name="Normal 4 2 2 3 2 3" xfId="17698" xr:uid="{00000000-0005-0000-0000-00002F2D0000}"/>
    <cellStyle name="Normal 4 2 2 3 3" xfId="11494" xr:uid="{00000000-0005-0000-0000-0000302D0000}"/>
    <cellStyle name="Normal 4 2 2 3 4" xfId="17697" xr:uid="{00000000-0005-0000-0000-0000312D0000}"/>
    <cellStyle name="Normal 4 2 2 4" xfId="5335" xr:uid="{00000000-0005-0000-0000-0000322D0000}"/>
    <cellStyle name="Normal 4 2 2 4 2" xfId="5336" xr:uid="{00000000-0005-0000-0000-0000332D0000}"/>
    <cellStyle name="Normal 4 2 2 4 2 2" xfId="11497" xr:uid="{00000000-0005-0000-0000-0000342D0000}"/>
    <cellStyle name="Normal 4 2 2 4 2 3" xfId="17700" xr:uid="{00000000-0005-0000-0000-0000352D0000}"/>
    <cellStyle name="Normal 4 2 2 4 3" xfId="11496" xr:uid="{00000000-0005-0000-0000-0000362D0000}"/>
    <cellStyle name="Normal 4 2 2 4 4" xfId="17699" xr:uid="{00000000-0005-0000-0000-0000372D0000}"/>
    <cellStyle name="Normal 4 2 2 5" xfId="5337" xr:uid="{00000000-0005-0000-0000-0000382D0000}"/>
    <cellStyle name="Normal 4 2 2 5 2" xfId="11498" xr:uid="{00000000-0005-0000-0000-0000392D0000}"/>
    <cellStyle name="Normal 4 2 2 5 3" xfId="17701" xr:uid="{00000000-0005-0000-0000-00003A2D0000}"/>
    <cellStyle name="Normal 4 2 2 6" xfId="5338" xr:uid="{00000000-0005-0000-0000-00003B2D0000}"/>
    <cellStyle name="Normal 4 2 2 6 2" xfId="17702" xr:uid="{00000000-0005-0000-0000-00003C2D0000}"/>
    <cellStyle name="Normal 4 2 2 7" xfId="11487" xr:uid="{00000000-0005-0000-0000-00003D2D0000}"/>
    <cellStyle name="Normal 4 2 2 8" xfId="17690" xr:uid="{00000000-0005-0000-0000-00003E2D0000}"/>
    <cellStyle name="Normal 4 2 3" xfId="5339" xr:uid="{00000000-0005-0000-0000-00003F2D0000}"/>
    <cellStyle name="Normal 4 2 3 2" xfId="5340" xr:uid="{00000000-0005-0000-0000-0000402D0000}"/>
    <cellStyle name="Normal 4 2 3 2 2" xfId="5341" xr:uid="{00000000-0005-0000-0000-0000412D0000}"/>
    <cellStyle name="Normal 4 2 3 2 2 2" xfId="11501" xr:uid="{00000000-0005-0000-0000-0000422D0000}"/>
    <cellStyle name="Normal 4 2 3 2 2 3" xfId="17705" xr:uid="{00000000-0005-0000-0000-0000432D0000}"/>
    <cellStyle name="Normal 4 2 3 2 3" xfId="11500" xr:uid="{00000000-0005-0000-0000-0000442D0000}"/>
    <cellStyle name="Normal 4 2 3 2 4" xfId="17704" xr:uid="{00000000-0005-0000-0000-0000452D0000}"/>
    <cellStyle name="Normal 4 2 3 3" xfId="5342" xr:uid="{00000000-0005-0000-0000-0000462D0000}"/>
    <cellStyle name="Normal 4 2 3 3 2" xfId="5343" xr:uid="{00000000-0005-0000-0000-0000472D0000}"/>
    <cellStyle name="Normal 4 2 3 3 2 2" xfId="11503" xr:uid="{00000000-0005-0000-0000-0000482D0000}"/>
    <cellStyle name="Normal 4 2 3 3 2 3" xfId="17707" xr:uid="{00000000-0005-0000-0000-0000492D0000}"/>
    <cellStyle name="Normal 4 2 3 3 3" xfId="11502" xr:uid="{00000000-0005-0000-0000-00004A2D0000}"/>
    <cellStyle name="Normal 4 2 3 3 4" xfId="17706" xr:uid="{00000000-0005-0000-0000-00004B2D0000}"/>
    <cellStyle name="Normal 4 2 3 4" xfId="5344" xr:uid="{00000000-0005-0000-0000-00004C2D0000}"/>
    <cellStyle name="Normal 4 2 3 4 2" xfId="11504" xr:uid="{00000000-0005-0000-0000-00004D2D0000}"/>
    <cellStyle name="Normal 4 2 3 4 3" xfId="17708" xr:uid="{00000000-0005-0000-0000-00004E2D0000}"/>
    <cellStyle name="Normal 4 2 3 5" xfId="11499" xr:uid="{00000000-0005-0000-0000-00004F2D0000}"/>
    <cellStyle name="Normal 4 2 3 6" xfId="17703" xr:uid="{00000000-0005-0000-0000-0000502D0000}"/>
    <cellStyle name="Normal 4 2 4" xfId="5345" xr:uid="{00000000-0005-0000-0000-0000512D0000}"/>
    <cellStyle name="Normal 4 2 4 2" xfId="5346" xr:uid="{00000000-0005-0000-0000-0000522D0000}"/>
    <cellStyle name="Normal 4 2 4 2 2" xfId="11506" xr:uid="{00000000-0005-0000-0000-0000532D0000}"/>
    <cellStyle name="Normal 4 2 4 2 3" xfId="17710" xr:uid="{00000000-0005-0000-0000-0000542D0000}"/>
    <cellStyle name="Normal 4 2 4 3" xfId="11505" xr:uid="{00000000-0005-0000-0000-0000552D0000}"/>
    <cellStyle name="Normal 4 2 4 4" xfId="17709" xr:uid="{00000000-0005-0000-0000-0000562D0000}"/>
    <cellStyle name="Normal 4 2 5" xfId="5347" xr:uid="{00000000-0005-0000-0000-0000572D0000}"/>
    <cellStyle name="Normal 4 2 5 2" xfId="5348" xr:uid="{00000000-0005-0000-0000-0000582D0000}"/>
    <cellStyle name="Normal 4 2 5 2 2" xfId="11508" xr:uid="{00000000-0005-0000-0000-0000592D0000}"/>
    <cellStyle name="Normal 4 2 5 2 3" xfId="17712" xr:uid="{00000000-0005-0000-0000-00005A2D0000}"/>
    <cellStyle name="Normal 4 2 5 3" xfId="11507" xr:uid="{00000000-0005-0000-0000-00005B2D0000}"/>
    <cellStyle name="Normal 4 2 5 4" xfId="17711" xr:uid="{00000000-0005-0000-0000-00005C2D0000}"/>
    <cellStyle name="Normal 4 2 6" xfId="5349" xr:uid="{00000000-0005-0000-0000-00005D2D0000}"/>
    <cellStyle name="Normal 4 2 6 2" xfId="11509" xr:uid="{00000000-0005-0000-0000-00005E2D0000}"/>
    <cellStyle name="Normal 4 2 6 3" xfId="17713" xr:uid="{00000000-0005-0000-0000-00005F2D0000}"/>
    <cellStyle name="Normal 4 2 7" xfId="5350" xr:uid="{00000000-0005-0000-0000-0000602D0000}"/>
    <cellStyle name="Normal 4 2 7 2" xfId="17714" xr:uid="{00000000-0005-0000-0000-0000612D0000}"/>
    <cellStyle name="Normal 4 2 8" xfId="11486" xr:uid="{00000000-0005-0000-0000-0000622D0000}"/>
    <cellStyle name="Normal 4 2 9" xfId="17689" xr:uid="{00000000-0005-0000-0000-0000632D0000}"/>
    <cellStyle name="Normal 4 3" xfId="5351" xr:uid="{00000000-0005-0000-0000-0000642D0000}"/>
    <cellStyle name="Normal 4 3 2" xfId="5352" xr:uid="{00000000-0005-0000-0000-0000652D0000}"/>
    <cellStyle name="Normal 4 3 2 2" xfId="5353" xr:uid="{00000000-0005-0000-0000-0000662D0000}"/>
    <cellStyle name="Normal 4 3 2 2 2" xfId="11512" xr:uid="{00000000-0005-0000-0000-0000672D0000}"/>
    <cellStyle name="Normal 4 3 2 2 3" xfId="17717" xr:uid="{00000000-0005-0000-0000-0000682D0000}"/>
    <cellStyle name="Normal 4 3 2 3" xfId="5354" xr:uid="{00000000-0005-0000-0000-0000692D0000}"/>
    <cellStyle name="Normal 4 3 2 3 2" xfId="11513" xr:uid="{00000000-0005-0000-0000-00006A2D0000}"/>
    <cellStyle name="Normal 4 3 2 3 3" xfId="17718" xr:uid="{00000000-0005-0000-0000-00006B2D0000}"/>
    <cellStyle name="Normal 4 3 2 4" xfId="5355" xr:uid="{00000000-0005-0000-0000-00006C2D0000}"/>
    <cellStyle name="Normal 4 3 2 4 2" xfId="17719" xr:uid="{00000000-0005-0000-0000-00006D2D0000}"/>
    <cellStyle name="Normal 4 3 2 5" xfId="11511" xr:uid="{00000000-0005-0000-0000-00006E2D0000}"/>
    <cellStyle name="Normal 4 3 2 6" xfId="17716" xr:uid="{00000000-0005-0000-0000-00006F2D0000}"/>
    <cellStyle name="Normal 4 3 3" xfId="5356" xr:uid="{00000000-0005-0000-0000-0000702D0000}"/>
    <cellStyle name="Normal 4 3 3 2" xfId="11514" xr:uid="{00000000-0005-0000-0000-0000712D0000}"/>
    <cellStyle name="Normal 4 3 3 3" xfId="17720" xr:uid="{00000000-0005-0000-0000-0000722D0000}"/>
    <cellStyle name="Normal 4 3 4" xfId="5357" xr:uid="{00000000-0005-0000-0000-0000732D0000}"/>
    <cellStyle name="Normal 4 3 4 2" xfId="11515" xr:uid="{00000000-0005-0000-0000-0000742D0000}"/>
    <cellStyle name="Normal 4 3 4 3" xfId="17721" xr:uid="{00000000-0005-0000-0000-0000752D0000}"/>
    <cellStyle name="Normal 4 3 5" xfId="5358" xr:uid="{00000000-0005-0000-0000-0000762D0000}"/>
    <cellStyle name="Normal 4 3 5 2" xfId="11516" xr:uid="{00000000-0005-0000-0000-0000772D0000}"/>
    <cellStyle name="Normal 4 3 5 3" xfId="17722" xr:uid="{00000000-0005-0000-0000-0000782D0000}"/>
    <cellStyle name="Normal 4 3 6" xfId="5359" xr:uid="{00000000-0005-0000-0000-0000792D0000}"/>
    <cellStyle name="Normal 4 3 6 2" xfId="17723" xr:uid="{00000000-0005-0000-0000-00007A2D0000}"/>
    <cellStyle name="Normal 4 3 7" xfId="11510" xr:uid="{00000000-0005-0000-0000-00007B2D0000}"/>
    <cellStyle name="Normal 4 3 8" xfId="17715" xr:uid="{00000000-0005-0000-0000-00007C2D0000}"/>
    <cellStyle name="Normal 4 4" xfId="5360" xr:uid="{00000000-0005-0000-0000-00007D2D0000}"/>
    <cellStyle name="Normal 4 4 2" xfId="5361" xr:uid="{00000000-0005-0000-0000-00007E2D0000}"/>
    <cellStyle name="Normal 4 4 2 2" xfId="11518" xr:uid="{00000000-0005-0000-0000-00007F2D0000}"/>
    <cellStyle name="Normal 4 4 2 3" xfId="17725" xr:uid="{00000000-0005-0000-0000-0000802D0000}"/>
    <cellStyle name="Normal 4 4 3" xfId="5362" xr:uid="{00000000-0005-0000-0000-0000812D0000}"/>
    <cellStyle name="Normal 4 4 3 2" xfId="17726" xr:uid="{00000000-0005-0000-0000-0000822D0000}"/>
    <cellStyle name="Normal 4 4 4" xfId="11517" xr:uid="{00000000-0005-0000-0000-0000832D0000}"/>
    <cellStyle name="Normal 4 4 5" xfId="17724" xr:uid="{00000000-0005-0000-0000-0000842D0000}"/>
    <cellStyle name="Normal 4 5" xfId="5363" xr:uid="{00000000-0005-0000-0000-0000852D0000}"/>
    <cellStyle name="Normal 4 5 2" xfId="11519" xr:uid="{00000000-0005-0000-0000-0000862D0000}"/>
    <cellStyle name="Normal 4 5 3" xfId="17727" xr:uid="{00000000-0005-0000-0000-0000872D0000}"/>
    <cellStyle name="Normal 4 6" xfId="5364" xr:uid="{00000000-0005-0000-0000-0000882D0000}"/>
    <cellStyle name="Normal 4 6 2" xfId="17728" xr:uid="{00000000-0005-0000-0000-0000892D0000}"/>
    <cellStyle name="Normal 4 7" xfId="11485" xr:uid="{00000000-0005-0000-0000-00008A2D0000}"/>
    <cellStyle name="Normal 4 8" xfId="17688" xr:uid="{00000000-0005-0000-0000-00008B2D0000}"/>
    <cellStyle name="Normal 4_2180" xfId="5365" xr:uid="{00000000-0005-0000-0000-00008C2D0000}"/>
    <cellStyle name="Normal 40" xfId="5366" xr:uid="{00000000-0005-0000-0000-00008D2D0000}"/>
    <cellStyle name="Normal 40 10" xfId="17729" xr:uid="{00000000-0005-0000-0000-00008E2D0000}"/>
    <cellStyle name="Normal 40 2" xfId="5367" xr:uid="{00000000-0005-0000-0000-00008F2D0000}"/>
    <cellStyle name="Normal 40 2 2" xfId="5368" xr:uid="{00000000-0005-0000-0000-0000902D0000}"/>
    <cellStyle name="Normal 40 2 2 2" xfId="5369" xr:uid="{00000000-0005-0000-0000-0000912D0000}"/>
    <cellStyle name="Normal 40 2 2 2 2" xfId="5370" xr:uid="{00000000-0005-0000-0000-0000922D0000}"/>
    <cellStyle name="Normal 40 2 2 2 2 2" xfId="5371" xr:uid="{00000000-0005-0000-0000-0000932D0000}"/>
    <cellStyle name="Normal 40 2 2 2 2 2 2" xfId="11525" xr:uid="{00000000-0005-0000-0000-0000942D0000}"/>
    <cellStyle name="Normal 40 2 2 2 2 2 3" xfId="17734" xr:uid="{00000000-0005-0000-0000-0000952D0000}"/>
    <cellStyle name="Normal 40 2 2 2 2 3" xfId="11524" xr:uid="{00000000-0005-0000-0000-0000962D0000}"/>
    <cellStyle name="Normal 40 2 2 2 2 4" xfId="17733" xr:uid="{00000000-0005-0000-0000-0000972D0000}"/>
    <cellStyle name="Normal 40 2 2 2 3" xfId="5372" xr:uid="{00000000-0005-0000-0000-0000982D0000}"/>
    <cellStyle name="Normal 40 2 2 2 3 2" xfId="5373" xr:uid="{00000000-0005-0000-0000-0000992D0000}"/>
    <cellStyle name="Normal 40 2 2 2 3 2 2" xfId="11527" xr:uid="{00000000-0005-0000-0000-00009A2D0000}"/>
    <cellStyle name="Normal 40 2 2 2 3 2 3" xfId="17736" xr:uid="{00000000-0005-0000-0000-00009B2D0000}"/>
    <cellStyle name="Normal 40 2 2 2 3 3" xfId="11526" xr:uid="{00000000-0005-0000-0000-00009C2D0000}"/>
    <cellStyle name="Normal 40 2 2 2 3 4" xfId="17735" xr:uid="{00000000-0005-0000-0000-00009D2D0000}"/>
    <cellStyle name="Normal 40 2 2 2 4" xfId="5374" xr:uid="{00000000-0005-0000-0000-00009E2D0000}"/>
    <cellStyle name="Normal 40 2 2 2 4 2" xfId="11528" xr:uid="{00000000-0005-0000-0000-00009F2D0000}"/>
    <cellStyle name="Normal 40 2 2 2 4 3" xfId="17737" xr:uid="{00000000-0005-0000-0000-0000A02D0000}"/>
    <cellStyle name="Normal 40 2 2 2 5" xfId="11523" xr:uid="{00000000-0005-0000-0000-0000A12D0000}"/>
    <cellStyle name="Normal 40 2 2 2 6" xfId="17732" xr:uid="{00000000-0005-0000-0000-0000A22D0000}"/>
    <cellStyle name="Normal 40 2 2 3" xfId="5375" xr:uid="{00000000-0005-0000-0000-0000A32D0000}"/>
    <cellStyle name="Normal 40 2 2 3 2" xfId="5376" xr:uid="{00000000-0005-0000-0000-0000A42D0000}"/>
    <cellStyle name="Normal 40 2 2 3 2 2" xfId="11530" xr:uid="{00000000-0005-0000-0000-0000A52D0000}"/>
    <cellStyle name="Normal 40 2 2 3 2 3" xfId="17739" xr:uid="{00000000-0005-0000-0000-0000A62D0000}"/>
    <cellStyle name="Normal 40 2 2 3 3" xfId="11529" xr:uid="{00000000-0005-0000-0000-0000A72D0000}"/>
    <cellStyle name="Normal 40 2 2 3 4" xfId="17738" xr:uid="{00000000-0005-0000-0000-0000A82D0000}"/>
    <cellStyle name="Normal 40 2 2 4" xfId="5377" xr:uid="{00000000-0005-0000-0000-0000A92D0000}"/>
    <cellStyle name="Normal 40 2 2 4 2" xfId="5378" xr:uid="{00000000-0005-0000-0000-0000AA2D0000}"/>
    <cellStyle name="Normal 40 2 2 4 2 2" xfId="11532" xr:uid="{00000000-0005-0000-0000-0000AB2D0000}"/>
    <cellStyle name="Normal 40 2 2 4 2 3" xfId="17741" xr:uid="{00000000-0005-0000-0000-0000AC2D0000}"/>
    <cellStyle name="Normal 40 2 2 4 3" xfId="11531" xr:uid="{00000000-0005-0000-0000-0000AD2D0000}"/>
    <cellStyle name="Normal 40 2 2 4 4" xfId="17740" xr:uid="{00000000-0005-0000-0000-0000AE2D0000}"/>
    <cellStyle name="Normal 40 2 2 5" xfId="5379" xr:uid="{00000000-0005-0000-0000-0000AF2D0000}"/>
    <cellStyle name="Normal 40 2 2 5 2" xfId="11533" xr:uid="{00000000-0005-0000-0000-0000B02D0000}"/>
    <cellStyle name="Normal 40 2 2 5 3" xfId="17742" xr:uid="{00000000-0005-0000-0000-0000B12D0000}"/>
    <cellStyle name="Normal 40 2 2 6" xfId="11522" xr:uid="{00000000-0005-0000-0000-0000B22D0000}"/>
    <cellStyle name="Normal 40 2 2 7" xfId="17731" xr:uid="{00000000-0005-0000-0000-0000B32D0000}"/>
    <cellStyle name="Normal 40 2 3" xfId="5380" xr:uid="{00000000-0005-0000-0000-0000B42D0000}"/>
    <cellStyle name="Normal 40 2 3 2" xfId="5381" xr:uid="{00000000-0005-0000-0000-0000B52D0000}"/>
    <cellStyle name="Normal 40 2 3 2 2" xfId="5382" xr:uid="{00000000-0005-0000-0000-0000B62D0000}"/>
    <cellStyle name="Normal 40 2 3 2 2 2" xfId="11536" xr:uid="{00000000-0005-0000-0000-0000B72D0000}"/>
    <cellStyle name="Normal 40 2 3 2 2 3" xfId="17745" xr:uid="{00000000-0005-0000-0000-0000B82D0000}"/>
    <cellStyle name="Normal 40 2 3 2 3" xfId="11535" xr:uid="{00000000-0005-0000-0000-0000B92D0000}"/>
    <cellStyle name="Normal 40 2 3 2 4" xfId="17744" xr:uid="{00000000-0005-0000-0000-0000BA2D0000}"/>
    <cellStyle name="Normal 40 2 3 3" xfId="5383" xr:uid="{00000000-0005-0000-0000-0000BB2D0000}"/>
    <cellStyle name="Normal 40 2 3 3 2" xfId="5384" xr:uid="{00000000-0005-0000-0000-0000BC2D0000}"/>
    <cellStyle name="Normal 40 2 3 3 2 2" xfId="11538" xr:uid="{00000000-0005-0000-0000-0000BD2D0000}"/>
    <cellStyle name="Normal 40 2 3 3 2 3" xfId="17747" xr:uid="{00000000-0005-0000-0000-0000BE2D0000}"/>
    <cellStyle name="Normal 40 2 3 3 3" xfId="11537" xr:uid="{00000000-0005-0000-0000-0000BF2D0000}"/>
    <cellStyle name="Normal 40 2 3 3 4" xfId="17746" xr:uid="{00000000-0005-0000-0000-0000C02D0000}"/>
    <cellStyle name="Normal 40 2 3 4" xfId="5385" xr:uid="{00000000-0005-0000-0000-0000C12D0000}"/>
    <cellStyle name="Normal 40 2 3 4 2" xfId="11539" xr:uid="{00000000-0005-0000-0000-0000C22D0000}"/>
    <cellStyle name="Normal 40 2 3 4 3" xfId="17748" xr:uid="{00000000-0005-0000-0000-0000C32D0000}"/>
    <cellStyle name="Normal 40 2 3 5" xfId="11534" xr:uid="{00000000-0005-0000-0000-0000C42D0000}"/>
    <cellStyle name="Normal 40 2 3 6" xfId="17743" xr:uid="{00000000-0005-0000-0000-0000C52D0000}"/>
    <cellStyle name="Normal 40 2 4" xfId="5386" xr:uid="{00000000-0005-0000-0000-0000C62D0000}"/>
    <cellStyle name="Normal 40 2 4 2" xfId="5387" xr:uid="{00000000-0005-0000-0000-0000C72D0000}"/>
    <cellStyle name="Normal 40 2 4 2 2" xfId="11541" xr:uid="{00000000-0005-0000-0000-0000C82D0000}"/>
    <cellStyle name="Normal 40 2 4 2 3" xfId="17750" xr:uid="{00000000-0005-0000-0000-0000C92D0000}"/>
    <cellStyle name="Normal 40 2 4 3" xfId="11540" xr:uid="{00000000-0005-0000-0000-0000CA2D0000}"/>
    <cellStyle name="Normal 40 2 4 4" xfId="17749" xr:uid="{00000000-0005-0000-0000-0000CB2D0000}"/>
    <cellStyle name="Normal 40 2 5" xfId="5388" xr:uid="{00000000-0005-0000-0000-0000CC2D0000}"/>
    <cellStyle name="Normal 40 2 5 2" xfId="5389" xr:uid="{00000000-0005-0000-0000-0000CD2D0000}"/>
    <cellStyle name="Normal 40 2 5 2 2" xfId="11543" xr:uid="{00000000-0005-0000-0000-0000CE2D0000}"/>
    <cellStyle name="Normal 40 2 5 2 3" xfId="17752" xr:uid="{00000000-0005-0000-0000-0000CF2D0000}"/>
    <cellStyle name="Normal 40 2 5 3" xfId="11542" xr:uid="{00000000-0005-0000-0000-0000D02D0000}"/>
    <cellStyle name="Normal 40 2 5 4" xfId="17751" xr:uid="{00000000-0005-0000-0000-0000D12D0000}"/>
    <cellStyle name="Normal 40 2 6" xfId="5390" xr:uid="{00000000-0005-0000-0000-0000D22D0000}"/>
    <cellStyle name="Normal 40 2 6 2" xfId="11544" xr:uid="{00000000-0005-0000-0000-0000D32D0000}"/>
    <cellStyle name="Normal 40 2 6 3" xfId="17753" xr:uid="{00000000-0005-0000-0000-0000D42D0000}"/>
    <cellStyle name="Normal 40 2 7" xfId="11521" xr:uid="{00000000-0005-0000-0000-0000D52D0000}"/>
    <cellStyle name="Normal 40 2 8" xfId="17730" xr:uid="{00000000-0005-0000-0000-0000D62D0000}"/>
    <cellStyle name="Normal 40 3" xfId="5391" xr:uid="{00000000-0005-0000-0000-0000D72D0000}"/>
    <cellStyle name="Normal 40 3 2" xfId="5392" xr:uid="{00000000-0005-0000-0000-0000D82D0000}"/>
    <cellStyle name="Normal 40 3 2 2" xfId="5393" xr:uid="{00000000-0005-0000-0000-0000D92D0000}"/>
    <cellStyle name="Normal 40 3 2 2 2" xfId="5394" xr:uid="{00000000-0005-0000-0000-0000DA2D0000}"/>
    <cellStyle name="Normal 40 3 2 2 2 2" xfId="11548" xr:uid="{00000000-0005-0000-0000-0000DB2D0000}"/>
    <cellStyle name="Normal 40 3 2 2 2 3" xfId="17757" xr:uid="{00000000-0005-0000-0000-0000DC2D0000}"/>
    <cellStyle name="Normal 40 3 2 2 3" xfId="11547" xr:uid="{00000000-0005-0000-0000-0000DD2D0000}"/>
    <cellStyle name="Normal 40 3 2 2 4" xfId="17756" xr:uid="{00000000-0005-0000-0000-0000DE2D0000}"/>
    <cellStyle name="Normal 40 3 2 3" xfId="5395" xr:uid="{00000000-0005-0000-0000-0000DF2D0000}"/>
    <cellStyle name="Normal 40 3 2 3 2" xfId="5396" xr:uid="{00000000-0005-0000-0000-0000E02D0000}"/>
    <cellStyle name="Normal 40 3 2 3 2 2" xfId="11550" xr:uid="{00000000-0005-0000-0000-0000E12D0000}"/>
    <cellStyle name="Normal 40 3 2 3 2 3" xfId="17759" xr:uid="{00000000-0005-0000-0000-0000E22D0000}"/>
    <cellStyle name="Normal 40 3 2 3 3" xfId="11549" xr:uid="{00000000-0005-0000-0000-0000E32D0000}"/>
    <cellStyle name="Normal 40 3 2 3 4" xfId="17758" xr:uid="{00000000-0005-0000-0000-0000E42D0000}"/>
    <cellStyle name="Normal 40 3 2 4" xfId="5397" xr:uid="{00000000-0005-0000-0000-0000E52D0000}"/>
    <cellStyle name="Normal 40 3 2 4 2" xfId="11551" xr:uid="{00000000-0005-0000-0000-0000E62D0000}"/>
    <cellStyle name="Normal 40 3 2 4 3" xfId="17760" xr:uid="{00000000-0005-0000-0000-0000E72D0000}"/>
    <cellStyle name="Normal 40 3 2 5" xfId="11546" xr:uid="{00000000-0005-0000-0000-0000E82D0000}"/>
    <cellStyle name="Normal 40 3 2 6" xfId="17755" xr:uid="{00000000-0005-0000-0000-0000E92D0000}"/>
    <cellStyle name="Normal 40 3 3" xfId="5398" xr:uid="{00000000-0005-0000-0000-0000EA2D0000}"/>
    <cellStyle name="Normal 40 3 3 2" xfId="5399" xr:uid="{00000000-0005-0000-0000-0000EB2D0000}"/>
    <cellStyle name="Normal 40 3 3 2 2" xfId="11553" xr:uid="{00000000-0005-0000-0000-0000EC2D0000}"/>
    <cellStyle name="Normal 40 3 3 2 3" xfId="17762" xr:uid="{00000000-0005-0000-0000-0000ED2D0000}"/>
    <cellStyle name="Normal 40 3 3 3" xfId="11552" xr:uid="{00000000-0005-0000-0000-0000EE2D0000}"/>
    <cellStyle name="Normal 40 3 3 4" xfId="17761" xr:uid="{00000000-0005-0000-0000-0000EF2D0000}"/>
    <cellStyle name="Normal 40 3 4" xfId="5400" xr:uid="{00000000-0005-0000-0000-0000F02D0000}"/>
    <cellStyle name="Normal 40 3 4 2" xfId="5401" xr:uid="{00000000-0005-0000-0000-0000F12D0000}"/>
    <cellStyle name="Normal 40 3 4 2 2" xfId="11555" xr:uid="{00000000-0005-0000-0000-0000F22D0000}"/>
    <cellStyle name="Normal 40 3 4 2 3" xfId="17764" xr:uid="{00000000-0005-0000-0000-0000F32D0000}"/>
    <cellStyle name="Normal 40 3 4 3" xfId="11554" xr:uid="{00000000-0005-0000-0000-0000F42D0000}"/>
    <cellStyle name="Normal 40 3 4 4" xfId="17763" xr:uid="{00000000-0005-0000-0000-0000F52D0000}"/>
    <cellStyle name="Normal 40 3 5" xfId="5402" xr:uid="{00000000-0005-0000-0000-0000F62D0000}"/>
    <cellStyle name="Normal 40 3 5 2" xfId="11556" xr:uid="{00000000-0005-0000-0000-0000F72D0000}"/>
    <cellStyle name="Normal 40 3 5 3" xfId="17765" xr:uid="{00000000-0005-0000-0000-0000F82D0000}"/>
    <cellStyle name="Normal 40 3 6" xfId="11545" xr:uid="{00000000-0005-0000-0000-0000F92D0000}"/>
    <cellStyle name="Normal 40 3 7" xfId="17754" xr:uid="{00000000-0005-0000-0000-0000FA2D0000}"/>
    <cellStyle name="Normal 40 4" xfId="5403" xr:uid="{00000000-0005-0000-0000-0000FB2D0000}"/>
    <cellStyle name="Normal 40 4 2" xfId="5404" xr:uid="{00000000-0005-0000-0000-0000FC2D0000}"/>
    <cellStyle name="Normal 40 4 2 2" xfId="5405" xr:uid="{00000000-0005-0000-0000-0000FD2D0000}"/>
    <cellStyle name="Normal 40 4 2 2 2" xfId="11559" xr:uid="{00000000-0005-0000-0000-0000FE2D0000}"/>
    <cellStyle name="Normal 40 4 2 2 3" xfId="17768" xr:uid="{00000000-0005-0000-0000-0000FF2D0000}"/>
    <cellStyle name="Normal 40 4 2 3" xfId="11558" xr:uid="{00000000-0005-0000-0000-0000002E0000}"/>
    <cellStyle name="Normal 40 4 2 4" xfId="17767" xr:uid="{00000000-0005-0000-0000-0000012E0000}"/>
    <cellStyle name="Normal 40 4 3" xfId="5406" xr:uid="{00000000-0005-0000-0000-0000022E0000}"/>
    <cellStyle name="Normal 40 4 3 2" xfId="5407" xr:uid="{00000000-0005-0000-0000-0000032E0000}"/>
    <cellStyle name="Normal 40 4 3 2 2" xfId="11561" xr:uid="{00000000-0005-0000-0000-0000042E0000}"/>
    <cellStyle name="Normal 40 4 3 2 3" xfId="17770" xr:uid="{00000000-0005-0000-0000-0000052E0000}"/>
    <cellStyle name="Normal 40 4 3 3" xfId="11560" xr:uid="{00000000-0005-0000-0000-0000062E0000}"/>
    <cellStyle name="Normal 40 4 3 4" xfId="17769" xr:uid="{00000000-0005-0000-0000-0000072E0000}"/>
    <cellStyle name="Normal 40 4 4" xfId="5408" xr:uid="{00000000-0005-0000-0000-0000082E0000}"/>
    <cellStyle name="Normal 40 4 4 2" xfId="11562" xr:uid="{00000000-0005-0000-0000-0000092E0000}"/>
    <cellStyle name="Normal 40 4 4 3" xfId="17771" xr:uid="{00000000-0005-0000-0000-00000A2E0000}"/>
    <cellStyle name="Normal 40 4 5" xfId="11557" xr:uid="{00000000-0005-0000-0000-00000B2E0000}"/>
    <cellStyle name="Normal 40 4 6" xfId="17766" xr:uid="{00000000-0005-0000-0000-00000C2E0000}"/>
    <cellStyle name="Normal 40 5" xfId="5409" xr:uid="{00000000-0005-0000-0000-00000D2E0000}"/>
    <cellStyle name="Normal 40 5 2" xfId="5410" xr:uid="{00000000-0005-0000-0000-00000E2E0000}"/>
    <cellStyle name="Normal 40 5 2 2" xfId="11564" xr:uid="{00000000-0005-0000-0000-00000F2E0000}"/>
    <cellStyle name="Normal 40 5 2 3" xfId="17773" xr:uid="{00000000-0005-0000-0000-0000102E0000}"/>
    <cellStyle name="Normal 40 5 3" xfId="11563" xr:uid="{00000000-0005-0000-0000-0000112E0000}"/>
    <cellStyle name="Normal 40 5 4" xfId="17772" xr:uid="{00000000-0005-0000-0000-0000122E0000}"/>
    <cellStyle name="Normal 40 6" xfId="5411" xr:uid="{00000000-0005-0000-0000-0000132E0000}"/>
    <cellStyle name="Normal 40 6 2" xfId="5412" xr:uid="{00000000-0005-0000-0000-0000142E0000}"/>
    <cellStyle name="Normal 40 6 2 2" xfId="11566" xr:uid="{00000000-0005-0000-0000-0000152E0000}"/>
    <cellStyle name="Normal 40 6 2 3" xfId="17775" xr:uid="{00000000-0005-0000-0000-0000162E0000}"/>
    <cellStyle name="Normal 40 6 3" xfId="11565" xr:uid="{00000000-0005-0000-0000-0000172E0000}"/>
    <cellStyle name="Normal 40 6 4" xfId="17774" xr:uid="{00000000-0005-0000-0000-0000182E0000}"/>
    <cellStyle name="Normal 40 7" xfId="5413" xr:uid="{00000000-0005-0000-0000-0000192E0000}"/>
    <cellStyle name="Normal 40 7 2" xfId="11567" xr:uid="{00000000-0005-0000-0000-00001A2E0000}"/>
    <cellStyle name="Normal 40 7 3" xfId="17776" xr:uid="{00000000-0005-0000-0000-00001B2E0000}"/>
    <cellStyle name="Normal 40 8" xfId="5414" xr:uid="{00000000-0005-0000-0000-00001C2E0000}"/>
    <cellStyle name="Normal 40 8 2" xfId="17777" xr:uid="{00000000-0005-0000-0000-00001D2E0000}"/>
    <cellStyle name="Normal 40 9" xfId="11520" xr:uid="{00000000-0005-0000-0000-00001E2E0000}"/>
    <cellStyle name="Normal 41" xfId="5415" xr:uid="{00000000-0005-0000-0000-00001F2E0000}"/>
    <cellStyle name="Normal 41 10" xfId="17778" xr:uid="{00000000-0005-0000-0000-0000202E0000}"/>
    <cellStyle name="Normal 41 2" xfId="5416" xr:uid="{00000000-0005-0000-0000-0000212E0000}"/>
    <cellStyle name="Normal 41 2 2" xfId="5417" xr:uid="{00000000-0005-0000-0000-0000222E0000}"/>
    <cellStyle name="Normal 41 2 2 2" xfId="5418" xr:uid="{00000000-0005-0000-0000-0000232E0000}"/>
    <cellStyle name="Normal 41 2 2 2 2" xfId="5419" xr:uid="{00000000-0005-0000-0000-0000242E0000}"/>
    <cellStyle name="Normal 41 2 2 2 2 2" xfId="5420" xr:uid="{00000000-0005-0000-0000-0000252E0000}"/>
    <cellStyle name="Normal 41 2 2 2 2 2 2" xfId="11573" xr:uid="{00000000-0005-0000-0000-0000262E0000}"/>
    <cellStyle name="Normal 41 2 2 2 2 2 3" xfId="17783" xr:uid="{00000000-0005-0000-0000-0000272E0000}"/>
    <cellStyle name="Normal 41 2 2 2 2 3" xfId="11572" xr:uid="{00000000-0005-0000-0000-0000282E0000}"/>
    <cellStyle name="Normal 41 2 2 2 2 4" xfId="17782" xr:uid="{00000000-0005-0000-0000-0000292E0000}"/>
    <cellStyle name="Normal 41 2 2 2 3" xfId="5421" xr:uid="{00000000-0005-0000-0000-00002A2E0000}"/>
    <cellStyle name="Normal 41 2 2 2 3 2" xfId="5422" xr:uid="{00000000-0005-0000-0000-00002B2E0000}"/>
    <cellStyle name="Normal 41 2 2 2 3 2 2" xfId="11575" xr:uid="{00000000-0005-0000-0000-00002C2E0000}"/>
    <cellStyle name="Normal 41 2 2 2 3 2 3" xfId="17785" xr:uid="{00000000-0005-0000-0000-00002D2E0000}"/>
    <cellStyle name="Normal 41 2 2 2 3 3" xfId="11574" xr:uid="{00000000-0005-0000-0000-00002E2E0000}"/>
    <cellStyle name="Normal 41 2 2 2 3 4" xfId="17784" xr:uid="{00000000-0005-0000-0000-00002F2E0000}"/>
    <cellStyle name="Normal 41 2 2 2 4" xfId="5423" xr:uid="{00000000-0005-0000-0000-0000302E0000}"/>
    <cellStyle name="Normal 41 2 2 2 4 2" xfId="11576" xr:uid="{00000000-0005-0000-0000-0000312E0000}"/>
    <cellStyle name="Normal 41 2 2 2 4 3" xfId="17786" xr:uid="{00000000-0005-0000-0000-0000322E0000}"/>
    <cellStyle name="Normal 41 2 2 2 5" xfId="11571" xr:uid="{00000000-0005-0000-0000-0000332E0000}"/>
    <cellStyle name="Normal 41 2 2 2 6" xfId="17781" xr:uid="{00000000-0005-0000-0000-0000342E0000}"/>
    <cellStyle name="Normal 41 2 2 3" xfId="5424" xr:uid="{00000000-0005-0000-0000-0000352E0000}"/>
    <cellStyle name="Normal 41 2 2 3 2" xfId="5425" xr:uid="{00000000-0005-0000-0000-0000362E0000}"/>
    <cellStyle name="Normal 41 2 2 3 2 2" xfId="11578" xr:uid="{00000000-0005-0000-0000-0000372E0000}"/>
    <cellStyle name="Normal 41 2 2 3 2 3" xfId="17788" xr:uid="{00000000-0005-0000-0000-0000382E0000}"/>
    <cellStyle name="Normal 41 2 2 3 3" xfId="11577" xr:uid="{00000000-0005-0000-0000-0000392E0000}"/>
    <cellStyle name="Normal 41 2 2 3 4" xfId="17787" xr:uid="{00000000-0005-0000-0000-00003A2E0000}"/>
    <cellStyle name="Normal 41 2 2 4" xfId="5426" xr:uid="{00000000-0005-0000-0000-00003B2E0000}"/>
    <cellStyle name="Normal 41 2 2 4 2" xfId="5427" xr:uid="{00000000-0005-0000-0000-00003C2E0000}"/>
    <cellStyle name="Normal 41 2 2 4 2 2" xfId="11580" xr:uid="{00000000-0005-0000-0000-00003D2E0000}"/>
    <cellStyle name="Normal 41 2 2 4 2 3" xfId="17790" xr:uid="{00000000-0005-0000-0000-00003E2E0000}"/>
    <cellStyle name="Normal 41 2 2 4 3" xfId="11579" xr:uid="{00000000-0005-0000-0000-00003F2E0000}"/>
    <cellStyle name="Normal 41 2 2 4 4" xfId="17789" xr:uid="{00000000-0005-0000-0000-0000402E0000}"/>
    <cellStyle name="Normal 41 2 2 5" xfId="5428" xr:uid="{00000000-0005-0000-0000-0000412E0000}"/>
    <cellStyle name="Normal 41 2 2 5 2" xfId="11581" xr:uid="{00000000-0005-0000-0000-0000422E0000}"/>
    <cellStyle name="Normal 41 2 2 5 3" xfId="17791" xr:uid="{00000000-0005-0000-0000-0000432E0000}"/>
    <cellStyle name="Normal 41 2 2 6" xfId="11570" xr:uid="{00000000-0005-0000-0000-0000442E0000}"/>
    <cellStyle name="Normal 41 2 2 7" xfId="17780" xr:uid="{00000000-0005-0000-0000-0000452E0000}"/>
    <cellStyle name="Normal 41 2 3" xfId="5429" xr:uid="{00000000-0005-0000-0000-0000462E0000}"/>
    <cellStyle name="Normal 41 2 3 2" xfId="5430" xr:uid="{00000000-0005-0000-0000-0000472E0000}"/>
    <cellStyle name="Normal 41 2 3 2 2" xfId="5431" xr:uid="{00000000-0005-0000-0000-0000482E0000}"/>
    <cellStyle name="Normal 41 2 3 2 2 2" xfId="11584" xr:uid="{00000000-0005-0000-0000-0000492E0000}"/>
    <cellStyle name="Normal 41 2 3 2 2 3" xfId="17794" xr:uid="{00000000-0005-0000-0000-00004A2E0000}"/>
    <cellStyle name="Normal 41 2 3 2 3" xfId="11583" xr:uid="{00000000-0005-0000-0000-00004B2E0000}"/>
    <cellStyle name="Normal 41 2 3 2 4" xfId="17793" xr:uid="{00000000-0005-0000-0000-00004C2E0000}"/>
    <cellStyle name="Normal 41 2 3 3" xfId="5432" xr:uid="{00000000-0005-0000-0000-00004D2E0000}"/>
    <cellStyle name="Normal 41 2 3 3 2" xfId="5433" xr:uid="{00000000-0005-0000-0000-00004E2E0000}"/>
    <cellStyle name="Normal 41 2 3 3 2 2" xfId="11586" xr:uid="{00000000-0005-0000-0000-00004F2E0000}"/>
    <cellStyle name="Normal 41 2 3 3 2 3" xfId="17796" xr:uid="{00000000-0005-0000-0000-0000502E0000}"/>
    <cellStyle name="Normal 41 2 3 3 3" xfId="11585" xr:uid="{00000000-0005-0000-0000-0000512E0000}"/>
    <cellStyle name="Normal 41 2 3 3 4" xfId="17795" xr:uid="{00000000-0005-0000-0000-0000522E0000}"/>
    <cellStyle name="Normal 41 2 3 4" xfId="5434" xr:uid="{00000000-0005-0000-0000-0000532E0000}"/>
    <cellStyle name="Normal 41 2 3 4 2" xfId="11587" xr:uid="{00000000-0005-0000-0000-0000542E0000}"/>
    <cellStyle name="Normal 41 2 3 4 3" xfId="17797" xr:uid="{00000000-0005-0000-0000-0000552E0000}"/>
    <cellStyle name="Normal 41 2 3 5" xfId="11582" xr:uid="{00000000-0005-0000-0000-0000562E0000}"/>
    <cellStyle name="Normal 41 2 3 6" xfId="17792" xr:uid="{00000000-0005-0000-0000-0000572E0000}"/>
    <cellStyle name="Normal 41 2 4" xfId="5435" xr:uid="{00000000-0005-0000-0000-0000582E0000}"/>
    <cellStyle name="Normal 41 2 4 2" xfId="5436" xr:uid="{00000000-0005-0000-0000-0000592E0000}"/>
    <cellStyle name="Normal 41 2 4 2 2" xfId="11589" xr:uid="{00000000-0005-0000-0000-00005A2E0000}"/>
    <cellStyle name="Normal 41 2 4 2 3" xfId="17799" xr:uid="{00000000-0005-0000-0000-00005B2E0000}"/>
    <cellStyle name="Normal 41 2 4 3" xfId="11588" xr:uid="{00000000-0005-0000-0000-00005C2E0000}"/>
    <cellStyle name="Normal 41 2 4 4" xfId="17798" xr:uid="{00000000-0005-0000-0000-00005D2E0000}"/>
    <cellStyle name="Normal 41 2 5" xfId="5437" xr:uid="{00000000-0005-0000-0000-00005E2E0000}"/>
    <cellStyle name="Normal 41 2 5 2" xfId="5438" xr:uid="{00000000-0005-0000-0000-00005F2E0000}"/>
    <cellStyle name="Normal 41 2 5 2 2" xfId="11591" xr:uid="{00000000-0005-0000-0000-0000602E0000}"/>
    <cellStyle name="Normal 41 2 5 2 3" xfId="17801" xr:uid="{00000000-0005-0000-0000-0000612E0000}"/>
    <cellStyle name="Normal 41 2 5 3" xfId="11590" xr:uid="{00000000-0005-0000-0000-0000622E0000}"/>
    <cellStyle name="Normal 41 2 5 4" xfId="17800" xr:uid="{00000000-0005-0000-0000-0000632E0000}"/>
    <cellStyle name="Normal 41 2 6" xfId="5439" xr:uid="{00000000-0005-0000-0000-0000642E0000}"/>
    <cellStyle name="Normal 41 2 6 2" xfId="11592" xr:uid="{00000000-0005-0000-0000-0000652E0000}"/>
    <cellStyle name="Normal 41 2 6 3" xfId="17802" xr:uid="{00000000-0005-0000-0000-0000662E0000}"/>
    <cellStyle name="Normal 41 2 7" xfId="11569" xr:uid="{00000000-0005-0000-0000-0000672E0000}"/>
    <cellStyle name="Normal 41 2 8" xfId="17779" xr:uid="{00000000-0005-0000-0000-0000682E0000}"/>
    <cellStyle name="Normal 41 3" xfId="5440" xr:uid="{00000000-0005-0000-0000-0000692E0000}"/>
    <cellStyle name="Normal 41 3 2" xfId="5441" xr:uid="{00000000-0005-0000-0000-00006A2E0000}"/>
    <cellStyle name="Normal 41 3 2 2" xfId="5442" xr:uid="{00000000-0005-0000-0000-00006B2E0000}"/>
    <cellStyle name="Normal 41 3 2 2 2" xfId="5443" xr:uid="{00000000-0005-0000-0000-00006C2E0000}"/>
    <cellStyle name="Normal 41 3 2 2 2 2" xfId="11596" xr:uid="{00000000-0005-0000-0000-00006D2E0000}"/>
    <cellStyle name="Normal 41 3 2 2 2 3" xfId="17806" xr:uid="{00000000-0005-0000-0000-00006E2E0000}"/>
    <cellStyle name="Normal 41 3 2 2 3" xfId="11595" xr:uid="{00000000-0005-0000-0000-00006F2E0000}"/>
    <cellStyle name="Normal 41 3 2 2 4" xfId="17805" xr:uid="{00000000-0005-0000-0000-0000702E0000}"/>
    <cellStyle name="Normal 41 3 2 3" xfId="5444" xr:uid="{00000000-0005-0000-0000-0000712E0000}"/>
    <cellStyle name="Normal 41 3 2 3 2" xfId="5445" xr:uid="{00000000-0005-0000-0000-0000722E0000}"/>
    <cellStyle name="Normal 41 3 2 3 2 2" xfId="11598" xr:uid="{00000000-0005-0000-0000-0000732E0000}"/>
    <cellStyle name="Normal 41 3 2 3 2 3" xfId="17808" xr:uid="{00000000-0005-0000-0000-0000742E0000}"/>
    <cellStyle name="Normal 41 3 2 3 3" xfId="11597" xr:uid="{00000000-0005-0000-0000-0000752E0000}"/>
    <cellStyle name="Normal 41 3 2 3 4" xfId="17807" xr:uid="{00000000-0005-0000-0000-0000762E0000}"/>
    <cellStyle name="Normal 41 3 2 4" xfId="5446" xr:uid="{00000000-0005-0000-0000-0000772E0000}"/>
    <cellStyle name="Normal 41 3 2 4 2" xfId="11599" xr:uid="{00000000-0005-0000-0000-0000782E0000}"/>
    <cellStyle name="Normal 41 3 2 4 3" xfId="17809" xr:uid="{00000000-0005-0000-0000-0000792E0000}"/>
    <cellStyle name="Normal 41 3 2 5" xfId="11594" xr:uid="{00000000-0005-0000-0000-00007A2E0000}"/>
    <cellStyle name="Normal 41 3 2 6" xfId="17804" xr:uid="{00000000-0005-0000-0000-00007B2E0000}"/>
    <cellStyle name="Normal 41 3 3" xfId="5447" xr:uid="{00000000-0005-0000-0000-00007C2E0000}"/>
    <cellStyle name="Normal 41 3 3 2" xfId="5448" xr:uid="{00000000-0005-0000-0000-00007D2E0000}"/>
    <cellStyle name="Normal 41 3 3 2 2" xfId="11601" xr:uid="{00000000-0005-0000-0000-00007E2E0000}"/>
    <cellStyle name="Normal 41 3 3 2 3" xfId="17811" xr:uid="{00000000-0005-0000-0000-00007F2E0000}"/>
    <cellStyle name="Normal 41 3 3 3" xfId="11600" xr:uid="{00000000-0005-0000-0000-0000802E0000}"/>
    <cellStyle name="Normal 41 3 3 4" xfId="17810" xr:uid="{00000000-0005-0000-0000-0000812E0000}"/>
    <cellStyle name="Normal 41 3 4" xfId="5449" xr:uid="{00000000-0005-0000-0000-0000822E0000}"/>
    <cellStyle name="Normal 41 3 4 2" xfId="5450" xr:uid="{00000000-0005-0000-0000-0000832E0000}"/>
    <cellStyle name="Normal 41 3 4 2 2" xfId="11603" xr:uid="{00000000-0005-0000-0000-0000842E0000}"/>
    <cellStyle name="Normal 41 3 4 2 3" xfId="17813" xr:uid="{00000000-0005-0000-0000-0000852E0000}"/>
    <cellStyle name="Normal 41 3 4 3" xfId="11602" xr:uid="{00000000-0005-0000-0000-0000862E0000}"/>
    <cellStyle name="Normal 41 3 4 4" xfId="17812" xr:uid="{00000000-0005-0000-0000-0000872E0000}"/>
    <cellStyle name="Normal 41 3 5" xfId="5451" xr:uid="{00000000-0005-0000-0000-0000882E0000}"/>
    <cellStyle name="Normal 41 3 5 2" xfId="11604" xr:uid="{00000000-0005-0000-0000-0000892E0000}"/>
    <cellStyle name="Normal 41 3 5 3" xfId="17814" xr:uid="{00000000-0005-0000-0000-00008A2E0000}"/>
    <cellStyle name="Normal 41 3 6" xfId="11593" xr:uid="{00000000-0005-0000-0000-00008B2E0000}"/>
    <cellStyle name="Normal 41 3 7" xfId="17803" xr:uid="{00000000-0005-0000-0000-00008C2E0000}"/>
    <cellStyle name="Normal 41 4" xfId="5452" xr:uid="{00000000-0005-0000-0000-00008D2E0000}"/>
    <cellStyle name="Normal 41 4 2" xfId="5453" xr:uid="{00000000-0005-0000-0000-00008E2E0000}"/>
    <cellStyle name="Normal 41 4 2 2" xfId="5454" xr:uid="{00000000-0005-0000-0000-00008F2E0000}"/>
    <cellStyle name="Normal 41 4 2 2 2" xfId="11607" xr:uid="{00000000-0005-0000-0000-0000902E0000}"/>
    <cellStyle name="Normal 41 4 2 2 3" xfId="17817" xr:uid="{00000000-0005-0000-0000-0000912E0000}"/>
    <cellStyle name="Normal 41 4 2 3" xfId="11606" xr:uid="{00000000-0005-0000-0000-0000922E0000}"/>
    <cellStyle name="Normal 41 4 2 4" xfId="17816" xr:uid="{00000000-0005-0000-0000-0000932E0000}"/>
    <cellStyle name="Normal 41 4 3" xfId="5455" xr:uid="{00000000-0005-0000-0000-0000942E0000}"/>
    <cellStyle name="Normal 41 4 3 2" xfId="5456" xr:uid="{00000000-0005-0000-0000-0000952E0000}"/>
    <cellStyle name="Normal 41 4 3 2 2" xfId="11609" xr:uid="{00000000-0005-0000-0000-0000962E0000}"/>
    <cellStyle name="Normal 41 4 3 2 3" xfId="17819" xr:uid="{00000000-0005-0000-0000-0000972E0000}"/>
    <cellStyle name="Normal 41 4 3 3" xfId="11608" xr:uid="{00000000-0005-0000-0000-0000982E0000}"/>
    <cellStyle name="Normal 41 4 3 4" xfId="17818" xr:uid="{00000000-0005-0000-0000-0000992E0000}"/>
    <cellStyle name="Normal 41 4 4" xfId="5457" xr:uid="{00000000-0005-0000-0000-00009A2E0000}"/>
    <cellStyle name="Normal 41 4 4 2" xfId="11610" xr:uid="{00000000-0005-0000-0000-00009B2E0000}"/>
    <cellStyle name="Normal 41 4 4 3" xfId="17820" xr:uid="{00000000-0005-0000-0000-00009C2E0000}"/>
    <cellStyle name="Normal 41 4 5" xfId="11605" xr:uid="{00000000-0005-0000-0000-00009D2E0000}"/>
    <cellStyle name="Normal 41 4 6" xfId="17815" xr:uid="{00000000-0005-0000-0000-00009E2E0000}"/>
    <cellStyle name="Normal 41 5" xfId="5458" xr:uid="{00000000-0005-0000-0000-00009F2E0000}"/>
    <cellStyle name="Normal 41 5 2" xfId="5459" xr:uid="{00000000-0005-0000-0000-0000A02E0000}"/>
    <cellStyle name="Normal 41 5 2 2" xfId="11612" xr:uid="{00000000-0005-0000-0000-0000A12E0000}"/>
    <cellStyle name="Normal 41 5 2 3" xfId="17822" xr:uid="{00000000-0005-0000-0000-0000A22E0000}"/>
    <cellStyle name="Normal 41 5 3" xfId="11611" xr:uid="{00000000-0005-0000-0000-0000A32E0000}"/>
    <cellStyle name="Normal 41 5 4" xfId="17821" xr:uid="{00000000-0005-0000-0000-0000A42E0000}"/>
    <cellStyle name="Normal 41 6" xfId="5460" xr:uid="{00000000-0005-0000-0000-0000A52E0000}"/>
    <cellStyle name="Normal 41 6 2" xfId="5461" xr:uid="{00000000-0005-0000-0000-0000A62E0000}"/>
    <cellStyle name="Normal 41 6 2 2" xfId="11614" xr:uid="{00000000-0005-0000-0000-0000A72E0000}"/>
    <cellStyle name="Normal 41 6 2 3" xfId="17824" xr:uid="{00000000-0005-0000-0000-0000A82E0000}"/>
    <cellStyle name="Normal 41 6 3" xfId="11613" xr:uid="{00000000-0005-0000-0000-0000A92E0000}"/>
    <cellStyle name="Normal 41 6 4" xfId="17823" xr:uid="{00000000-0005-0000-0000-0000AA2E0000}"/>
    <cellStyle name="Normal 41 7" xfId="5462" xr:uid="{00000000-0005-0000-0000-0000AB2E0000}"/>
    <cellStyle name="Normal 41 7 2" xfId="11615" xr:uid="{00000000-0005-0000-0000-0000AC2E0000}"/>
    <cellStyle name="Normal 41 7 3" xfId="17825" xr:uid="{00000000-0005-0000-0000-0000AD2E0000}"/>
    <cellStyle name="Normal 41 8" xfId="5463" xr:uid="{00000000-0005-0000-0000-0000AE2E0000}"/>
    <cellStyle name="Normal 41 8 2" xfId="17826" xr:uid="{00000000-0005-0000-0000-0000AF2E0000}"/>
    <cellStyle name="Normal 41 9" xfId="11568" xr:uid="{00000000-0005-0000-0000-0000B02E0000}"/>
    <cellStyle name="Normal 42" xfId="5464" xr:uid="{00000000-0005-0000-0000-0000B12E0000}"/>
    <cellStyle name="Normal 42 2" xfId="5465" xr:uid="{00000000-0005-0000-0000-0000B22E0000}"/>
    <cellStyle name="Normal 42 2 2" xfId="11617" xr:uid="{00000000-0005-0000-0000-0000B32E0000}"/>
    <cellStyle name="Normal 42 2 3" xfId="17828" xr:uid="{00000000-0005-0000-0000-0000B42E0000}"/>
    <cellStyle name="Normal 42 3" xfId="5466" xr:uid="{00000000-0005-0000-0000-0000B52E0000}"/>
    <cellStyle name="Normal 42 3 2" xfId="11618" xr:uid="{00000000-0005-0000-0000-0000B62E0000}"/>
    <cellStyle name="Normal 42 3 3" xfId="17829" xr:uid="{00000000-0005-0000-0000-0000B72E0000}"/>
    <cellStyle name="Normal 42 4" xfId="5467" xr:uid="{00000000-0005-0000-0000-0000B82E0000}"/>
    <cellStyle name="Normal 42 4 2" xfId="17830" xr:uid="{00000000-0005-0000-0000-0000B92E0000}"/>
    <cellStyle name="Normal 42 5" xfId="11616" xr:uid="{00000000-0005-0000-0000-0000BA2E0000}"/>
    <cellStyle name="Normal 42 6" xfId="17827" xr:uid="{00000000-0005-0000-0000-0000BB2E0000}"/>
    <cellStyle name="Normal 43" xfId="5468" xr:uid="{00000000-0005-0000-0000-0000BC2E0000}"/>
    <cellStyle name="Normal 43 2" xfId="5469" xr:uid="{00000000-0005-0000-0000-0000BD2E0000}"/>
    <cellStyle name="Normal 43 2 2" xfId="5470" xr:uid="{00000000-0005-0000-0000-0000BE2E0000}"/>
    <cellStyle name="Normal 43 2 2 2" xfId="5471" xr:uid="{00000000-0005-0000-0000-0000BF2E0000}"/>
    <cellStyle name="Normal 43 2 2 2 2" xfId="5472" xr:uid="{00000000-0005-0000-0000-0000C02E0000}"/>
    <cellStyle name="Normal 43 2 2 2 2 2" xfId="5473" xr:uid="{00000000-0005-0000-0000-0000C12E0000}"/>
    <cellStyle name="Normal 43 2 2 2 2 2 2" xfId="11624" xr:uid="{00000000-0005-0000-0000-0000C22E0000}"/>
    <cellStyle name="Normal 43 2 2 2 2 2 3" xfId="17836" xr:uid="{00000000-0005-0000-0000-0000C32E0000}"/>
    <cellStyle name="Normal 43 2 2 2 2 3" xfId="11623" xr:uid="{00000000-0005-0000-0000-0000C42E0000}"/>
    <cellStyle name="Normal 43 2 2 2 2 4" xfId="17835" xr:uid="{00000000-0005-0000-0000-0000C52E0000}"/>
    <cellStyle name="Normal 43 2 2 2 3" xfId="5474" xr:uid="{00000000-0005-0000-0000-0000C62E0000}"/>
    <cellStyle name="Normal 43 2 2 2 3 2" xfId="5475" xr:uid="{00000000-0005-0000-0000-0000C72E0000}"/>
    <cellStyle name="Normal 43 2 2 2 3 2 2" xfId="11626" xr:uid="{00000000-0005-0000-0000-0000C82E0000}"/>
    <cellStyle name="Normal 43 2 2 2 3 2 3" xfId="17838" xr:uid="{00000000-0005-0000-0000-0000C92E0000}"/>
    <cellStyle name="Normal 43 2 2 2 3 3" xfId="11625" xr:uid="{00000000-0005-0000-0000-0000CA2E0000}"/>
    <cellStyle name="Normal 43 2 2 2 3 4" xfId="17837" xr:uid="{00000000-0005-0000-0000-0000CB2E0000}"/>
    <cellStyle name="Normal 43 2 2 2 4" xfId="5476" xr:uid="{00000000-0005-0000-0000-0000CC2E0000}"/>
    <cellStyle name="Normal 43 2 2 2 4 2" xfId="11627" xr:uid="{00000000-0005-0000-0000-0000CD2E0000}"/>
    <cellStyle name="Normal 43 2 2 2 4 3" xfId="17839" xr:uid="{00000000-0005-0000-0000-0000CE2E0000}"/>
    <cellStyle name="Normal 43 2 2 2 5" xfId="11622" xr:uid="{00000000-0005-0000-0000-0000CF2E0000}"/>
    <cellStyle name="Normal 43 2 2 2 6" xfId="17834" xr:uid="{00000000-0005-0000-0000-0000D02E0000}"/>
    <cellStyle name="Normal 43 2 2 3" xfId="5477" xr:uid="{00000000-0005-0000-0000-0000D12E0000}"/>
    <cellStyle name="Normal 43 2 2 3 2" xfId="5478" xr:uid="{00000000-0005-0000-0000-0000D22E0000}"/>
    <cellStyle name="Normal 43 2 2 3 2 2" xfId="11629" xr:uid="{00000000-0005-0000-0000-0000D32E0000}"/>
    <cellStyle name="Normal 43 2 2 3 2 3" xfId="17841" xr:uid="{00000000-0005-0000-0000-0000D42E0000}"/>
    <cellStyle name="Normal 43 2 2 3 3" xfId="11628" xr:uid="{00000000-0005-0000-0000-0000D52E0000}"/>
    <cellStyle name="Normal 43 2 2 3 4" xfId="17840" xr:uid="{00000000-0005-0000-0000-0000D62E0000}"/>
    <cellStyle name="Normal 43 2 2 4" xfId="5479" xr:uid="{00000000-0005-0000-0000-0000D72E0000}"/>
    <cellStyle name="Normal 43 2 2 4 2" xfId="5480" xr:uid="{00000000-0005-0000-0000-0000D82E0000}"/>
    <cellStyle name="Normal 43 2 2 4 2 2" xfId="11631" xr:uid="{00000000-0005-0000-0000-0000D92E0000}"/>
    <cellStyle name="Normal 43 2 2 4 2 3" xfId="17843" xr:uid="{00000000-0005-0000-0000-0000DA2E0000}"/>
    <cellStyle name="Normal 43 2 2 4 3" xfId="11630" xr:uid="{00000000-0005-0000-0000-0000DB2E0000}"/>
    <cellStyle name="Normal 43 2 2 4 4" xfId="17842" xr:uid="{00000000-0005-0000-0000-0000DC2E0000}"/>
    <cellStyle name="Normal 43 2 2 5" xfId="5481" xr:uid="{00000000-0005-0000-0000-0000DD2E0000}"/>
    <cellStyle name="Normal 43 2 2 5 2" xfId="11632" xr:uid="{00000000-0005-0000-0000-0000DE2E0000}"/>
    <cellStyle name="Normal 43 2 2 5 3" xfId="17844" xr:uid="{00000000-0005-0000-0000-0000DF2E0000}"/>
    <cellStyle name="Normal 43 2 2 6" xfId="11621" xr:uid="{00000000-0005-0000-0000-0000E02E0000}"/>
    <cellStyle name="Normal 43 2 2 7" xfId="17833" xr:uid="{00000000-0005-0000-0000-0000E12E0000}"/>
    <cellStyle name="Normal 43 2 3" xfId="5482" xr:uid="{00000000-0005-0000-0000-0000E22E0000}"/>
    <cellStyle name="Normal 43 2 3 2" xfId="5483" xr:uid="{00000000-0005-0000-0000-0000E32E0000}"/>
    <cellStyle name="Normal 43 2 3 2 2" xfId="5484" xr:uid="{00000000-0005-0000-0000-0000E42E0000}"/>
    <cellStyle name="Normal 43 2 3 2 2 2" xfId="11635" xr:uid="{00000000-0005-0000-0000-0000E52E0000}"/>
    <cellStyle name="Normal 43 2 3 2 2 3" xfId="17847" xr:uid="{00000000-0005-0000-0000-0000E62E0000}"/>
    <cellStyle name="Normal 43 2 3 2 3" xfId="11634" xr:uid="{00000000-0005-0000-0000-0000E72E0000}"/>
    <cellStyle name="Normal 43 2 3 2 4" xfId="17846" xr:uid="{00000000-0005-0000-0000-0000E82E0000}"/>
    <cellStyle name="Normal 43 2 3 3" xfId="5485" xr:uid="{00000000-0005-0000-0000-0000E92E0000}"/>
    <cellStyle name="Normal 43 2 3 3 2" xfId="5486" xr:uid="{00000000-0005-0000-0000-0000EA2E0000}"/>
    <cellStyle name="Normal 43 2 3 3 2 2" xfId="11637" xr:uid="{00000000-0005-0000-0000-0000EB2E0000}"/>
    <cellStyle name="Normal 43 2 3 3 2 3" xfId="17849" xr:uid="{00000000-0005-0000-0000-0000EC2E0000}"/>
    <cellStyle name="Normal 43 2 3 3 3" xfId="11636" xr:uid="{00000000-0005-0000-0000-0000ED2E0000}"/>
    <cellStyle name="Normal 43 2 3 3 4" xfId="17848" xr:uid="{00000000-0005-0000-0000-0000EE2E0000}"/>
    <cellStyle name="Normal 43 2 3 4" xfId="5487" xr:uid="{00000000-0005-0000-0000-0000EF2E0000}"/>
    <cellStyle name="Normal 43 2 3 4 2" xfId="11638" xr:uid="{00000000-0005-0000-0000-0000F02E0000}"/>
    <cellStyle name="Normal 43 2 3 4 3" xfId="17850" xr:uid="{00000000-0005-0000-0000-0000F12E0000}"/>
    <cellStyle name="Normal 43 2 3 5" xfId="11633" xr:uid="{00000000-0005-0000-0000-0000F22E0000}"/>
    <cellStyle name="Normal 43 2 3 6" xfId="17845" xr:uid="{00000000-0005-0000-0000-0000F32E0000}"/>
    <cellStyle name="Normal 43 2 4" xfId="5488" xr:uid="{00000000-0005-0000-0000-0000F42E0000}"/>
    <cellStyle name="Normal 43 2 4 2" xfId="5489" xr:uid="{00000000-0005-0000-0000-0000F52E0000}"/>
    <cellStyle name="Normal 43 2 4 2 2" xfId="11640" xr:uid="{00000000-0005-0000-0000-0000F62E0000}"/>
    <cellStyle name="Normal 43 2 4 2 3" xfId="17852" xr:uid="{00000000-0005-0000-0000-0000F72E0000}"/>
    <cellStyle name="Normal 43 2 4 3" xfId="11639" xr:uid="{00000000-0005-0000-0000-0000F82E0000}"/>
    <cellStyle name="Normal 43 2 4 4" xfId="17851" xr:uid="{00000000-0005-0000-0000-0000F92E0000}"/>
    <cellStyle name="Normal 43 2 5" xfId="5490" xr:uid="{00000000-0005-0000-0000-0000FA2E0000}"/>
    <cellStyle name="Normal 43 2 5 2" xfId="5491" xr:uid="{00000000-0005-0000-0000-0000FB2E0000}"/>
    <cellStyle name="Normal 43 2 5 2 2" xfId="11642" xr:uid="{00000000-0005-0000-0000-0000FC2E0000}"/>
    <cellStyle name="Normal 43 2 5 2 3" xfId="17854" xr:uid="{00000000-0005-0000-0000-0000FD2E0000}"/>
    <cellStyle name="Normal 43 2 5 3" xfId="11641" xr:uid="{00000000-0005-0000-0000-0000FE2E0000}"/>
    <cellStyle name="Normal 43 2 5 4" xfId="17853" xr:uid="{00000000-0005-0000-0000-0000FF2E0000}"/>
    <cellStyle name="Normal 43 2 6" xfId="5492" xr:uid="{00000000-0005-0000-0000-0000002F0000}"/>
    <cellStyle name="Normal 43 2 6 2" xfId="11643" xr:uid="{00000000-0005-0000-0000-0000012F0000}"/>
    <cellStyle name="Normal 43 2 6 3" xfId="17855" xr:uid="{00000000-0005-0000-0000-0000022F0000}"/>
    <cellStyle name="Normal 43 2 7" xfId="11620" xr:uid="{00000000-0005-0000-0000-0000032F0000}"/>
    <cellStyle name="Normal 43 2 8" xfId="17832" xr:uid="{00000000-0005-0000-0000-0000042F0000}"/>
    <cellStyle name="Normal 43 3" xfId="5493" xr:uid="{00000000-0005-0000-0000-0000052F0000}"/>
    <cellStyle name="Normal 43 3 2" xfId="11644" xr:uid="{00000000-0005-0000-0000-0000062F0000}"/>
    <cellStyle name="Normal 43 3 3" xfId="17856" xr:uid="{00000000-0005-0000-0000-0000072F0000}"/>
    <cellStyle name="Normal 43 4" xfId="5494" xr:uid="{00000000-0005-0000-0000-0000082F0000}"/>
    <cellStyle name="Normal 43 4 2" xfId="17857" xr:uid="{00000000-0005-0000-0000-0000092F0000}"/>
    <cellStyle name="Normal 43 5" xfId="11619" xr:uid="{00000000-0005-0000-0000-00000A2F0000}"/>
    <cellStyle name="Normal 43 6" xfId="17831" xr:uid="{00000000-0005-0000-0000-00000B2F0000}"/>
    <cellStyle name="Normal 44" xfId="5495" xr:uid="{00000000-0005-0000-0000-00000C2F0000}"/>
    <cellStyle name="Normal 44 10" xfId="17858" xr:uid="{00000000-0005-0000-0000-00000D2F0000}"/>
    <cellStyle name="Normal 44 2" xfId="5496" xr:uid="{00000000-0005-0000-0000-00000E2F0000}"/>
    <cellStyle name="Normal 44 2 2" xfId="5497" xr:uid="{00000000-0005-0000-0000-00000F2F0000}"/>
    <cellStyle name="Normal 44 2 2 2" xfId="5498" xr:uid="{00000000-0005-0000-0000-0000102F0000}"/>
    <cellStyle name="Normal 44 2 2 2 2" xfId="5499" xr:uid="{00000000-0005-0000-0000-0000112F0000}"/>
    <cellStyle name="Normal 44 2 2 2 2 2" xfId="5500" xr:uid="{00000000-0005-0000-0000-0000122F0000}"/>
    <cellStyle name="Normal 44 2 2 2 2 2 2" xfId="11650" xr:uid="{00000000-0005-0000-0000-0000132F0000}"/>
    <cellStyle name="Normal 44 2 2 2 2 2 3" xfId="17863" xr:uid="{00000000-0005-0000-0000-0000142F0000}"/>
    <cellStyle name="Normal 44 2 2 2 2 3" xfId="11649" xr:uid="{00000000-0005-0000-0000-0000152F0000}"/>
    <cellStyle name="Normal 44 2 2 2 2 4" xfId="17862" xr:uid="{00000000-0005-0000-0000-0000162F0000}"/>
    <cellStyle name="Normal 44 2 2 2 3" xfId="5501" xr:uid="{00000000-0005-0000-0000-0000172F0000}"/>
    <cellStyle name="Normal 44 2 2 2 3 2" xfId="5502" xr:uid="{00000000-0005-0000-0000-0000182F0000}"/>
    <cellStyle name="Normal 44 2 2 2 3 2 2" xfId="11652" xr:uid="{00000000-0005-0000-0000-0000192F0000}"/>
    <cellStyle name="Normal 44 2 2 2 3 2 3" xfId="17865" xr:uid="{00000000-0005-0000-0000-00001A2F0000}"/>
    <cellStyle name="Normal 44 2 2 2 3 3" xfId="11651" xr:uid="{00000000-0005-0000-0000-00001B2F0000}"/>
    <cellStyle name="Normal 44 2 2 2 3 4" xfId="17864" xr:uid="{00000000-0005-0000-0000-00001C2F0000}"/>
    <cellStyle name="Normal 44 2 2 2 4" xfId="5503" xr:uid="{00000000-0005-0000-0000-00001D2F0000}"/>
    <cellStyle name="Normal 44 2 2 2 4 2" xfId="11653" xr:uid="{00000000-0005-0000-0000-00001E2F0000}"/>
    <cellStyle name="Normal 44 2 2 2 4 3" xfId="17866" xr:uid="{00000000-0005-0000-0000-00001F2F0000}"/>
    <cellStyle name="Normal 44 2 2 2 5" xfId="11648" xr:uid="{00000000-0005-0000-0000-0000202F0000}"/>
    <cellStyle name="Normal 44 2 2 2 6" xfId="17861" xr:uid="{00000000-0005-0000-0000-0000212F0000}"/>
    <cellStyle name="Normal 44 2 2 3" xfId="5504" xr:uid="{00000000-0005-0000-0000-0000222F0000}"/>
    <cellStyle name="Normal 44 2 2 3 2" xfId="5505" xr:uid="{00000000-0005-0000-0000-0000232F0000}"/>
    <cellStyle name="Normal 44 2 2 3 2 2" xfId="11655" xr:uid="{00000000-0005-0000-0000-0000242F0000}"/>
    <cellStyle name="Normal 44 2 2 3 2 3" xfId="17868" xr:uid="{00000000-0005-0000-0000-0000252F0000}"/>
    <cellStyle name="Normal 44 2 2 3 3" xfId="11654" xr:uid="{00000000-0005-0000-0000-0000262F0000}"/>
    <cellStyle name="Normal 44 2 2 3 4" xfId="17867" xr:uid="{00000000-0005-0000-0000-0000272F0000}"/>
    <cellStyle name="Normal 44 2 2 4" xfId="5506" xr:uid="{00000000-0005-0000-0000-0000282F0000}"/>
    <cellStyle name="Normal 44 2 2 4 2" xfId="5507" xr:uid="{00000000-0005-0000-0000-0000292F0000}"/>
    <cellStyle name="Normal 44 2 2 4 2 2" xfId="11657" xr:uid="{00000000-0005-0000-0000-00002A2F0000}"/>
    <cellStyle name="Normal 44 2 2 4 2 3" xfId="17870" xr:uid="{00000000-0005-0000-0000-00002B2F0000}"/>
    <cellStyle name="Normal 44 2 2 4 3" xfId="11656" xr:uid="{00000000-0005-0000-0000-00002C2F0000}"/>
    <cellStyle name="Normal 44 2 2 4 4" xfId="17869" xr:uid="{00000000-0005-0000-0000-00002D2F0000}"/>
    <cellStyle name="Normal 44 2 2 5" xfId="5508" xr:uid="{00000000-0005-0000-0000-00002E2F0000}"/>
    <cellStyle name="Normal 44 2 2 5 2" xfId="11658" xr:uid="{00000000-0005-0000-0000-00002F2F0000}"/>
    <cellStyle name="Normal 44 2 2 5 3" xfId="17871" xr:uid="{00000000-0005-0000-0000-0000302F0000}"/>
    <cellStyle name="Normal 44 2 2 6" xfId="11647" xr:uid="{00000000-0005-0000-0000-0000312F0000}"/>
    <cellStyle name="Normal 44 2 2 7" xfId="17860" xr:uid="{00000000-0005-0000-0000-0000322F0000}"/>
    <cellStyle name="Normal 44 2 3" xfId="5509" xr:uid="{00000000-0005-0000-0000-0000332F0000}"/>
    <cellStyle name="Normal 44 2 3 2" xfId="5510" xr:uid="{00000000-0005-0000-0000-0000342F0000}"/>
    <cellStyle name="Normal 44 2 3 2 2" xfId="5511" xr:uid="{00000000-0005-0000-0000-0000352F0000}"/>
    <cellStyle name="Normal 44 2 3 2 2 2" xfId="11661" xr:uid="{00000000-0005-0000-0000-0000362F0000}"/>
    <cellStyle name="Normal 44 2 3 2 2 3" xfId="17874" xr:uid="{00000000-0005-0000-0000-0000372F0000}"/>
    <cellStyle name="Normal 44 2 3 2 3" xfId="11660" xr:uid="{00000000-0005-0000-0000-0000382F0000}"/>
    <cellStyle name="Normal 44 2 3 2 4" xfId="17873" xr:uid="{00000000-0005-0000-0000-0000392F0000}"/>
    <cellStyle name="Normal 44 2 3 3" xfId="5512" xr:uid="{00000000-0005-0000-0000-00003A2F0000}"/>
    <cellStyle name="Normal 44 2 3 3 2" xfId="5513" xr:uid="{00000000-0005-0000-0000-00003B2F0000}"/>
    <cellStyle name="Normal 44 2 3 3 2 2" xfId="11663" xr:uid="{00000000-0005-0000-0000-00003C2F0000}"/>
    <cellStyle name="Normal 44 2 3 3 2 3" xfId="17876" xr:uid="{00000000-0005-0000-0000-00003D2F0000}"/>
    <cellStyle name="Normal 44 2 3 3 3" xfId="11662" xr:uid="{00000000-0005-0000-0000-00003E2F0000}"/>
    <cellStyle name="Normal 44 2 3 3 4" xfId="17875" xr:uid="{00000000-0005-0000-0000-00003F2F0000}"/>
    <cellStyle name="Normal 44 2 3 4" xfId="5514" xr:uid="{00000000-0005-0000-0000-0000402F0000}"/>
    <cellStyle name="Normal 44 2 3 4 2" xfId="11664" xr:uid="{00000000-0005-0000-0000-0000412F0000}"/>
    <cellStyle name="Normal 44 2 3 4 3" xfId="17877" xr:uid="{00000000-0005-0000-0000-0000422F0000}"/>
    <cellStyle name="Normal 44 2 3 5" xfId="11659" xr:uid="{00000000-0005-0000-0000-0000432F0000}"/>
    <cellStyle name="Normal 44 2 3 6" xfId="17872" xr:uid="{00000000-0005-0000-0000-0000442F0000}"/>
    <cellStyle name="Normal 44 2 4" xfId="5515" xr:uid="{00000000-0005-0000-0000-0000452F0000}"/>
    <cellStyle name="Normal 44 2 4 2" xfId="5516" xr:uid="{00000000-0005-0000-0000-0000462F0000}"/>
    <cellStyle name="Normal 44 2 4 2 2" xfId="11666" xr:uid="{00000000-0005-0000-0000-0000472F0000}"/>
    <cellStyle name="Normal 44 2 4 2 3" xfId="17879" xr:uid="{00000000-0005-0000-0000-0000482F0000}"/>
    <cellStyle name="Normal 44 2 4 3" xfId="11665" xr:uid="{00000000-0005-0000-0000-0000492F0000}"/>
    <cellStyle name="Normal 44 2 4 4" xfId="17878" xr:uid="{00000000-0005-0000-0000-00004A2F0000}"/>
    <cellStyle name="Normal 44 2 5" xfId="5517" xr:uid="{00000000-0005-0000-0000-00004B2F0000}"/>
    <cellStyle name="Normal 44 2 5 2" xfId="5518" xr:uid="{00000000-0005-0000-0000-00004C2F0000}"/>
    <cellStyle name="Normal 44 2 5 2 2" xfId="11668" xr:uid="{00000000-0005-0000-0000-00004D2F0000}"/>
    <cellStyle name="Normal 44 2 5 2 3" xfId="17881" xr:uid="{00000000-0005-0000-0000-00004E2F0000}"/>
    <cellStyle name="Normal 44 2 5 3" xfId="11667" xr:uid="{00000000-0005-0000-0000-00004F2F0000}"/>
    <cellStyle name="Normal 44 2 5 4" xfId="17880" xr:uid="{00000000-0005-0000-0000-0000502F0000}"/>
    <cellStyle name="Normal 44 2 6" xfId="5519" xr:uid="{00000000-0005-0000-0000-0000512F0000}"/>
    <cellStyle name="Normal 44 2 6 2" xfId="11669" xr:uid="{00000000-0005-0000-0000-0000522F0000}"/>
    <cellStyle name="Normal 44 2 6 3" xfId="17882" xr:uid="{00000000-0005-0000-0000-0000532F0000}"/>
    <cellStyle name="Normal 44 2 7" xfId="11646" xr:uid="{00000000-0005-0000-0000-0000542F0000}"/>
    <cellStyle name="Normal 44 2 8" xfId="17859" xr:uid="{00000000-0005-0000-0000-0000552F0000}"/>
    <cellStyle name="Normal 44 3" xfId="5520" xr:uid="{00000000-0005-0000-0000-0000562F0000}"/>
    <cellStyle name="Normal 44 3 2" xfId="5521" xr:uid="{00000000-0005-0000-0000-0000572F0000}"/>
    <cellStyle name="Normal 44 3 2 2" xfId="5522" xr:uid="{00000000-0005-0000-0000-0000582F0000}"/>
    <cellStyle name="Normal 44 3 2 2 2" xfId="5523" xr:uid="{00000000-0005-0000-0000-0000592F0000}"/>
    <cellStyle name="Normal 44 3 2 2 2 2" xfId="11673" xr:uid="{00000000-0005-0000-0000-00005A2F0000}"/>
    <cellStyle name="Normal 44 3 2 2 2 3" xfId="17886" xr:uid="{00000000-0005-0000-0000-00005B2F0000}"/>
    <cellStyle name="Normal 44 3 2 2 3" xfId="11672" xr:uid="{00000000-0005-0000-0000-00005C2F0000}"/>
    <cellStyle name="Normal 44 3 2 2 4" xfId="17885" xr:uid="{00000000-0005-0000-0000-00005D2F0000}"/>
    <cellStyle name="Normal 44 3 2 3" xfId="5524" xr:uid="{00000000-0005-0000-0000-00005E2F0000}"/>
    <cellStyle name="Normal 44 3 2 3 2" xfId="5525" xr:uid="{00000000-0005-0000-0000-00005F2F0000}"/>
    <cellStyle name="Normal 44 3 2 3 2 2" xfId="11675" xr:uid="{00000000-0005-0000-0000-0000602F0000}"/>
    <cellStyle name="Normal 44 3 2 3 2 3" xfId="17888" xr:uid="{00000000-0005-0000-0000-0000612F0000}"/>
    <cellStyle name="Normal 44 3 2 3 3" xfId="11674" xr:uid="{00000000-0005-0000-0000-0000622F0000}"/>
    <cellStyle name="Normal 44 3 2 3 4" xfId="17887" xr:uid="{00000000-0005-0000-0000-0000632F0000}"/>
    <cellStyle name="Normal 44 3 2 4" xfId="5526" xr:uid="{00000000-0005-0000-0000-0000642F0000}"/>
    <cellStyle name="Normal 44 3 2 4 2" xfId="11676" xr:uid="{00000000-0005-0000-0000-0000652F0000}"/>
    <cellStyle name="Normal 44 3 2 4 3" xfId="17889" xr:uid="{00000000-0005-0000-0000-0000662F0000}"/>
    <cellStyle name="Normal 44 3 2 5" xfId="11671" xr:uid="{00000000-0005-0000-0000-0000672F0000}"/>
    <cellStyle name="Normal 44 3 2 6" xfId="17884" xr:uid="{00000000-0005-0000-0000-0000682F0000}"/>
    <cellStyle name="Normal 44 3 3" xfId="5527" xr:uid="{00000000-0005-0000-0000-0000692F0000}"/>
    <cellStyle name="Normal 44 3 3 2" xfId="5528" xr:uid="{00000000-0005-0000-0000-00006A2F0000}"/>
    <cellStyle name="Normal 44 3 3 2 2" xfId="11678" xr:uid="{00000000-0005-0000-0000-00006B2F0000}"/>
    <cellStyle name="Normal 44 3 3 2 3" xfId="17891" xr:uid="{00000000-0005-0000-0000-00006C2F0000}"/>
    <cellStyle name="Normal 44 3 3 3" xfId="11677" xr:uid="{00000000-0005-0000-0000-00006D2F0000}"/>
    <cellStyle name="Normal 44 3 3 4" xfId="17890" xr:uid="{00000000-0005-0000-0000-00006E2F0000}"/>
    <cellStyle name="Normal 44 3 4" xfId="5529" xr:uid="{00000000-0005-0000-0000-00006F2F0000}"/>
    <cellStyle name="Normal 44 3 4 2" xfId="5530" xr:uid="{00000000-0005-0000-0000-0000702F0000}"/>
    <cellStyle name="Normal 44 3 4 2 2" xfId="11680" xr:uid="{00000000-0005-0000-0000-0000712F0000}"/>
    <cellStyle name="Normal 44 3 4 2 3" xfId="17893" xr:uid="{00000000-0005-0000-0000-0000722F0000}"/>
    <cellStyle name="Normal 44 3 4 3" xfId="11679" xr:uid="{00000000-0005-0000-0000-0000732F0000}"/>
    <cellStyle name="Normal 44 3 4 4" xfId="17892" xr:uid="{00000000-0005-0000-0000-0000742F0000}"/>
    <cellStyle name="Normal 44 3 5" xfId="5531" xr:uid="{00000000-0005-0000-0000-0000752F0000}"/>
    <cellStyle name="Normal 44 3 5 2" xfId="11681" xr:uid="{00000000-0005-0000-0000-0000762F0000}"/>
    <cellStyle name="Normal 44 3 5 3" xfId="17894" xr:uid="{00000000-0005-0000-0000-0000772F0000}"/>
    <cellStyle name="Normal 44 3 6" xfId="11670" xr:uid="{00000000-0005-0000-0000-0000782F0000}"/>
    <cellStyle name="Normal 44 3 7" xfId="17883" xr:uid="{00000000-0005-0000-0000-0000792F0000}"/>
    <cellStyle name="Normal 44 4" xfId="5532" xr:uid="{00000000-0005-0000-0000-00007A2F0000}"/>
    <cellStyle name="Normal 44 4 2" xfId="5533" xr:uid="{00000000-0005-0000-0000-00007B2F0000}"/>
    <cellStyle name="Normal 44 4 2 2" xfId="5534" xr:uid="{00000000-0005-0000-0000-00007C2F0000}"/>
    <cellStyle name="Normal 44 4 2 2 2" xfId="11684" xr:uid="{00000000-0005-0000-0000-00007D2F0000}"/>
    <cellStyle name="Normal 44 4 2 2 3" xfId="17897" xr:uid="{00000000-0005-0000-0000-00007E2F0000}"/>
    <cellStyle name="Normal 44 4 2 3" xfId="11683" xr:uid="{00000000-0005-0000-0000-00007F2F0000}"/>
    <cellStyle name="Normal 44 4 2 4" xfId="17896" xr:uid="{00000000-0005-0000-0000-0000802F0000}"/>
    <cellStyle name="Normal 44 4 3" xfId="5535" xr:uid="{00000000-0005-0000-0000-0000812F0000}"/>
    <cellStyle name="Normal 44 4 3 2" xfId="5536" xr:uid="{00000000-0005-0000-0000-0000822F0000}"/>
    <cellStyle name="Normal 44 4 3 2 2" xfId="11686" xr:uid="{00000000-0005-0000-0000-0000832F0000}"/>
    <cellStyle name="Normal 44 4 3 2 3" xfId="17899" xr:uid="{00000000-0005-0000-0000-0000842F0000}"/>
    <cellStyle name="Normal 44 4 3 3" xfId="11685" xr:uid="{00000000-0005-0000-0000-0000852F0000}"/>
    <cellStyle name="Normal 44 4 3 4" xfId="17898" xr:uid="{00000000-0005-0000-0000-0000862F0000}"/>
    <cellStyle name="Normal 44 4 4" xfId="5537" xr:uid="{00000000-0005-0000-0000-0000872F0000}"/>
    <cellStyle name="Normal 44 4 4 2" xfId="11687" xr:uid="{00000000-0005-0000-0000-0000882F0000}"/>
    <cellStyle name="Normal 44 4 4 3" xfId="17900" xr:uid="{00000000-0005-0000-0000-0000892F0000}"/>
    <cellStyle name="Normal 44 4 5" xfId="11682" xr:uid="{00000000-0005-0000-0000-00008A2F0000}"/>
    <cellStyle name="Normal 44 4 6" xfId="17895" xr:uid="{00000000-0005-0000-0000-00008B2F0000}"/>
    <cellStyle name="Normal 44 5" xfId="5538" xr:uid="{00000000-0005-0000-0000-00008C2F0000}"/>
    <cellStyle name="Normal 44 5 2" xfId="5539" xr:uid="{00000000-0005-0000-0000-00008D2F0000}"/>
    <cellStyle name="Normal 44 5 2 2" xfId="11689" xr:uid="{00000000-0005-0000-0000-00008E2F0000}"/>
    <cellStyle name="Normal 44 5 2 3" xfId="17902" xr:uid="{00000000-0005-0000-0000-00008F2F0000}"/>
    <cellStyle name="Normal 44 5 3" xfId="11688" xr:uid="{00000000-0005-0000-0000-0000902F0000}"/>
    <cellStyle name="Normal 44 5 4" xfId="17901" xr:uid="{00000000-0005-0000-0000-0000912F0000}"/>
    <cellStyle name="Normal 44 6" xfId="5540" xr:uid="{00000000-0005-0000-0000-0000922F0000}"/>
    <cellStyle name="Normal 44 6 2" xfId="5541" xr:uid="{00000000-0005-0000-0000-0000932F0000}"/>
    <cellStyle name="Normal 44 6 2 2" xfId="11691" xr:uid="{00000000-0005-0000-0000-0000942F0000}"/>
    <cellStyle name="Normal 44 6 2 3" xfId="17904" xr:uid="{00000000-0005-0000-0000-0000952F0000}"/>
    <cellStyle name="Normal 44 6 3" xfId="11690" xr:uid="{00000000-0005-0000-0000-0000962F0000}"/>
    <cellStyle name="Normal 44 6 4" xfId="17903" xr:uid="{00000000-0005-0000-0000-0000972F0000}"/>
    <cellStyle name="Normal 44 7" xfId="5542" xr:uid="{00000000-0005-0000-0000-0000982F0000}"/>
    <cellStyle name="Normal 44 7 2" xfId="11692" xr:uid="{00000000-0005-0000-0000-0000992F0000}"/>
    <cellStyle name="Normal 44 7 3" xfId="17905" xr:uid="{00000000-0005-0000-0000-00009A2F0000}"/>
    <cellStyle name="Normal 44 8" xfId="5543" xr:uid="{00000000-0005-0000-0000-00009B2F0000}"/>
    <cellStyle name="Normal 44 8 2" xfId="17906" xr:uid="{00000000-0005-0000-0000-00009C2F0000}"/>
    <cellStyle name="Normal 44 9" xfId="11645" xr:uid="{00000000-0005-0000-0000-00009D2F0000}"/>
    <cellStyle name="Normal 45" xfId="5544" xr:uid="{00000000-0005-0000-0000-00009E2F0000}"/>
    <cellStyle name="Normal 45 2" xfId="5545" xr:uid="{00000000-0005-0000-0000-00009F2F0000}"/>
    <cellStyle name="Normal 45 2 2" xfId="5546" xr:uid="{00000000-0005-0000-0000-0000A02F0000}"/>
    <cellStyle name="Normal 45 2 2 2" xfId="5547" xr:uid="{00000000-0005-0000-0000-0000A12F0000}"/>
    <cellStyle name="Normal 45 2 2 2 2" xfId="5548" xr:uid="{00000000-0005-0000-0000-0000A22F0000}"/>
    <cellStyle name="Normal 45 2 2 2 2 2" xfId="5549" xr:uid="{00000000-0005-0000-0000-0000A32F0000}"/>
    <cellStyle name="Normal 45 2 2 2 2 2 2" xfId="11698" xr:uid="{00000000-0005-0000-0000-0000A42F0000}"/>
    <cellStyle name="Normal 45 2 2 2 2 2 3" xfId="17912" xr:uid="{00000000-0005-0000-0000-0000A52F0000}"/>
    <cellStyle name="Normal 45 2 2 2 2 3" xfId="11697" xr:uid="{00000000-0005-0000-0000-0000A62F0000}"/>
    <cellStyle name="Normal 45 2 2 2 2 4" xfId="17911" xr:uid="{00000000-0005-0000-0000-0000A72F0000}"/>
    <cellStyle name="Normal 45 2 2 2 3" xfId="5550" xr:uid="{00000000-0005-0000-0000-0000A82F0000}"/>
    <cellStyle name="Normal 45 2 2 2 3 2" xfId="5551" xr:uid="{00000000-0005-0000-0000-0000A92F0000}"/>
    <cellStyle name="Normal 45 2 2 2 3 2 2" xfId="11700" xr:uid="{00000000-0005-0000-0000-0000AA2F0000}"/>
    <cellStyle name="Normal 45 2 2 2 3 2 3" xfId="17914" xr:uid="{00000000-0005-0000-0000-0000AB2F0000}"/>
    <cellStyle name="Normal 45 2 2 2 3 3" xfId="11699" xr:uid="{00000000-0005-0000-0000-0000AC2F0000}"/>
    <cellStyle name="Normal 45 2 2 2 3 4" xfId="17913" xr:uid="{00000000-0005-0000-0000-0000AD2F0000}"/>
    <cellStyle name="Normal 45 2 2 2 4" xfId="5552" xr:uid="{00000000-0005-0000-0000-0000AE2F0000}"/>
    <cellStyle name="Normal 45 2 2 2 4 2" xfId="11701" xr:uid="{00000000-0005-0000-0000-0000AF2F0000}"/>
    <cellStyle name="Normal 45 2 2 2 4 3" xfId="17915" xr:uid="{00000000-0005-0000-0000-0000B02F0000}"/>
    <cellStyle name="Normal 45 2 2 2 5" xfId="11696" xr:uid="{00000000-0005-0000-0000-0000B12F0000}"/>
    <cellStyle name="Normal 45 2 2 2 6" xfId="17910" xr:uid="{00000000-0005-0000-0000-0000B22F0000}"/>
    <cellStyle name="Normal 45 2 2 3" xfId="5553" xr:uid="{00000000-0005-0000-0000-0000B32F0000}"/>
    <cellStyle name="Normal 45 2 2 3 2" xfId="5554" xr:uid="{00000000-0005-0000-0000-0000B42F0000}"/>
    <cellStyle name="Normal 45 2 2 3 2 2" xfId="11703" xr:uid="{00000000-0005-0000-0000-0000B52F0000}"/>
    <cellStyle name="Normal 45 2 2 3 2 3" xfId="17917" xr:uid="{00000000-0005-0000-0000-0000B62F0000}"/>
    <cellStyle name="Normal 45 2 2 3 3" xfId="11702" xr:uid="{00000000-0005-0000-0000-0000B72F0000}"/>
    <cellStyle name="Normal 45 2 2 3 4" xfId="17916" xr:uid="{00000000-0005-0000-0000-0000B82F0000}"/>
    <cellStyle name="Normal 45 2 2 4" xfId="5555" xr:uid="{00000000-0005-0000-0000-0000B92F0000}"/>
    <cellStyle name="Normal 45 2 2 4 2" xfId="5556" xr:uid="{00000000-0005-0000-0000-0000BA2F0000}"/>
    <cellStyle name="Normal 45 2 2 4 2 2" xfId="11705" xr:uid="{00000000-0005-0000-0000-0000BB2F0000}"/>
    <cellStyle name="Normal 45 2 2 4 2 3" xfId="17919" xr:uid="{00000000-0005-0000-0000-0000BC2F0000}"/>
    <cellStyle name="Normal 45 2 2 4 3" xfId="11704" xr:uid="{00000000-0005-0000-0000-0000BD2F0000}"/>
    <cellStyle name="Normal 45 2 2 4 4" xfId="17918" xr:uid="{00000000-0005-0000-0000-0000BE2F0000}"/>
    <cellStyle name="Normal 45 2 2 5" xfId="5557" xr:uid="{00000000-0005-0000-0000-0000BF2F0000}"/>
    <cellStyle name="Normal 45 2 2 5 2" xfId="11706" xr:uid="{00000000-0005-0000-0000-0000C02F0000}"/>
    <cellStyle name="Normal 45 2 2 5 3" xfId="17920" xr:uid="{00000000-0005-0000-0000-0000C12F0000}"/>
    <cellStyle name="Normal 45 2 2 6" xfId="11695" xr:uid="{00000000-0005-0000-0000-0000C22F0000}"/>
    <cellStyle name="Normal 45 2 2 7" xfId="17909" xr:uid="{00000000-0005-0000-0000-0000C32F0000}"/>
    <cellStyle name="Normal 45 2 3" xfId="5558" xr:uid="{00000000-0005-0000-0000-0000C42F0000}"/>
    <cellStyle name="Normal 45 2 3 2" xfId="5559" xr:uid="{00000000-0005-0000-0000-0000C52F0000}"/>
    <cellStyle name="Normal 45 2 3 2 2" xfId="5560" xr:uid="{00000000-0005-0000-0000-0000C62F0000}"/>
    <cellStyle name="Normal 45 2 3 2 2 2" xfId="11709" xr:uid="{00000000-0005-0000-0000-0000C72F0000}"/>
    <cellStyle name="Normal 45 2 3 2 2 3" xfId="17923" xr:uid="{00000000-0005-0000-0000-0000C82F0000}"/>
    <cellStyle name="Normal 45 2 3 2 3" xfId="11708" xr:uid="{00000000-0005-0000-0000-0000C92F0000}"/>
    <cellStyle name="Normal 45 2 3 2 4" xfId="17922" xr:uid="{00000000-0005-0000-0000-0000CA2F0000}"/>
    <cellStyle name="Normal 45 2 3 3" xfId="5561" xr:uid="{00000000-0005-0000-0000-0000CB2F0000}"/>
    <cellStyle name="Normal 45 2 3 3 2" xfId="5562" xr:uid="{00000000-0005-0000-0000-0000CC2F0000}"/>
    <cellStyle name="Normal 45 2 3 3 2 2" xfId="11711" xr:uid="{00000000-0005-0000-0000-0000CD2F0000}"/>
    <cellStyle name="Normal 45 2 3 3 2 3" xfId="17925" xr:uid="{00000000-0005-0000-0000-0000CE2F0000}"/>
    <cellStyle name="Normal 45 2 3 3 3" xfId="11710" xr:uid="{00000000-0005-0000-0000-0000CF2F0000}"/>
    <cellStyle name="Normal 45 2 3 3 4" xfId="17924" xr:uid="{00000000-0005-0000-0000-0000D02F0000}"/>
    <cellStyle name="Normal 45 2 3 4" xfId="5563" xr:uid="{00000000-0005-0000-0000-0000D12F0000}"/>
    <cellStyle name="Normal 45 2 3 4 2" xfId="11712" xr:uid="{00000000-0005-0000-0000-0000D22F0000}"/>
    <cellStyle name="Normal 45 2 3 4 3" xfId="17926" xr:uid="{00000000-0005-0000-0000-0000D32F0000}"/>
    <cellStyle name="Normal 45 2 3 5" xfId="11707" xr:uid="{00000000-0005-0000-0000-0000D42F0000}"/>
    <cellStyle name="Normal 45 2 3 6" xfId="17921" xr:uid="{00000000-0005-0000-0000-0000D52F0000}"/>
    <cellStyle name="Normal 45 2 4" xfId="5564" xr:uid="{00000000-0005-0000-0000-0000D62F0000}"/>
    <cellStyle name="Normal 45 2 4 2" xfId="5565" xr:uid="{00000000-0005-0000-0000-0000D72F0000}"/>
    <cellStyle name="Normal 45 2 4 2 2" xfId="11714" xr:uid="{00000000-0005-0000-0000-0000D82F0000}"/>
    <cellStyle name="Normal 45 2 4 2 3" xfId="17928" xr:uid="{00000000-0005-0000-0000-0000D92F0000}"/>
    <cellStyle name="Normal 45 2 4 3" xfId="11713" xr:uid="{00000000-0005-0000-0000-0000DA2F0000}"/>
    <cellStyle name="Normal 45 2 4 4" xfId="17927" xr:uid="{00000000-0005-0000-0000-0000DB2F0000}"/>
    <cellStyle name="Normal 45 2 5" xfId="5566" xr:uid="{00000000-0005-0000-0000-0000DC2F0000}"/>
    <cellStyle name="Normal 45 2 5 2" xfId="5567" xr:uid="{00000000-0005-0000-0000-0000DD2F0000}"/>
    <cellStyle name="Normal 45 2 5 2 2" xfId="11716" xr:uid="{00000000-0005-0000-0000-0000DE2F0000}"/>
    <cellStyle name="Normal 45 2 5 2 3" xfId="17930" xr:uid="{00000000-0005-0000-0000-0000DF2F0000}"/>
    <cellStyle name="Normal 45 2 5 3" xfId="11715" xr:uid="{00000000-0005-0000-0000-0000E02F0000}"/>
    <cellStyle name="Normal 45 2 5 4" xfId="17929" xr:uid="{00000000-0005-0000-0000-0000E12F0000}"/>
    <cellStyle name="Normal 45 2 6" xfId="5568" xr:uid="{00000000-0005-0000-0000-0000E22F0000}"/>
    <cellStyle name="Normal 45 2 6 2" xfId="11717" xr:uid="{00000000-0005-0000-0000-0000E32F0000}"/>
    <cellStyle name="Normal 45 2 6 3" xfId="17931" xr:uid="{00000000-0005-0000-0000-0000E42F0000}"/>
    <cellStyle name="Normal 45 2 7" xfId="11694" xr:uid="{00000000-0005-0000-0000-0000E52F0000}"/>
    <cellStyle name="Normal 45 2 8" xfId="17908" xr:uid="{00000000-0005-0000-0000-0000E62F0000}"/>
    <cellStyle name="Normal 45 3" xfId="5569" xr:uid="{00000000-0005-0000-0000-0000E72F0000}"/>
    <cellStyle name="Normal 45 3 2" xfId="11718" xr:uid="{00000000-0005-0000-0000-0000E82F0000}"/>
    <cellStyle name="Normal 45 3 3" xfId="17932" xr:uid="{00000000-0005-0000-0000-0000E92F0000}"/>
    <cellStyle name="Normal 45 4" xfId="5570" xr:uid="{00000000-0005-0000-0000-0000EA2F0000}"/>
    <cellStyle name="Normal 45 4 2" xfId="17933" xr:uid="{00000000-0005-0000-0000-0000EB2F0000}"/>
    <cellStyle name="Normal 45 5" xfId="11693" xr:uid="{00000000-0005-0000-0000-0000EC2F0000}"/>
    <cellStyle name="Normal 45 6" xfId="17907" xr:uid="{00000000-0005-0000-0000-0000ED2F0000}"/>
    <cellStyle name="Normal 46" xfId="5571" xr:uid="{00000000-0005-0000-0000-0000EE2F0000}"/>
    <cellStyle name="Normal 46 2" xfId="5572" xr:uid="{00000000-0005-0000-0000-0000EF2F0000}"/>
    <cellStyle name="Normal 46 2 2" xfId="5573" xr:uid="{00000000-0005-0000-0000-0000F02F0000}"/>
    <cellStyle name="Normal 46 2 2 2" xfId="5574" xr:uid="{00000000-0005-0000-0000-0000F12F0000}"/>
    <cellStyle name="Normal 46 2 2 2 2" xfId="5575" xr:uid="{00000000-0005-0000-0000-0000F22F0000}"/>
    <cellStyle name="Normal 46 2 2 2 2 2" xfId="5576" xr:uid="{00000000-0005-0000-0000-0000F32F0000}"/>
    <cellStyle name="Normal 46 2 2 2 2 2 2" xfId="11724" xr:uid="{00000000-0005-0000-0000-0000F42F0000}"/>
    <cellStyle name="Normal 46 2 2 2 2 2 3" xfId="17939" xr:uid="{00000000-0005-0000-0000-0000F52F0000}"/>
    <cellStyle name="Normal 46 2 2 2 2 3" xfId="11723" xr:uid="{00000000-0005-0000-0000-0000F62F0000}"/>
    <cellStyle name="Normal 46 2 2 2 2 4" xfId="17938" xr:uid="{00000000-0005-0000-0000-0000F72F0000}"/>
    <cellStyle name="Normal 46 2 2 2 3" xfId="5577" xr:uid="{00000000-0005-0000-0000-0000F82F0000}"/>
    <cellStyle name="Normal 46 2 2 2 3 2" xfId="5578" xr:uid="{00000000-0005-0000-0000-0000F92F0000}"/>
    <cellStyle name="Normal 46 2 2 2 3 2 2" xfId="11726" xr:uid="{00000000-0005-0000-0000-0000FA2F0000}"/>
    <cellStyle name="Normal 46 2 2 2 3 2 3" xfId="17941" xr:uid="{00000000-0005-0000-0000-0000FB2F0000}"/>
    <cellStyle name="Normal 46 2 2 2 3 3" xfId="11725" xr:uid="{00000000-0005-0000-0000-0000FC2F0000}"/>
    <cellStyle name="Normal 46 2 2 2 3 4" xfId="17940" xr:uid="{00000000-0005-0000-0000-0000FD2F0000}"/>
    <cellStyle name="Normal 46 2 2 2 4" xfId="5579" xr:uid="{00000000-0005-0000-0000-0000FE2F0000}"/>
    <cellStyle name="Normal 46 2 2 2 4 2" xfId="11727" xr:uid="{00000000-0005-0000-0000-0000FF2F0000}"/>
    <cellStyle name="Normal 46 2 2 2 4 3" xfId="17942" xr:uid="{00000000-0005-0000-0000-000000300000}"/>
    <cellStyle name="Normal 46 2 2 2 5" xfId="11722" xr:uid="{00000000-0005-0000-0000-000001300000}"/>
    <cellStyle name="Normal 46 2 2 2 6" xfId="17937" xr:uid="{00000000-0005-0000-0000-000002300000}"/>
    <cellStyle name="Normal 46 2 2 3" xfId="5580" xr:uid="{00000000-0005-0000-0000-000003300000}"/>
    <cellStyle name="Normal 46 2 2 3 2" xfId="5581" xr:uid="{00000000-0005-0000-0000-000004300000}"/>
    <cellStyle name="Normal 46 2 2 3 2 2" xfId="11729" xr:uid="{00000000-0005-0000-0000-000005300000}"/>
    <cellStyle name="Normal 46 2 2 3 2 3" xfId="17944" xr:uid="{00000000-0005-0000-0000-000006300000}"/>
    <cellStyle name="Normal 46 2 2 3 3" xfId="11728" xr:uid="{00000000-0005-0000-0000-000007300000}"/>
    <cellStyle name="Normal 46 2 2 3 4" xfId="17943" xr:uid="{00000000-0005-0000-0000-000008300000}"/>
    <cellStyle name="Normal 46 2 2 4" xfId="5582" xr:uid="{00000000-0005-0000-0000-000009300000}"/>
    <cellStyle name="Normal 46 2 2 4 2" xfId="5583" xr:uid="{00000000-0005-0000-0000-00000A300000}"/>
    <cellStyle name="Normal 46 2 2 4 2 2" xfId="11731" xr:uid="{00000000-0005-0000-0000-00000B300000}"/>
    <cellStyle name="Normal 46 2 2 4 2 3" xfId="17946" xr:uid="{00000000-0005-0000-0000-00000C300000}"/>
    <cellStyle name="Normal 46 2 2 4 3" xfId="11730" xr:uid="{00000000-0005-0000-0000-00000D300000}"/>
    <cellStyle name="Normal 46 2 2 4 4" xfId="17945" xr:uid="{00000000-0005-0000-0000-00000E300000}"/>
    <cellStyle name="Normal 46 2 2 5" xfId="5584" xr:uid="{00000000-0005-0000-0000-00000F300000}"/>
    <cellStyle name="Normal 46 2 2 5 2" xfId="11732" xr:uid="{00000000-0005-0000-0000-000010300000}"/>
    <cellStyle name="Normal 46 2 2 5 3" xfId="17947" xr:uid="{00000000-0005-0000-0000-000011300000}"/>
    <cellStyle name="Normal 46 2 2 6" xfId="11721" xr:uid="{00000000-0005-0000-0000-000012300000}"/>
    <cellStyle name="Normal 46 2 2 7" xfId="17936" xr:uid="{00000000-0005-0000-0000-000013300000}"/>
    <cellStyle name="Normal 46 2 3" xfId="5585" xr:uid="{00000000-0005-0000-0000-000014300000}"/>
    <cellStyle name="Normal 46 2 3 2" xfId="5586" xr:uid="{00000000-0005-0000-0000-000015300000}"/>
    <cellStyle name="Normal 46 2 3 2 2" xfId="5587" xr:uid="{00000000-0005-0000-0000-000016300000}"/>
    <cellStyle name="Normal 46 2 3 2 2 2" xfId="11735" xr:uid="{00000000-0005-0000-0000-000017300000}"/>
    <cellStyle name="Normal 46 2 3 2 2 3" xfId="17950" xr:uid="{00000000-0005-0000-0000-000018300000}"/>
    <cellStyle name="Normal 46 2 3 2 3" xfId="11734" xr:uid="{00000000-0005-0000-0000-000019300000}"/>
    <cellStyle name="Normal 46 2 3 2 4" xfId="17949" xr:uid="{00000000-0005-0000-0000-00001A300000}"/>
    <cellStyle name="Normal 46 2 3 3" xfId="5588" xr:uid="{00000000-0005-0000-0000-00001B300000}"/>
    <cellStyle name="Normal 46 2 3 3 2" xfId="5589" xr:uid="{00000000-0005-0000-0000-00001C300000}"/>
    <cellStyle name="Normal 46 2 3 3 2 2" xfId="11737" xr:uid="{00000000-0005-0000-0000-00001D300000}"/>
    <cellStyle name="Normal 46 2 3 3 2 3" xfId="17952" xr:uid="{00000000-0005-0000-0000-00001E300000}"/>
    <cellStyle name="Normal 46 2 3 3 3" xfId="11736" xr:uid="{00000000-0005-0000-0000-00001F300000}"/>
    <cellStyle name="Normal 46 2 3 3 4" xfId="17951" xr:uid="{00000000-0005-0000-0000-000020300000}"/>
    <cellStyle name="Normal 46 2 3 4" xfId="5590" xr:uid="{00000000-0005-0000-0000-000021300000}"/>
    <cellStyle name="Normal 46 2 3 4 2" xfId="11738" xr:uid="{00000000-0005-0000-0000-000022300000}"/>
    <cellStyle name="Normal 46 2 3 4 3" xfId="17953" xr:uid="{00000000-0005-0000-0000-000023300000}"/>
    <cellStyle name="Normal 46 2 3 5" xfId="11733" xr:uid="{00000000-0005-0000-0000-000024300000}"/>
    <cellStyle name="Normal 46 2 3 6" xfId="17948" xr:uid="{00000000-0005-0000-0000-000025300000}"/>
    <cellStyle name="Normal 46 2 4" xfId="5591" xr:uid="{00000000-0005-0000-0000-000026300000}"/>
    <cellStyle name="Normal 46 2 4 2" xfId="5592" xr:uid="{00000000-0005-0000-0000-000027300000}"/>
    <cellStyle name="Normal 46 2 4 2 2" xfId="11740" xr:uid="{00000000-0005-0000-0000-000028300000}"/>
    <cellStyle name="Normal 46 2 4 2 3" xfId="17955" xr:uid="{00000000-0005-0000-0000-000029300000}"/>
    <cellStyle name="Normal 46 2 4 3" xfId="11739" xr:uid="{00000000-0005-0000-0000-00002A300000}"/>
    <cellStyle name="Normal 46 2 4 4" xfId="17954" xr:uid="{00000000-0005-0000-0000-00002B300000}"/>
    <cellStyle name="Normal 46 2 5" xfId="5593" xr:uid="{00000000-0005-0000-0000-00002C300000}"/>
    <cellStyle name="Normal 46 2 5 2" xfId="5594" xr:uid="{00000000-0005-0000-0000-00002D300000}"/>
    <cellStyle name="Normal 46 2 5 2 2" xfId="11742" xr:uid="{00000000-0005-0000-0000-00002E300000}"/>
    <cellStyle name="Normal 46 2 5 2 3" xfId="17957" xr:uid="{00000000-0005-0000-0000-00002F300000}"/>
    <cellStyle name="Normal 46 2 5 3" xfId="11741" xr:uid="{00000000-0005-0000-0000-000030300000}"/>
    <cellStyle name="Normal 46 2 5 4" xfId="17956" xr:uid="{00000000-0005-0000-0000-000031300000}"/>
    <cellStyle name="Normal 46 2 6" xfId="5595" xr:uid="{00000000-0005-0000-0000-000032300000}"/>
    <cellStyle name="Normal 46 2 6 2" xfId="11743" xr:uid="{00000000-0005-0000-0000-000033300000}"/>
    <cellStyle name="Normal 46 2 6 3" xfId="17958" xr:uid="{00000000-0005-0000-0000-000034300000}"/>
    <cellStyle name="Normal 46 2 7" xfId="11720" xr:uid="{00000000-0005-0000-0000-000035300000}"/>
    <cellStyle name="Normal 46 2 8" xfId="17935" xr:uid="{00000000-0005-0000-0000-000036300000}"/>
    <cellStyle name="Normal 46 3" xfId="5596" xr:uid="{00000000-0005-0000-0000-000037300000}"/>
    <cellStyle name="Normal 46 3 2" xfId="11744" xr:uid="{00000000-0005-0000-0000-000038300000}"/>
    <cellStyle name="Normal 46 3 3" xfId="17959" xr:uid="{00000000-0005-0000-0000-000039300000}"/>
    <cellStyle name="Normal 46 4" xfId="5597" xr:uid="{00000000-0005-0000-0000-00003A300000}"/>
    <cellStyle name="Normal 46 4 2" xfId="17960" xr:uid="{00000000-0005-0000-0000-00003B300000}"/>
    <cellStyle name="Normal 46 5" xfId="11719" xr:uid="{00000000-0005-0000-0000-00003C300000}"/>
    <cellStyle name="Normal 46 6" xfId="17934" xr:uid="{00000000-0005-0000-0000-00003D300000}"/>
    <cellStyle name="Normal 47" xfId="5598" xr:uid="{00000000-0005-0000-0000-00003E300000}"/>
    <cellStyle name="Normal 47 2" xfId="5599" xr:uid="{00000000-0005-0000-0000-00003F300000}"/>
    <cellStyle name="Normal 47 2 2" xfId="5600" xr:uid="{00000000-0005-0000-0000-000040300000}"/>
    <cellStyle name="Normal 47 2 2 2" xfId="5601" xr:uid="{00000000-0005-0000-0000-000041300000}"/>
    <cellStyle name="Normal 47 2 2 2 2" xfId="5602" xr:uid="{00000000-0005-0000-0000-000042300000}"/>
    <cellStyle name="Normal 47 2 2 2 2 2" xfId="5603" xr:uid="{00000000-0005-0000-0000-000043300000}"/>
    <cellStyle name="Normal 47 2 2 2 2 2 2" xfId="11750" xr:uid="{00000000-0005-0000-0000-000044300000}"/>
    <cellStyle name="Normal 47 2 2 2 2 2 3" xfId="17966" xr:uid="{00000000-0005-0000-0000-000045300000}"/>
    <cellStyle name="Normal 47 2 2 2 2 3" xfId="11749" xr:uid="{00000000-0005-0000-0000-000046300000}"/>
    <cellStyle name="Normal 47 2 2 2 2 4" xfId="17965" xr:uid="{00000000-0005-0000-0000-000047300000}"/>
    <cellStyle name="Normal 47 2 2 2 3" xfId="5604" xr:uid="{00000000-0005-0000-0000-000048300000}"/>
    <cellStyle name="Normal 47 2 2 2 3 2" xfId="5605" xr:uid="{00000000-0005-0000-0000-000049300000}"/>
    <cellStyle name="Normal 47 2 2 2 3 2 2" xfId="11752" xr:uid="{00000000-0005-0000-0000-00004A300000}"/>
    <cellStyle name="Normal 47 2 2 2 3 2 3" xfId="17968" xr:uid="{00000000-0005-0000-0000-00004B300000}"/>
    <cellStyle name="Normal 47 2 2 2 3 3" xfId="11751" xr:uid="{00000000-0005-0000-0000-00004C300000}"/>
    <cellStyle name="Normal 47 2 2 2 3 4" xfId="17967" xr:uid="{00000000-0005-0000-0000-00004D300000}"/>
    <cellStyle name="Normal 47 2 2 2 4" xfId="5606" xr:uid="{00000000-0005-0000-0000-00004E300000}"/>
    <cellStyle name="Normal 47 2 2 2 4 2" xfId="11753" xr:uid="{00000000-0005-0000-0000-00004F300000}"/>
    <cellStyle name="Normal 47 2 2 2 4 3" xfId="17969" xr:uid="{00000000-0005-0000-0000-000050300000}"/>
    <cellStyle name="Normal 47 2 2 2 5" xfId="11748" xr:uid="{00000000-0005-0000-0000-000051300000}"/>
    <cellStyle name="Normal 47 2 2 2 6" xfId="17964" xr:uid="{00000000-0005-0000-0000-000052300000}"/>
    <cellStyle name="Normal 47 2 2 3" xfId="5607" xr:uid="{00000000-0005-0000-0000-000053300000}"/>
    <cellStyle name="Normal 47 2 2 3 2" xfId="5608" xr:uid="{00000000-0005-0000-0000-000054300000}"/>
    <cellStyle name="Normal 47 2 2 3 2 2" xfId="11755" xr:uid="{00000000-0005-0000-0000-000055300000}"/>
    <cellStyle name="Normal 47 2 2 3 2 3" xfId="17971" xr:uid="{00000000-0005-0000-0000-000056300000}"/>
    <cellStyle name="Normal 47 2 2 3 3" xfId="11754" xr:uid="{00000000-0005-0000-0000-000057300000}"/>
    <cellStyle name="Normal 47 2 2 3 4" xfId="17970" xr:uid="{00000000-0005-0000-0000-000058300000}"/>
    <cellStyle name="Normal 47 2 2 4" xfId="5609" xr:uid="{00000000-0005-0000-0000-000059300000}"/>
    <cellStyle name="Normal 47 2 2 4 2" xfId="5610" xr:uid="{00000000-0005-0000-0000-00005A300000}"/>
    <cellStyle name="Normal 47 2 2 4 2 2" xfId="11757" xr:uid="{00000000-0005-0000-0000-00005B300000}"/>
    <cellStyle name="Normal 47 2 2 4 2 3" xfId="17973" xr:uid="{00000000-0005-0000-0000-00005C300000}"/>
    <cellStyle name="Normal 47 2 2 4 3" xfId="11756" xr:uid="{00000000-0005-0000-0000-00005D300000}"/>
    <cellStyle name="Normal 47 2 2 4 4" xfId="17972" xr:uid="{00000000-0005-0000-0000-00005E300000}"/>
    <cellStyle name="Normal 47 2 2 5" xfId="5611" xr:uid="{00000000-0005-0000-0000-00005F300000}"/>
    <cellStyle name="Normal 47 2 2 5 2" xfId="11758" xr:uid="{00000000-0005-0000-0000-000060300000}"/>
    <cellStyle name="Normal 47 2 2 5 3" xfId="17974" xr:uid="{00000000-0005-0000-0000-000061300000}"/>
    <cellStyle name="Normal 47 2 2 6" xfId="11747" xr:uid="{00000000-0005-0000-0000-000062300000}"/>
    <cellStyle name="Normal 47 2 2 7" xfId="17963" xr:uid="{00000000-0005-0000-0000-000063300000}"/>
    <cellStyle name="Normal 47 2 3" xfId="5612" xr:uid="{00000000-0005-0000-0000-000064300000}"/>
    <cellStyle name="Normal 47 2 3 2" xfId="5613" xr:uid="{00000000-0005-0000-0000-000065300000}"/>
    <cellStyle name="Normal 47 2 3 2 2" xfId="5614" xr:uid="{00000000-0005-0000-0000-000066300000}"/>
    <cellStyle name="Normal 47 2 3 2 2 2" xfId="11761" xr:uid="{00000000-0005-0000-0000-000067300000}"/>
    <cellStyle name="Normal 47 2 3 2 2 3" xfId="17977" xr:uid="{00000000-0005-0000-0000-000068300000}"/>
    <cellStyle name="Normal 47 2 3 2 3" xfId="11760" xr:uid="{00000000-0005-0000-0000-000069300000}"/>
    <cellStyle name="Normal 47 2 3 2 4" xfId="17976" xr:uid="{00000000-0005-0000-0000-00006A300000}"/>
    <cellStyle name="Normal 47 2 3 3" xfId="5615" xr:uid="{00000000-0005-0000-0000-00006B300000}"/>
    <cellStyle name="Normal 47 2 3 3 2" xfId="5616" xr:uid="{00000000-0005-0000-0000-00006C300000}"/>
    <cellStyle name="Normal 47 2 3 3 2 2" xfId="11763" xr:uid="{00000000-0005-0000-0000-00006D300000}"/>
    <cellStyle name="Normal 47 2 3 3 2 3" xfId="17979" xr:uid="{00000000-0005-0000-0000-00006E300000}"/>
    <cellStyle name="Normal 47 2 3 3 3" xfId="11762" xr:uid="{00000000-0005-0000-0000-00006F300000}"/>
    <cellStyle name="Normal 47 2 3 3 4" xfId="17978" xr:uid="{00000000-0005-0000-0000-000070300000}"/>
    <cellStyle name="Normal 47 2 3 4" xfId="5617" xr:uid="{00000000-0005-0000-0000-000071300000}"/>
    <cellStyle name="Normal 47 2 3 4 2" xfId="11764" xr:uid="{00000000-0005-0000-0000-000072300000}"/>
    <cellStyle name="Normal 47 2 3 4 3" xfId="17980" xr:uid="{00000000-0005-0000-0000-000073300000}"/>
    <cellStyle name="Normal 47 2 3 5" xfId="11759" xr:uid="{00000000-0005-0000-0000-000074300000}"/>
    <cellStyle name="Normal 47 2 3 6" xfId="17975" xr:uid="{00000000-0005-0000-0000-000075300000}"/>
    <cellStyle name="Normal 47 2 4" xfId="5618" xr:uid="{00000000-0005-0000-0000-000076300000}"/>
    <cellStyle name="Normal 47 2 4 2" xfId="5619" xr:uid="{00000000-0005-0000-0000-000077300000}"/>
    <cellStyle name="Normal 47 2 4 2 2" xfId="11766" xr:uid="{00000000-0005-0000-0000-000078300000}"/>
    <cellStyle name="Normal 47 2 4 2 3" xfId="17982" xr:uid="{00000000-0005-0000-0000-000079300000}"/>
    <cellStyle name="Normal 47 2 4 3" xfId="11765" xr:uid="{00000000-0005-0000-0000-00007A300000}"/>
    <cellStyle name="Normal 47 2 4 4" xfId="17981" xr:uid="{00000000-0005-0000-0000-00007B300000}"/>
    <cellStyle name="Normal 47 2 5" xfId="5620" xr:uid="{00000000-0005-0000-0000-00007C300000}"/>
    <cellStyle name="Normal 47 2 5 2" xfId="5621" xr:uid="{00000000-0005-0000-0000-00007D300000}"/>
    <cellStyle name="Normal 47 2 5 2 2" xfId="11768" xr:uid="{00000000-0005-0000-0000-00007E300000}"/>
    <cellStyle name="Normal 47 2 5 2 3" xfId="17984" xr:uid="{00000000-0005-0000-0000-00007F300000}"/>
    <cellStyle name="Normal 47 2 5 3" xfId="11767" xr:uid="{00000000-0005-0000-0000-000080300000}"/>
    <cellStyle name="Normal 47 2 5 4" xfId="17983" xr:uid="{00000000-0005-0000-0000-000081300000}"/>
    <cellStyle name="Normal 47 2 6" xfId="5622" xr:uid="{00000000-0005-0000-0000-000082300000}"/>
    <cellStyle name="Normal 47 2 6 2" xfId="11769" xr:uid="{00000000-0005-0000-0000-000083300000}"/>
    <cellStyle name="Normal 47 2 6 3" xfId="17985" xr:uid="{00000000-0005-0000-0000-000084300000}"/>
    <cellStyle name="Normal 47 2 7" xfId="11746" xr:uid="{00000000-0005-0000-0000-000085300000}"/>
    <cellStyle name="Normal 47 2 8" xfId="17962" xr:uid="{00000000-0005-0000-0000-000086300000}"/>
    <cellStyle name="Normal 47 3" xfId="5623" xr:uid="{00000000-0005-0000-0000-000087300000}"/>
    <cellStyle name="Normal 47 3 2" xfId="11770" xr:uid="{00000000-0005-0000-0000-000088300000}"/>
    <cellStyle name="Normal 47 3 3" xfId="17986" xr:uid="{00000000-0005-0000-0000-000089300000}"/>
    <cellStyle name="Normal 47 4" xfId="5624" xr:uid="{00000000-0005-0000-0000-00008A300000}"/>
    <cellStyle name="Normal 47 4 2" xfId="17987" xr:uid="{00000000-0005-0000-0000-00008B300000}"/>
    <cellStyle name="Normal 47 5" xfId="11745" xr:uid="{00000000-0005-0000-0000-00008C300000}"/>
    <cellStyle name="Normal 47 6" xfId="17961" xr:uid="{00000000-0005-0000-0000-00008D300000}"/>
    <cellStyle name="Normal 48" xfId="5625" xr:uid="{00000000-0005-0000-0000-00008E300000}"/>
    <cellStyle name="Normal 48 10" xfId="17988" xr:uid="{00000000-0005-0000-0000-00008F300000}"/>
    <cellStyle name="Normal 48 2" xfId="5626" xr:uid="{00000000-0005-0000-0000-000090300000}"/>
    <cellStyle name="Normal 48 2 2" xfId="5627" xr:uid="{00000000-0005-0000-0000-000091300000}"/>
    <cellStyle name="Normal 48 2 2 2" xfId="5628" xr:uid="{00000000-0005-0000-0000-000092300000}"/>
    <cellStyle name="Normal 48 2 2 2 2" xfId="5629" xr:uid="{00000000-0005-0000-0000-000093300000}"/>
    <cellStyle name="Normal 48 2 2 2 2 2" xfId="5630" xr:uid="{00000000-0005-0000-0000-000094300000}"/>
    <cellStyle name="Normal 48 2 2 2 2 2 2" xfId="11776" xr:uid="{00000000-0005-0000-0000-000095300000}"/>
    <cellStyle name="Normal 48 2 2 2 2 2 3" xfId="17993" xr:uid="{00000000-0005-0000-0000-000096300000}"/>
    <cellStyle name="Normal 48 2 2 2 2 3" xfId="11775" xr:uid="{00000000-0005-0000-0000-000097300000}"/>
    <cellStyle name="Normal 48 2 2 2 2 4" xfId="17992" xr:uid="{00000000-0005-0000-0000-000098300000}"/>
    <cellStyle name="Normal 48 2 2 2 3" xfId="5631" xr:uid="{00000000-0005-0000-0000-000099300000}"/>
    <cellStyle name="Normal 48 2 2 2 3 2" xfId="5632" xr:uid="{00000000-0005-0000-0000-00009A300000}"/>
    <cellStyle name="Normal 48 2 2 2 3 2 2" xfId="11778" xr:uid="{00000000-0005-0000-0000-00009B300000}"/>
    <cellStyle name="Normal 48 2 2 2 3 2 3" xfId="17995" xr:uid="{00000000-0005-0000-0000-00009C300000}"/>
    <cellStyle name="Normal 48 2 2 2 3 3" xfId="11777" xr:uid="{00000000-0005-0000-0000-00009D300000}"/>
    <cellStyle name="Normal 48 2 2 2 3 4" xfId="17994" xr:uid="{00000000-0005-0000-0000-00009E300000}"/>
    <cellStyle name="Normal 48 2 2 2 4" xfId="5633" xr:uid="{00000000-0005-0000-0000-00009F300000}"/>
    <cellStyle name="Normal 48 2 2 2 4 2" xfId="11779" xr:uid="{00000000-0005-0000-0000-0000A0300000}"/>
    <cellStyle name="Normal 48 2 2 2 4 3" xfId="17996" xr:uid="{00000000-0005-0000-0000-0000A1300000}"/>
    <cellStyle name="Normal 48 2 2 2 5" xfId="11774" xr:uid="{00000000-0005-0000-0000-0000A2300000}"/>
    <cellStyle name="Normal 48 2 2 2 6" xfId="17991" xr:uid="{00000000-0005-0000-0000-0000A3300000}"/>
    <cellStyle name="Normal 48 2 2 3" xfId="5634" xr:uid="{00000000-0005-0000-0000-0000A4300000}"/>
    <cellStyle name="Normal 48 2 2 3 2" xfId="5635" xr:uid="{00000000-0005-0000-0000-0000A5300000}"/>
    <cellStyle name="Normal 48 2 2 3 2 2" xfId="11781" xr:uid="{00000000-0005-0000-0000-0000A6300000}"/>
    <cellStyle name="Normal 48 2 2 3 2 3" xfId="17998" xr:uid="{00000000-0005-0000-0000-0000A7300000}"/>
    <cellStyle name="Normal 48 2 2 3 3" xfId="11780" xr:uid="{00000000-0005-0000-0000-0000A8300000}"/>
    <cellStyle name="Normal 48 2 2 3 4" xfId="17997" xr:uid="{00000000-0005-0000-0000-0000A9300000}"/>
    <cellStyle name="Normal 48 2 2 4" xfId="5636" xr:uid="{00000000-0005-0000-0000-0000AA300000}"/>
    <cellStyle name="Normal 48 2 2 4 2" xfId="5637" xr:uid="{00000000-0005-0000-0000-0000AB300000}"/>
    <cellStyle name="Normal 48 2 2 4 2 2" xfId="11783" xr:uid="{00000000-0005-0000-0000-0000AC300000}"/>
    <cellStyle name="Normal 48 2 2 4 2 3" xfId="18000" xr:uid="{00000000-0005-0000-0000-0000AD300000}"/>
    <cellStyle name="Normal 48 2 2 4 3" xfId="11782" xr:uid="{00000000-0005-0000-0000-0000AE300000}"/>
    <cellStyle name="Normal 48 2 2 4 4" xfId="17999" xr:uid="{00000000-0005-0000-0000-0000AF300000}"/>
    <cellStyle name="Normal 48 2 2 5" xfId="5638" xr:uid="{00000000-0005-0000-0000-0000B0300000}"/>
    <cellStyle name="Normal 48 2 2 5 2" xfId="11784" xr:uid="{00000000-0005-0000-0000-0000B1300000}"/>
    <cellStyle name="Normal 48 2 2 5 3" xfId="18001" xr:uid="{00000000-0005-0000-0000-0000B2300000}"/>
    <cellStyle name="Normal 48 2 2 6" xfId="11773" xr:uid="{00000000-0005-0000-0000-0000B3300000}"/>
    <cellStyle name="Normal 48 2 2 7" xfId="17990" xr:uid="{00000000-0005-0000-0000-0000B4300000}"/>
    <cellStyle name="Normal 48 2 3" xfId="5639" xr:uid="{00000000-0005-0000-0000-0000B5300000}"/>
    <cellStyle name="Normal 48 2 3 2" xfId="5640" xr:uid="{00000000-0005-0000-0000-0000B6300000}"/>
    <cellStyle name="Normal 48 2 3 2 2" xfId="5641" xr:uid="{00000000-0005-0000-0000-0000B7300000}"/>
    <cellStyle name="Normal 48 2 3 2 2 2" xfId="11787" xr:uid="{00000000-0005-0000-0000-0000B8300000}"/>
    <cellStyle name="Normal 48 2 3 2 2 3" xfId="18004" xr:uid="{00000000-0005-0000-0000-0000B9300000}"/>
    <cellStyle name="Normal 48 2 3 2 3" xfId="11786" xr:uid="{00000000-0005-0000-0000-0000BA300000}"/>
    <cellStyle name="Normal 48 2 3 2 4" xfId="18003" xr:uid="{00000000-0005-0000-0000-0000BB300000}"/>
    <cellStyle name="Normal 48 2 3 3" xfId="5642" xr:uid="{00000000-0005-0000-0000-0000BC300000}"/>
    <cellStyle name="Normal 48 2 3 3 2" xfId="5643" xr:uid="{00000000-0005-0000-0000-0000BD300000}"/>
    <cellStyle name="Normal 48 2 3 3 2 2" xfId="11789" xr:uid="{00000000-0005-0000-0000-0000BE300000}"/>
    <cellStyle name="Normal 48 2 3 3 2 3" xfId="18006" xr:uid="{00000000-0005-0000-0000-0000BF300000}"/>
    <cellStyle name="Normal 48 2 3 3 3" xfId="11788" xr:uid="{00000000-0005-0000-0000-0000C0300000}"/>
    <cellStyle name="Normal 48 2 3 3 4" xfId="18005" xr:uid="{00000000-0005-0000-0000-0000C1300000}"/>
    <cellStyle name="Normal 48 2 3 4" xfId="5644" xr:uid="{00000000-0005-0000-0000-0000C2300000}"/>
    <cellStyle name="Normal 48 2 3 4 2" xfId="11790" xr:uid="{00000000-0005-0000-0000-0000C3300000}"/>
    <cellStyle name="Normal 48 2 3 4 3" xfId="18007" xr:uid="{00000000-0005-0000-0000-0000C4300000}"/>
    <cellStyle name="Normal 48 2 3 5" xfId="11785" xr:uid="{00000000-0005-0000-0000-0000C5300000}"/>
    <cellStyle name="Normal 48 2 3 6" xfId="18002" xr:uid="{00000000-0005-0000-0000-0000C6300000}"/>
    <cellStyle name="Normal 48 2 4" xfId="5645" xr:uid="{00000000-0005-0000-0000-0000C7300000}"/>
    <cellStyle name="Normal 48 2 4 2" xfId="5646" xr:uid="{00000000-0005-0000-0000-0000C8300000}"/>
    <cellStyle name="Normal 48 2 4 2 2" xfId="11792" xr:uid="{00000000-0005-0000-0000-0000C9300000}"/>
    <cellStyle name="Normal 48 2 4 2 3" xfId="18009" xr:uid="{00000000-0005-0000-0000-0000CA300000}"/>
    <cellStyle name="Normal 48 2 4 3" xfId="11791" xr:uid="{00000000-0005-0000-0000-0000CB300000}"/>
    <cellStyle name="Normal 48 2 4 4" xfId="18008" xr:uid="{00000000-0005-0000-0000-0000CC300000}"/>
    <cellStyle name="Normal 48 2 5" xfId="5647" xr:uid="{00000000-0005-0000-0000-0000CD300000}"/>
    <cellStyle name="Normal 48 2 5 2" xfId="5648" xr:uid="{00000000-0005-0000-0000-0000CE300000}"/>
    <cellStyle name="Normal 48 2 5 2 2" xfId="11794" xr:uid="{00000000-0005-0000-0000-0000CF300000}"/>
    <cellStyle name="Normal 48 2 5 2 3" xfId="18011" xr:uid="{00000000-0005-0000-0000-0000D0300000}"/>
    <cellStyle name="Normal 48 2 5 3" xfId="11793" xr:uid="{00000000-0005-0000-0000-0000D1300000}"/>
    <cellStyle name="Normal 48 2 5 4" xfId="18010" xr:uid="{00000000-0005-0000-0000-0000D2300000}"/>
    <cellStyle name="Normal 48 2 6" xfId="5649" xr:uid="{00000000-0005-0000-0000-0000D3300000}"/>
    <cellStyle name="Normal 48 2 6 2" xfId="11795" xr:uid="{00000000-0005-0000-0000-0000D4300000}"/>
    <cellStyle name="Normal 48 2 6 3" xfId="18012" xr:uid="{00000000-0005-0000-0000-0000D5300000}"/>
    <cellStyle name="Normal 48 2 7" xfId="11772" xr:uid="{00000000-0005-0000-0000-0000D6300000}"/>
    <cellStyle name="Normal 48 2 8" xfId="17989" xr:uid="{00000000-0005-0000-0000-0000D7300000}"/>
    <cellStyle name="Normal 48 3" xfId="5650" xr:uid="{00000000-0005-0000-0000-0000D8300000}"/>
    <cellStyle name="Normal 48 3 2" xfId="5651" xr:uid="{00000000-0005-0000-0000-0000D9300000}"/>
    <cellStyle name="Normal 48 3 2 2" xfId="5652" xr:uid="{00000000-0005-0000-0000-0000DA300000}"/>
    <cellStyle name="Normal 48 3 2 2 2" xfId="5653" xr:uid="{00000000-0005-0000-0000-0000DB300000}"/>
    <cellStyle name="Normal 48 3 2 2 2 2" xfId="11799" xr:uid="{00000000-0005-0000-0000-0000DC300000}"/>
    <cellStyle name="Normal 48 3 2 2 2 3" xfId="18016" xr:uid="{00000000-0005-0000-0000-0000DD300000}"/>
    <cellStyle name="Normal 48 3 2 2 3" xfId="11798" xr:uid="{00000000-0005-0000-0000-0000DE300000}"/>
    <cellStyle name="Normal 48 3 2 2 4" xfId="18015" xr:uid="{00000000-0005-0000-0000-0000DF300000}"/>
    <cellStyle name="Normal 48 3 2 3" xfId="5654" xr:uid="{00000000-0005-0000-0000-0000E0300000}"/>
    <cellStyle name="Normal 48 3 2 3 2" xfId="5655" xr:uid="{00000000-0005-0000-0000-0000E1300000}"/>
    <cellStyle name="Normal 48 3 2 3 2 2" xfId="11801" xr:uid="{00000000-0005-0000-0000-0000E2300000}"/>
    <cellStyle name="Normal 48 3 2 3 2 3" xfId="18018" xr:uid="{00000000-0005-0000-0000-0000E3300000}"/>
    <cellStyle name="Normal 48 3 2 3 3" xfId="11800" xr:uid="{00000000-0005-0000-0000-0000E4300000}"/>
    <cellStyle name="Normal 48 3 2 3 4" xfId="18017" xr:uid="{00000000-0005-0000-0000-0000E5300000}"/>
    <cellStyle name="Normal 48 3 2 4" xfId="5656" xr:uid="{00000000-0005-0000-0000-0000E6300000}"/>
    <cellStyle name="Normal 48 3 2 4 2" xfId="11802" xr:uid="{00000000-0005-0000-0000-0000E7300000}"/>
    <cellStyle name="Normal 48 3 2 4 3" xfId="18019" xr:uid="{00000000-0005-0000-0000-0000E8300000}"/>
    <cellStyle name="Normal 48 3 2 5" xfId="11797" xr:uid="{00000000-0005-0000-0000-0000E9300000}"/>
    <cellStyle name="Normal 48 3 2 6" xfId="18014" xr:uid="{00000000-0005-0000-0000-0000EA300000}"/>
    <cellStyle name="Normal 48 3 3" xfId="5657" xr:uid="{00000000-0005-0000-0000-0000EB300000}"/>
    <cellStyle name="Normal 48 3 3 2" xfId="5658" xr:uid="{00000000-0005-0000-0000-0000EC300000}"/>
    <cellStyle name="Normal 48 3 3 2 2" xfId="11804" xr:uid="{00000000-0005-0000-0000-0000ED300000}"/>
    <cellStyle name="Normal 48 3 3 2 3" xfId="18021" xr:uid="{00000000-0005-0000-0000-0000EE300000}"/>
    <cellStyle name="Normal 48 3 3 3" xfId="11803" xr:uid="{00000000-0005-0000-0000-0000EF300000}"/>
    <cellStyle name="Normal 48 3 3 4" xfId="18020" xr:uid="{00000000-0005-0000-0000-0000F0300000}"/>
    <cellStyle name="Normal 48 3 4" xfId="5659" xr:uid="{00000000-0005-0000-0000-0000F1300000}"/>
    <cellStyle name="Normal 48 3 4 2" xfId="5660" xr:uid="{00000000-0005-0000-0000-0000F2300000}"/>
    <cellStyle name="Normal 48 3 4 2 2" xfId="11806" xr:uid="{00000000-0005-0000-0000-0000F3300000}"/>
    <cellStyle name="Normal 48 3 4 2 3" xfId="18023" xr:uid="{00000000-0005-0000-0000-0000F4300000}"/>
    <cellStyle name="Normal 48 3 4 3" xfId="11805" xr:uid="{00000000-0005-0000-0000-0000F5300000}"/>
    <cellStyle name="Normal 48 3 4 4" xfId="18022" xr:uid="{00000000-0005-0000-0000-0000F6300000}"/>
    <cellStyle name="Normal 48 3 5" xfId="5661" xr:uid="{00000000-0005-0000-0000-0000F7300000}"/>
    <cellStyle name="Normal 48 3 5 2" xfId="11807" xr:uid="{00000000-0005-0000-0000-0000F8300000}"/>
    <cellStyle name="Normal 48 3 5 3" xfId="18024" xr:uid="{00000000-0005-0000-0000-0000F9300000}"/>
    <cellStyle name="Normal 48 3 6" xfId="11796" xr:uid="{00000000-0005-0000-0000-0000FA300000}"/>
    <cellStyle name="Normal 48 3 7" xfId="18013" xr:uid="{00000000-0005-0000-0000-0000FB300000}"/>
    <cellStyle name="Normal 48 4" xfId="5662" xr:uid="{00000000-0005-0000-0000-0000FC300000}"/>
    <cellStyle name="Normal 48 4 2" xfId="5663" xr:uid="{00000000-0005-0000-0000-0000FD300000}"/>
    <cellStyle name="Normal 48 4 2 2" xfId="5664" xr:uid="{00000000-0005-0000-0000-0000FE300000}"/>
    <cellStyle name="Normal 48 4 2 2 2" xfId="11810" xr:uid="{00000000-0005-0000-0000-0000FF300000}"/>
    <cellStyle name="Normal 48 4 2 2 3" xfId="18027" xr:uid="{00000000-0005-0000-0000-000000310000}"/>
    <cellStyle name="Normal 48 4 2 3" xfId="11809" xr:uid="{00000000-0005-0000-0000-000001310000}"/>
    <cellStyle name="Normal 48 4 2 4" xfId="18026" xr:uid="{00000000-0005-0000-0000-000002310000}"/>
    <cellStyle name="Normal 48 4 3" xfId="5665" xr:uid="{00000000-0005-0000-0000-000003310000}"/>
    <cellStyle name="Normal 48 4 3 2" xfId="5666" xr:uid="{00000000-0005-0000-0000-000004310000}"/>
    <cellStyle name="Normal 48 4 3 2 2" xfId="11812" xr:uid="{00000000-0005-0000-0000-000005310000}"/>
    <cellStyle name="Normal 48 4 3 2 3" xfId="18029" xr:uid="{00000000-0005-0000-0000-000006310000}"/>
    <cellStyle name="Normal 48 4 3 3" xfId="11811" xr:uid="{00000000-0005-0000-0000-000007310000}"/>
    <cellStyle name="Normal 48 4 3 4" xfId="18028" xr:uid="{00000000-0005-0000-0000-000008310000}"/>
    <cellStyle name="Normal 48 4 4" xfId="5667" xr:uid="{00000000-0005-0000-0000-000009310000}"/>
    <cellStyle name="Normal 48 4 4 2" xfId="11813" xr:uid="{00000000-0005-0000-0000-00000A310000}"/>
    <cellStyle name="Normal 48 4 4 3" xfId="18030" xr:uid="{00000000-0005-0000-0000-00000B310000}"/>
    <cellStyle name="Normal 48 4 5" xfId="11808" xr:uid="{00000000-0005-0000-0000-00000C310000}"/>
    <cellStyle name="Normal 48 4 6" xfId="18025" xr:uid="{00000000-0005-0000-0000-00000D310000}"/>
    <cellStyle name="Normal 48 5" xfId="5668" xr:uid="{00000000-0005-0000-0000-00000E310000}"/>
    <cellStyle name="Normal 48 5 2" xfId="5669" xr:uid="{00000000-0005-0000-0000-00000F310000}"/>
    <cellStyle name="Normal 48 5 2 2" xfId="11815" xr:uid="{00000000-0005-0000-0000-000010310000}"/>
    <cellStyle name="Normal 48 5 2 3" xfId="18032" xr:uid="{00000000-0005-0000-0000-000011310000}"/>
    <cellStyle name="Normal 48 5 3" xfId="11814" xr:uid="{00000000-0005-0000-0000-000012310000}"/>
    <cellStyle name="Normal 48 5 4" xfId="18031" xr:uid="{00000000-0005-0000-0000-000013310000}"/>
    <cellStyle name="Normal 48 6" xfId="5670" xr:uid="{00000000-0005-0000-0000-000014310000}"/>
    <cellStyle name="Normal 48 6 2" xfId="5671" xr:uid="{00000000-0005-0000-0000-000015310000}"/>
    <cellStyle name="Normal 48 6 2 2" xfId="11817" xr:uid="{00000000-0005-0000-0000-000016310000}"/>
    <cellStyle name="Normal 48 6 2 3" xfId="18034" xr:uid="{00000000-0005-0000-0000-000017310000}"/>
    <cellStyle name="Normal 48 6 3" xfId="11816" xr:uid="{00000000-0005-0000-0000-000018310000}"/>
    <cellStyle name="Normal 48 6 4" xfId="18033" xr:uid="{00000000-0005-0000-0000-000019310000}"/>
    <cellStyle name="Normal 48 7" xfId="5672" xr:uid="{00000000-0005-0000-0000-00001A310000}"/>
    <cellStyle name="Normal 48 7 2" xfId="11818" xr:uid="{00000000-0005-0000-0000-00001B310000}"/>
    <cellStyle name="Normal 48 7 3" xfId="18035" xr:uid="{00000000-0005-0000-0000-00001C310000}"/>
    <cellStyle name="Normal 48 8" xfId="5673" xr:uid="{00000000-0005-0000-0000-00001D310000}"/>
    <cellStyle name="Normal 48 8 2" xfId="18036" xr:uid="{00000000-0005-0000-0000-00001E310000}"/>
    <cellStyle name="Normal 48 9" xfId="11771" xr:uid="{00000000-0005-0000-0000-00001F310000}"/>
    <cellStyle name="Normal 49" xfId="5674" xr:uid="{00000000-0005-0000-0000-000020310000}"/>
    <cellStyle name="Normal 49 10" xfId="18037" xr:uid="{00000000-0005-0000-0000-000021310000}"/>
    <cellStyle name="Normal 49 2" xfId="5675" xr:uid="{00000000-0005-0000-0000-000022310000}"/>
    <cellStyle name="Normal 49 2 2" xfId="5676" xr:uid="{00000000-0005-0000-0000-000023310000}"/>
    <cellStyle name="Normal 49 2 2 2" xfId="5677" xr:uid="{00000000-0005-0000-0000-000024310000}"/>
    <cellStyle name="Normal 49 2 2 2 2" xfId="5678" xr:uid="{00000000-0005-0000-0000-000025310000}"/>
    <cellStyle name="Normal 49 2 2 2 2 2" xfId="5679" xr:uid="{00000000-0005-0000-0000-000026310000}"/>
    <cellStyle name="Normal 49 2 2 2 2 2 2" xfId="11824" xr:uid="{00000000-0005-0000-0000-000027310000}"/>
    <cellStyle name="Normal 49 2 2 2 2 2 3" xfId="18042" xr:uid="{00000000-0005-0000-0000-000028310000}"/>
    <cellStyle name="Normal 49 2 2 2 2 3" xfId="11823" xr:uid="{00000000-0005-0000-0000-000029310000}"/>
    <cellStyle name="Normal 49 2 2 2 2 4" xfId="18041" xr:uid="{00000000-0005-0000-0000-00002A310000}"/>
    <cellStyle name="Normal 49 2 2 2 3" xfId="5680" xr:uid="{00000000-0005-0000-0000-00002B310000}"/>
    <cellStyle name="Normal 49 2 2 2 3 2" xfId="5681" xr:uid="{00000000-0005-0000-0000-00002C310000}"/>
    <cellStyle name="Normal 49 2 2 2 3 2 2" xfId="11826" xr:uid="{00000000-0005-0000-0000-00002D310000}"/>
    <cellStyle name="Normal 49 2 2 2 3 2 3" xfId="18044" xr:uid="{00000000-0005-0000-0000-00002E310000}"/>
    <cellStyle name="Normal 49 2 2 2 3 3" xfId="11825" xr:uid="{00000000-0005-0000-0000-00002F310000}"/>
    <cellStyle name="Normal 49 2 2 2 3 4" xfId="18043" xr:uid="{00000000-0005-0000-0000-000030310000}"/>
    <cellStyle name="Normal 49 2 2 2 4" xfId="5682" xr:uid="{00000000-0005-0000-0000-000031310000}"/>
    <cellStyle name="Normal 49 2 2 2 4 2" xfId="11827" xr:uid="{00000000-0005-0000-0000-000032310000}"/>
    <cellStyle name="Normal 49 2 2 2 4 3" xfId="18045" xr:uid="{00000000-0005-0000-0000-000033310000}"/>
    <cellStyle name="Normal 49 2 2 2 5" xfId="11822" xr:uid="{00000000-0005-0000-0000-000034310000}"/>
    <cellStyle name="Normal 49 2 2 2 6" xfId="18040" xr:uid="{00000000-0005-0000-0000-000035310000}"/>
    <cellStyle name="Normal 49 2 2 3" xfId="5683" xr:uid="{00000000-0005-0000-0000-000036310000}"/>
    <cellStyle name="Normal 49 2 2 3 2" xfId="5684" xr:uid="{00000000-0005-0000-0000-000037310000}"/>
    <cellStyle name="Normal 49 2 2 3 2 2" xfId="11829" xr:uid="{00000000-0005-0000-0000-000038310000}"/>
    <cellStyle name="Normal 49 2 2 3 2 3" xfId="18047" xr:uid="{00000000-0005-0000-0000-000039310000}"/>
    <cellStyle name="Normal 49 2 2 3 3" xfId="11828" xr:uid="{00000000-0005-0000-0000-00003A310000}"/>
    <cellStyle name="Normal 49 2 2 3 4" xfId="18046" xr:uid="{00000000-0005-0000-0000-00003B310000}"/>
    <cellStyle name="Normal 49 2 2 4" xfId="5685" xr:uid="{00000000-0005-0000-0000-00003C310000}"/>
    <cellStyle name="Normal 49 2 2 4 2" xfId="5686" xr:uid="{00000000-0005-0000-0000-00003D310000}"/>
    <cellStyle name="Normal 49 2 2 4 2 2" xfId="11831" xr:uid="{00000000-0005-0000-0000-00003E310000}"/>
    <cellStyle name="Normal 49 2 2 4 2 3" xfId="18049" xr:uid="{00000000-0005-0000-0000-00003F310000}"/>
    <cellStyle name="Normal 49 2 2 4 3" xfId="11830" xr:uid="{00000000-0005-0000-0000-000040310000}"/>
    <cellStyle name="Normal 49 2 2 4 4" xfId="18048" xr:uid="{00000000-0005-0000-0000-000041310000}"/>
    <cellStyle name="Normal 49 2 2 5" xfId="5687" xr:uid="{00000000-0005-0000-0000-000042310000}"/>
    <cellStyle name="Normal 49 2 2 5 2" xfId="11832" xr:uid="{00000000-0005-0000-0000-000043310000}"/>
    <cellStyle name="Normal 49 2 2 5 3" xfId="18050" xr:uid="{00000000-0005-0000-0000-000044310000}"/>
    <cellStyle name="Normal 49 2 2 6" xfId="11821" xr:uid="{00000000-0005-0000-0000-000045310000}"/>
    <cellStyle name="Normal 49 2 2 7" xfId="18039" xr:uid="{00000000-0005-0000-0000-000046310000}"/>
    <cellStyle name="Normal 49 2 3" xfId="5688" xr:uid="{00000000-0005-0000-0000-000047310000}"/>
    <cellStyle name="Normal 49 2 3 2" xfId="5689" xr:uid="{00000000-0005-0000-0000-000048310000}"/>
    <cellStyle name="Normal 49 2 3 2 2" xfId="5690" xr:uid="{00000000-0005-0000-0000-000049310000}"/>
    <cellStyle name="Normal 49 2 3 2 2 2" xfId="11835" xr:uid="{00000000-0005-0000-0000-00004A310000}"/>
    <cellStyle name="Normal 49 2 3 2 2 3" xfId="18053" xr:uid="{00000000-0005-0000-0000-00004B310000}"/>
    <cellStyle name="Normal 49 2 3 2 3" xfId="11834" xr:uid="{00000000-0005-0000-0000-00004C310000}"/>
    <cellStyle name="Normal 49 2 3 2 4" xfId="18052" xr:uid="{00000000-0005-0000-0000-00004D310000}"/>
    <cellStyle name="Normal 49 2 3 3" xfId="5691" xr:uid="{00000000-0005-0000-0000-00004E310000}"/>
    <cellStyle name="Normal 49 2 3 3 2" xfId="5692" xr:uid="{00000000-0005-0000-0000-00004F310000}"/>
    <cellStyle name="Normal 49 2 3 3 2 2" xfId="11837" xr:uid="{00000000-0005-0000-0000-000050310000}"/>
    <cellStyle name="Normal 49 2 3 3 2 3" xfId="18055" xr:uid="{00000000-0005-0000-0000-000051310000}"/>
    <cellStyle name="Normal 49 2 3 3 3" xfId="11836" xr:uid="{00000000-0005-0000-0000-000052310000}"/>
    <cellStyle name="Normal 49 2 3 3 4" xfId="18054" xr:uid="{00000000-0005-0000-0000-000053310000}"/>
    <cellStyle name="Normal 49 2 3 4" xfId="5693" xr:uid="{00000000-0005-0000-0000-000054310000}"/>
    <cellStyle name="Normal 49 2 3 4 2" xfId="11838" xr:uid="{00000000-0005-0000-0000-000055310000}"/>
    <cellStyle name="Normal 49 2 3 4 3" xfId="18056" xr:uid="{00000000-0005-0000-0000-000056310000}"/>
    <cellStyle name="Normal 49 2 3 5" xfId="11833" xr:uid="{00000000-0005-0000-0000-000057310000}"/>
    <cellStyle name="Normal 49 2 3 6" xfId="18051" xr:uid="{00000000-0005-0000-0000-000058310000}"/>
    <cellStyle name="Normal 49 2 4" xfId="5694" xr:uid="{00000000-0005-0000-0000-000059310000}"/>
    <cellStyle name="Normal 49 2 4 2" xfId="5695" xr:uid="{00000000-0005-0000-0000-00005A310000}"/>
    <cellStyle name="Normal 49 2 4 2 2" xfId="11840" xr:uid="{00000000-0005-0000-0000-00005B310000}"/>
    <cellStyle name="Normal 49 2 4 2 3" xfId="18058" xr:uid="{00000000-0005-0000-0000-00005C310000}"/>
    <cellStyle name="Normal 49 2 4 3" xfId="11839" xr:uid="{00000000-0005-0000-0000-00005D310000}"/>
    <cellStyle name="Normal 49 2 4 4" xfId="18057" xr:uid="{00000000-0005-0000-0000-00005E310000}"/>
    <cellStyle name="Normal 49 2 5" xfId="5696" xr:uid="{00000000-0005-0000-0000-00005F310000}"/>
    <cellStyle name="Normal 49 2 5 2" xfId="5697" xr:uid="{00000000-0005-0000-0000-000060310000}"/>
    <cellStyle name="Normal 49 2 5 2 2" xfId="11842" xr:uid="{00000000-0005-0000-0000-000061310000}"/>
    <cellStyle name="Normal 49 2 5 2 3" xfId="18060" xr:uid="{00000000-0005-0000-0000-000062310000}"/>
    <cellStyle name="Normal 49 2 5 3" xfId="11841" xr:uid="{00000000-0005-0000-0000-000063310000}"/>
    <cellStyle name="Normal 49 2 5 4" xfId="18059" xr:uid="{00000000-0005-0000-0000-000064310000}"/>
    <cellStyle name="Normal 49 2 6" xfId="5698" xr:uid="{00000000-0005-0000-0000-000065310000}"/>
    <cellStyle name="Normal 49 2 6 2" xfId="11843" xr:uid="{00000000-0005-0000-0000-000066310000}"/>
    <cellStyle name="Normal 49 2 6 3" xfId="18061" xr:uid="{00000000-0005-0000-0000-000067310000}"/>
    <cellStyle name="Normal 49 2 7" xfId="11820" xr:uid="{00000000-0005-0000-0000-000068310000}"/>
    <cellStyle name="Normal 49 2 8" xfId="18038" xr:uid="{00000000-0005-0000-0000-000069310000}"/>
    <cellStyle name="Normal 49 3" xfId="5699" xr:uid="{00000000-0005-0000-0000-00006A310000}"/>
    <cellStyle name="Normal 49 3 2" xfId="5700" xr:uid="{00000000-0005-0000-0000-00006B310000}"/>
    <cellStyle name="Normal 49 3 2 2" xfId="5701" xr:uid="{00000000-0005-0000-0000-00006C310000}"/>
    <cellStyle name="Normal 49 3 2 2 2" xfId="5702" xr:uid="{00000000-0005-0000-0000-00006D310000}"/>
    <cellStyle name="Normal 49 3 2 2 2 2" xfId="11847" xr:uid="{00000000-0005-0000-0000-00006E310000}"/>
    <cellStyle name="Normal 49 3 2 2 2 3" xfId="18065" xr:uid="{00000000-0005-0000-0000-00006F310000}"/>
    <cellStyle name="Normal 49 3 2 2 3" xfId="11846" xr:uid="{00000000-0005-0000-0000-000070310000}"/>
    <cellStyle name="Normal 49 3 2 2 4" xfId="18064" xr:uid="{00000000-0005-0000-0000-000071310000}"/>
    <cellStyle name="Normal 49 3 2 3" xfId="5703" xr:uid="{00000000-0005-0000-0000-000072310000}"/>
    <cellStyle name="Normal 49 3 2 3 2" xfId="5704" xr:uid="{00000000-0005-0000-0000-000073310000}"/>
    <cellStyle name="Normal 49 3 2 3 2 2" xfId="11849" xr:uid="{00000000-0005-0000-0000-000074310000}"/>
    <cellStyle name="Normal 49 3 2 3 2 3" xfId="18067" xr:uid="{00000000-0005-0000-0000-000075310000}"/>
    <cellStyle name="Normal 49 3 2 3 3" xfId="11848" xr:uid="{00000000-0005-0000-0000-000076310000}"/>
    <cellStyle name="Normal 49 3 2 3 4" xfId="18066" xr:uid="{00000000-0005-0000-0000-000077310000}"/>
    <cellStyle name="Normal 49 3 2 4" xfId="5705" xr:uid="{00000000-0005-0000-0000-000078310000}"/>
    <cellStyle name="Normal 49 3 2 4 2" xfId="11850" xr:uid="{00000000-0005-0000-0000-000079310000}"/>
    <cellStyle name="Normal 49 3 2 4 3" xfId="18068" xr:uid="{00000000-0005-0000-0000-00007A310000}"/>
    <cellStyle name="Normal 49 3 2 5" xfId="11845" xr:uid="{00000000-0005-0000-0000-00007B310000}"/>
    <cellStyle name="Normal 49 3 2 6" xfId="18063" xr:uid="{00000000-0005-0000-0000-00007C310000}"/>
    <cellStyle name="Normal 49 3 3" xfId="5706" xr:uid="{00000000-0005-0000-0000-00007D310000}"/>
    <cellStyle name="Normal 49 3 3 2" xfId="5707" xr:uid="{00000000-0005-0000-0000-00007E310000}"/>
    <cellStyle name="Normal 49 3 3 2 2" xfId="11852" xr:uid="{00000000-0005-0000-0000-00007F310000}"/>
    <cellStyle name="Normal 49 3 3 2 3" xfId="18070" xr:uid="{00000000-0005-0000-0000-000080310000}"/>
    <cellStyle name="Normal 49 3 3 3" xfId="11851" xr:uid="{00000000-0005-0000-0000-000081310000}"/>
    <cellStyle name="Normal 49 3 3 4" xfId="18069" xr:uid="{00000000-0005-0000-0000-000082310000}"/>
    <cellStyle name="Normal 49 3 4" xfId="5708" xr:uid="{00000000-0005-0000-0000-000083310000}"/>
    <cellStyle name="Normal 49 3 4 2" xfId="5709" xr:uid="{00000000-0005-0000-0000-000084310000}"/>
    <cellStyle name="Normal 49 3 4 2 2" xfId="11854" xr:uid="{00000000-0005-0000-0000-000085310000}"/>
    <cellStyle name="Normal 49 3 4 2 3" xfId="18072" xr:uid="{00000000-0005-0000-0000-000086310000}"/>
    <cellStyle name="Normal 49 3 4 3" xfId="11853" xr:uid="{00000000-0005-0000-0000-000087310000}"/>
    <cellStyle name="Normal 49 3 4 4" xfId="18071" xr:uid="{00000000-0005-0000-0000-000088310000}"/>
    <cellStyle name="Normal 49 3 5" xfId="5710" xr:uid="{00000000-0005-0000-0000-000089310000}"/>
    <cellStyle name="Normal 49 3 5 2" xfId="11855" xr:uid="{00000000-0005-0000-0000-00008A310000}"/>
    <cellStyle name="Normal 49 3 5 3" xfId="18073" xr:uid="{00000000-0005-0000-0000-00008B310000}"/>
    <cellStyle name="Normal 49 3 6" xfId="11844" xr:uid="{00000000-0005-0000-0000-00008C310000}"/>
    <cellStyle name="Normal 49 3 7" xfId="18062" xr:uid="{00000000-0005-0000-0000-00008D310000}"/>
    <cellStyle name="Normal 49 4" xfId="5711" xr:uid="{00000000-0005-0000-0000-00008E310000}"/>
    <cellStyle name="Normal 49 4 2" xfId="5712" xr:uid="{00000000-0005-0000-0000-00008F310000}"/>
    <cellStyle name="Normal 49 4 2 2" xfId="5713" xr:uid="{00000000-0005-0000-0000-000090310000}"/>
    <cellStyle name="Normal 49 4 2 2 2" xfId="11858" xr:uid="{00000000-0005-0000-0000-000091310000}"/>
    <cellStyle name="Normal 49 4 2 2 3" xfId="18076" xr:uid="{00000000-0005-0000-0000-000092310000}"/>
    <cellStyle name="Normal 49 4 2 3" xfId="11857" xr:uid="{00000000-0005-0000-0000-000093310000}"/>
    <cellStyle name="Normal 49 4 2 4" xfId="18075" xr:uid="{00000000-0005-0000-0000-000094310000}"/>
    <cellStyle name="Normal 49 4 3" xfId="5714" xr:uid="{00000000-0005-0000-0000-000095310000}"/>
    <cellStyle name="Normal 49 4 3 2" xfId="5715" xr:uid="{00000000-0005-0000-0000-000096310000}"/>
    <cellStyle name="Normal 49 4 3 2 2" xfId="11860" xr:uid="{00000000-0005-0000-0000-000097310000}"/>
    <cellStyle name="Normal 49 4 3 2 3" xfId="18078" xr:uid="{00000000-0005-0000-0000-000098310000}"/>
    <cellStyle name="Normal 49 4 3 3" xfId="11859" xr:uid="{00000000-0005-0000-0000-000099310000}"/>
    <cellStyle name="Normal 49 4 3 4" xfId="18077" xr:uid="{00000000-0005-0000-0000-00009A310000}"/>
    <cellStyle name="Normal 49 4 4" xfId="5716" xr:uid="{00000000-0005-0000-0000-00009B310000}"/>
    <cellStyle name="Normal 49 4 4 2" xfId="11861" xr:uid="{00000000-0005-0000-0000-00009C310000}"/>
    <cellStyle name="Normal 49 4 4 3" xfId="18079" xr:uid="{00000000-0005-0000-0000-00009D310000}"/>
    <cellStyle name="Normal 49 4 5" xfId="11856" xr:uid="{00000000-0005-0000-0000-00009E310000}"/>
    <cellStyle name="Normal 49 4 6" xfId="18074" xr:uid="{00000000-0005-0000-0000-00009F310000}"/>
    <cellStyle name="Normal 49 5" xfId="5717" xr:uid="{00000000-0005-0000-0000-0000A0310000}"/>
    <cellStyle name="Normal 49 5 2" xfId="5718" xr:uid="{00000000-0005-0000-0000-0000A1310000}"/>
    <cellStyle name="Normal 49 5 2 2" xfId="11863" xr:uid="{00000000-0005-0000-0000-0000A2310000}"/>
    <cellStyle name="Normal 49 5 2 3" xfId="18081" xr:uid="{00000000-0005-0000-0000-0000A3310000}"/>
    <cellStyle name="Normal 49 5 3" xfId="11862" xr:uid="{00000000-0005-0000-0000-0000A4310000}"/>
    <cellStyle name="Normal 49 5 4" xfId="18080" xr:uid="{00000000-0005-0000-0000-0000A5310000}"/>
    <cellStyle name="Normal 49 6" xfId="5719" xr:uid="{00000000-0005-0000-0000-0000A6310000}"/>
    <cellStyle name="Normal 49 6 2" xfId="5720" xr:uid="{00000000-0005-0000-0000-0000A7310000}"/>
    <cellStyle name="Normal 49 6 2 2" xfId="11865" xr:uid="{00000000-0005-0000-0000-0000A8310000}"/>
    <cellStyle name="Normal 49 6 2 3" xfId="18083" xr:uid="{00000000-0005-0000-0000-0000A9310000}"/>
    <cellStyle name="Normal 49 6 3" xfId="11864" xr:uid="{00000000-0005-0000-0000-0000AA310000}"/>
    <cellStyle name="Normal 49 6 4" xfId="18082" xr:uid="{00000000-0005-0000-0000-0000AB310000}"/>
    <cellStyle name="Normal 49 7" xfId="5721" xr:uid="{00000000-0005-0000-0000-0000AC310000}"/>
    <cellStyle name="Normal 49 7 2" xfId="11866" xr:uid="{00000000-0005-0000-0000-0000AD310000}"/>
    <cellStyle name="Normal 49 7 3" xfId="18084" xr:uid="{00000000-0005-0000-0000-0000AE310000}"/>
    <cellStyle name="Normal 49 8" xfId="5722" xr:uid="{00000000-0005-0000-0000-0000AF310000}"/>
    <cellStyle name="Normal 49 8 2" xfId="18085" xr:uid="{00000000-0005-0000-0000-0000B0310000}"/>
    <cellStyle name="Normal 49 9" xfId="11819" xr:uid="{00000000-0005-0000-0000-0000B1310000}"/>
    <cellStyle name="Normal 5" xfId="5723" xr:uid="{00000000-0005-0000-0000-0000B2310000}"/>
    <cellStyle name="Normal 5 10" xfId="5724" xr:uid="{00000000-0005-0000-0000-0000B3310000}"/>
    <cellStyle name="Normal 5 10 2" xfId="11868" xr:uid="{00000000-0005-0000-0000-0000B4310000}"/>
    <cellStyle name="Normal 5 10 3" xfId="18087" xr:uid="{00000000-0005-0000-0000-0000B5310000}"/>
    <cellStyle name="Normal 5 11" xfId="5725" xr:uid="{00000000-0005-0000-0000-0000B6310000}"/>
    <cellStyle name="Normal 5 11 2" xfId="18088" xr:uid="{00000000-0005-0000-0000-0000B7310000}"/>
    <cellStyle name="Normal 5 12" xfId="11867" xr:uid="{00000000-0005-0000-0000-0000B8310000}"/>
    <cellStyle name="Normal 5 13" xfId="18086" xr:uid="{00000000-0005-0000-0000-0000B9310000}"/>
    <cellStyle name="Normal 5 14" xfId="23032" xr:uid="{D4C5B529-3975-4920-B6FA-043777DBD53B}"/>
    <cellStyle name="Normal 5 14 2" xfId="23037" xr:uid="{4BC4D578-FE94-48B9-A6B0-A682D423C1E4}"/>
    <cellStyle name="Normal 5 2" xfId="5726" xr:uid="{00000000-0005-0000-0000-0000BA310000}"/>
    <cellStyle name="Normal 5 2 10" xfId="5727" xr:uid="{00000000-0005-0000-0000-0000BB310000}"/>
    <cellStyle name="Normal 5 2 10 2" xfId="11870" xr:uid="{00000000-0005-0000-0000-0000BC310000}"/>
    <cellStyle name="Normal 5 2 10 3" xfId="18090" xr:uid="{00000000-0005-0000-0000-0000BD310000}"/>
    <cellStyle name="Normal 5 2 11" xfId="5728" xr:uid="{00000000-0005-0000-0000-0000BE310000}"/>
    <cellStyle name="Normal 5 2 11 2" xfId="11871" xr:uid="{00000000-0005-0000-0000-0000BF310000}"/>
    <cellStyle name="Normal 5 2 11 3" xfId="18091" xr:uid="{00000000-0005-0000-0000-0000C0310000}"/>
    <cellStyle name="Normal 5 2 12" xfId="5729" xr:uid="{00000000-0005-0000-0000-0000C1310000}"/>
    <cellStyle name="Normal 5 2 12 2" xfId="18092" xr:uid="{00000000-0005-0000-0000-0000C2310000}"/>
    <cellStyle name="Normal 5 2 13" xfId="11869" xr:uid="{00000000-0005-0000-0000-0000C3310000}"/>
    <cellStyle name="Normal 5 2 14" xfId="18089" xr:uid="{00000000-0005-0000-0000-0000C4310000}"/>
    <cellStyle name="Normal 5 2 15" xfId="23040" xr:uid="{4B157180-78F9-43CE-A76F-5654A30C60B6}"/>
    <cellStyle name="Normal 5 2 2" xfId="5730" xr:uid="{00000000-0005-0000-0000-0000C5310000}"/>
    <cellStyle name="Normal 5 2 2 2" xfId="5731" xr:uid="{00000000-0005-0000-0000-0000C6310000}"/>
    <cellStyle name="Normal 5 2 2 2 2" xfId="5732" xr:uid="{00000000-0005-0000-0000-0000C7310000}"/>
    <cellStyle name="Normal 5 2 2 2 2 2" xfId="5733" xr:uid="{00000000-0005-0000-0000-0000C8310000}"/>
    <cellStyle name="Normal 5 2 2 2 2 2 2" xfId="5734" xr:uid="{00000000-0005-0000-0000-0000C9310000}"/>
    <cellStyle name="Normal 5 2 2 2 2 2 2 2" xfId="5735" xr:uid="{00000000-0005-0000-0000-0000CA310000}"/>
    <cellStyle name="Normal 5 2 2 2 2 2 2 2 2" xfId="11877" xr:uid="{00000000-0005-0000-0000-0000CB310000}"/>
    <cellStyle name="Normal 5 2 2 2 2 2 2 2 3" xfId="18098" xr:uid="{00000000-0005-0000-0000-0000CC310000}"/>
    <cellStyle name="Normal 5 2 2 2 2 2 2 3" xfId="11876" xr:uid="{00000000-0005-0000-0000-0000CD310000}"/>
    <cellStyle name="Normal 5 2 2 2 2 2 2 4" xfId="18097" xr:uid="{00000000-0005-0000-0000-0000CE310000}"/>
    <cellStyle name="Normal 5 2 2 2 2 2 3" xfId="5736" xr:uid="{00000000-0005-0000-0000-0000CF310000}"/>
    <cellStyle name="Normal 5 2 2 2 2 2 3 2" xfId="5737" xr:uid="{00000000-0005-0000-0000-0000D0310000}"/>
    <cellStyle name="Normal 5 2 2 2 2 2 3 2 2" xfId="11879" xr:uid="{00000000-0005-0000-0000-0000D1310000}"/>
    <cellStyle name="Normal 5 2 2 2 2 2 3 2 3" xfId="18100" xr:uid="{00000000-0005-0000-0000-0000D2310000}"/>
    <cellStyle name="Normal 5 2 2 2 2 2 3 3" xfId="11878" xr:uid="{00000000-0005-0000-0000-0000D3310000}"/>
    <cellStyle name="Normal 5 2 2 2 2 2 3 4" xfId="18099" xr:uid="{00000000-0005-0000-0000-0000D4310000}"/>
    <cellStyle name="Normal 5 2 2 2 2 2 4" xfId="5738" xr:uid="{00000000-0005-0000-0000-0000D5310000}"/>
    <cellStyle name="Normal 5 2 2 2 2 2 4 2" xfId="11880" xr:uid="{00000000-0005-0000-0000-0000D6310000}"/>
    <cellStyle name="Normal 5 2 2 2 2 2 4 3" xfId="18101" xr:uid="{00000000-0005-0000-0000-0000D7310000}"/>
    <cellStyle name="Normal 5 2 2 2 2 2 5" xfId="11875" xr:uid="{00000000-0005-0000-0000-0000D8310000}"/>
    <cellStyle name="Normal 5 2 2 2 2 2 6" xfId="18096" xr:uid="{00000000-0005-0000-0000-0000D9310000}"/>
    <cellStyle name="Normal 5 2 2 2 2 3" xfId="5739" xr:uid="{00000000-0005-0000-0000-0000DA310000}"/>
    <cellStyle name="Normal 5 2 2 2 2 3 2" xfId="5740" xr:uid="{00000000-0005-0000-0000-0000DB310000}"/>
    <cellStyle name="Normal 5 2 2 2 2 3 2 2" xfId="11882" xr:uid="{00000000-0005-0000-0000-0000DC310000}"/>
    <cellStyle name="Normal 5 2 2 2 2 3 2 3" xfId="18103" xr:uid="{00000000-0005-0000-0000-0000DD310000}"/>
    <cellStyle name="Normal 5 2 2 2 2 3 3" xfId="11881" xr:uid="{00000000-0005-0000-0000-0000DE310000}"/>
    <cellStyle name="Normal 5 2 2 2 2 3 4" xfId="18102" xr:uid="{00000000-0005-0000-0000-0000DF310000}"/>
    <cellStyle name="Normal 5 2 2 2 2 4" xfId="5741" xr:uid="{00000000-0005-0000-0000-0000E0310000}"/>
    <cellStyle name="Normal 5 2 2 2 2 4 2" xfId="5742" xr:uid="{00000000-0005-0000-0000-0000E1310000}"/>
    <cellStyle name="Normal 5 2 2 2 2 4 2 2" xfId="11884" xr:uid="{00000000-0005-0000-0000-0000E2310000}"/>
    <cellStyle name="Normal 5 2 2 2 2 4 2 3" xfId="18105" xr:uid="{00000000-0005-0000-0000-0000E3310000}"/>
    <cellStyle name="Normal 5 2 2 2 2 4 3" xfId="11883" xr:uid="{00000000-0005-0000-0000-0000E4310000}"/>
    <cellStyle name="Normal 5 2 2 2 2 4 4" xfId="18104" xr:uid="{00000000-0005-0000-0000-0000E5310000}"/>
    <cellStyle name="Normal 5 2 2 2 2 5" xfId="5743" xr:uid="{00000000-0005-0000-0000-0000E6310000}"/>
    <cellStyle name="Normal 5 2 2 2 2 5 2" xfId="11885" xr:uid="{00000000-0005-0000-0000-0000E7310000}"/>
    <cellStyle name="Normal 5 2 2 2 2 5 3" xfId="18106" xr:uid="{00000000-0005-0000-0000-0000E8310000}"/>
    <cellStyle name="Normal 5 2 2 2 2 6" xfId="11874" xr:uid="{00000000-0005-0000-0000-0000E9310000}"/>
    <cellStyle name="Normal 5 2 2 2 2 7" xfId="18095" xr:uid="{00000000-0005-0000-0000-0000EA310000}"/>
    <cellStyle name="Normal 5 2 2 2 3" xfId="5744" xr:uid="{00000000-0005-0000-0000-0000EB310000}"/>
    <cellStyle name="Normal 5 2 2 2 3 2" xfId="5745" xr:uid="{00000000-0005-0000-0000-0000EC310000}"/>
    <cellStyle name="Normal 5 2 2 2 3 2 2" xfId="5746" xr:uid="{00000000-0005-0000-0000-0000ED310000}"/>
    <cellStyle name="Normal 5 2 2 2 3 2 2 2" xfId="11888" xr:uid="{00000000-0005-0000-0000-0000EE310000}"/>
    <cellStyle name="Normal 5 2 2 2 3 2 2 3" xfId="18109" xr:uid="{00000000-0005-0000-0000-0000EF310000}"/>
    <cellStyle name="Normal 5 2 2 2 3 2 3" xfId="11887" xr:uid="{00000000-0005-0000-0000-0000F0310000}"/>
    <cellStyle name="Normal 5 2 2 2 3 2 4" xfId="18108" xr:uid="{00000000-0005-0000-0000-0000F1310000}"/>
    <cellStyle name="Normal 5 2 2 2 3 3" xfId="5747" xr:uid="{00000000-0005-0000-0000-0000F2310000}"/>
    <cellStyle name="Normal 5 2 2 2 3 3 2" xfId="5748" xr:uid="{00000000-0005-0000-0000-0000F3310000}"/>
    <cellStyle name="Normal 5 2 2 2 3 3 2 2" xfId="11890" xr:uid="{00000000-0005-0000-0000-0000F4310000}"/>
    <cellStyle name="Normal 5 2 2 2 3 3 2 3" xfId="18111" xr:uid="{00000000-0005-0000-0000-0000F5310000}"/>
    <cellStyle name="Normal 5 2 2 2 3 3 3" xfId="11889" xr:uid="{00000000-0005-0000-0000-0000F6310000}"/>
    <cellStyle name="Normal 5 2 2 2 3 3 4" xfId="18110" xr:uid="{00000000-0005-0000-0000-0000F7310000}"/>
    <cellStyle name="Normal 5 2 2 2 3 4" xfId="5749" xr:uid="{00000000-0005-0000-0000-0000F8310000}"/>
    <cellStyle name="Normal 5 2 2 2 3 4 2" xfId="11891" xr:uid="{00000000-0005-0000-0000-0000F9310000}"/>
    <cellStyle name="Normal 5 2 2 2 3 4 3" xfId="18112" xr:uid="{00000000-0005-0000-0000-0000FA310000}"/>
    <cellStyle name="Normal 5 2 2 2 3 5" xfId="11886" xr:uid="{00000000-0005-0000-0000-0000FB310000}"/>
    <cellStyle name="Normal 5 2 2 2 3 6" xfId="18107" xr:uid="{00000000-0005-0000-0000-0000FC310000}"/>
    <cellStyle name="Normal 5 2 2 2 4" xfId="5750" xr:uid="{00000000-0005-0000-0000-0000FD310000}"/>
    <cellStyle name="Normal 5 2 2 2 4 2" xfId="5751" xr:uid="{00000000-0005-0000-0000-0000FE310000}"/>
    <cellStyle name="Normal 5 2 2 2 4 2 2" xfId="11893" xr:uid="{00000000-0005-0000-0000-0000FF310000}"/>
    <cellStyle name="Normal 5 2 2 2 4 2 3" xfId="18114" xr:uid="{00000000-0005-0000-0000-000000320000}"/>
    <cellStyle name="Normal 5 2 2 2 4 3" xfId="11892" xr:uid="{00000000-0005-0000-0000-000001320000}"/>
    <cellStyle name="Normal 5 2 2 2 4 4" xfId="18113" xr:uid="{00000000-0005-0000-0000-000002320000}"/>
    <cellStyle name="Normal 5 2 2 2 5" xfId="5752" xr:uid="{00000000-0005-0000-0000-000003320000}"/>
    <cellStyle name="Normal 5 2 2 2 5 2" xfId="5753" xr:uid="{00000000-0005-0000-0000-000004320000}"/>
    <cellStyle name="Normal 5 2 2 2 5 2 2" xfId="11895" xr:uid="{00000000-0005-0000-0000-000005320000}"/>
    <cellStyle name="Normal 5 2 2 2 5 2 3" xfId="18116" xr:uid="{00000000-0005-0000-0000-000006320000}"/>
    <cellStyle name="Normal 5 2 2 2 5 3" xfId="11894" xr:uid="{00000000-0005-0000-0000-000007320000}"/>
    <cellStyle name="Normal 5 2 2 2 5 4" xfId="18115" xr:uid="{00000000-0005-0000-0000-000008320000}"/>
    <cellStyle name="Normal 5 2 2 2 6" xfId="5754" xr:uid="{00000000-0005-0000-0000-000009320000}"/>
    <cellStyle name="Normal 5 2 2 2 6 2" xfId="11896" xr:uid="{00000000-0005-0000-0000-00000A320000}"/>
    <cellStyle name="Normal 5 2 2 2 6 3" xfId="18117" xr:uid="{00000000-0005-0000-0000-00000B320000}"/>
    <cellStyle name="Normal 5 2 2 2 7" xfId="11873" xr:uid="{00000000-0005-0000-0000-00000C320000}"/>
    <cellStyle name="Normal 5 2 2 2 8" xfId="18094" xr:uid="{00000000-0005-0000-0000-00000D320000}"/>
    <cellStyle name="Normal 5 2 2 3" xfId="5755" xr:uid="{00000000-0005-0000-0000-00000E320000}"/>
    <cellStyle name="Normal 5 2 2 3 2" xfId="5756" xr:uid="{00000000-0005-0000-0000-00000F320000}"/>
    <cellStyle name="Normal 5 2 2 3 2 2" xfId="5757" xr:uid="{00000000-0005-0000-0000-000010320000}"/>
    <cellStyle name="Normal 5 2 2 3 2 2 2" xfId="5758" xr:uid="{00000000-0005-0000-0000-000011320000}"/>
    <cellStyle name="Normal 5 2 2 3 2 2 2 2" xfId="11900" xr:uid="{00000000-0005-0000-0000-000012320000}"/>
    <cellStyle name="Normal 5 2 2 3 2 2 2 3" xfId="18121" xr:uid="{00000000-0005-0000-0000-000013320000}"/>
    <cellStyle name="Normal 5 2 2 3 2 2 3" xfId="11899" xr:uid="{00000000-0005-0000-0000-000014320000}"/>
    <cellStyle name="Normal 5 2 2 3 2 2 4" xfId="18120" xr:uid="{00000000-0005-0000-0000-000015320000}"/>
    <cellStyle name="Normal 5 2 2 3 2 3" xfId="5759" xr:uid="{00000000-0005-0000-0000-000016320000}"/>
    <cellStyle name="Normal 5 2 2 3 2 3 2" xfId="5760" xr:uid="{00000000-0005-0000-0000-000017320000}"/>
    <cellStyle name="Normal 5 2 2 3 2 3 2 2" xfId="11902" xr:uid="{00000000-0005-0000-0000-000018320000}"/>
    <cellStyle name="Normal 5 2 2 3 2 3 2 3" xfId="18123" xr:uid="{00000000-0005-0000-0000-000019320000}"/>
    <cellStyle name="Normal 5 2 2 3 2 3 3" xfId="11901" xr:uid="{00000000-0005-0000-0000-00001A320000}"/>
    <cellStyle name="Normal 5 2 2 3 2 3 4" xfId="18122" xr:uid="{00000000-0005-0000-0000-00001B320000}"/>
    <cellStyle name="Normal 5 2 2 3 2 4" xfId="5761" xr:uid="{00000000-0005-0000-0000-00001C320000}"/>
    <cellStyle name="Normal 5 2 2 3 2 4 2" xfId="11903" xr:uid="{00000000-0005-0000-0000-00001D320000}"/>
    <cellStyle name="Normal 5 2 2 3 2 4 3" xfId="18124" xr:uid="{00000000-0005-0000-0000-00001E320000}"/>
    <cellStyle name="Normal 5 2 2 3 2 5" xfId="11898" xr:uid="{00000000-0005-0000-0000-00001F320000}"/>
    <cellStyle name="Normal 5 2 2 3 2 6" xfId="18119" xr:uid="{00000000-0005-0000-0000-000020320000}"/>
    <cellStyle name="Normal 5 2 2 3 3" xfId="5762" xr:uid="{00000000-0005-0000-0000-000021320000}"/>
    <cellStyle name="Normal 5 2 2 3 3 2" xfId="5763" xr:uid="{00000000-0005-0000-0000-000022320000}"/>
    <cellStyle name="Normal 5 2 2 3 3 2 2" xfId="11905" xr:uid="{00000000-0005-0000-0000-000023320000}"/>
    <cellStyle name="Normal 5 2 2 3 3 2 3" xfId="18126" xr:uid="{00000000-0005-0000-0000-000024320000}"/>
    <cellStyle name="Normal 5 2 2 3 3 3" xfId="11904" xr:uid="{00000000-0005-0000-0000-000025320000}"/>
    <cellStyle name="Normal 5 2 2 3 3 4" xfId="18125" xr:uid="{00000000-0005-0000-0000-000026320000}"/>
    <cellStyle name="Normal 5 2 2 3 4" xfId="5764" xr:uid="{00000000-0005-0000-0000-000027320000}"/>
    <cellStyle name="Normal 5 2 2 3 4 2" xfId="5765" xr:uid="{00000000-0005-0000-0000-000028320000}"/>
    <cellStyle name="Normal 5 2 2 3 4 2 2" xfId="11907" xr:uid="{00000000-0005-0000-0000-000029320000}"/>
    <cellStyle name="Normal 5 2 2 3 4 2 3" xfId="18128" xr:uid="{00000000-0005-0000-0000-00002A320000}"/>
    <cellStyle name="Normal 5 2 2 3 4 3" xfId="11906" xr:uid="{00000000-0005-0000-0000-00002B320000}"/>
    <cellStyle name="Normal 5 2 2 3 4 4" xfId="18127" xr:uid="{00000000-0005-0000-0000-00002C320000}"/>
    <cellStyle name="Normal 5 2 2 3 5" xfId="5766" xr:uid="{00000000-0005-0000-0000-00002D320000}"/>
    <cellStyle name="Normal 5 2 2 3 5 2" xfId="11908" xr:uid="{00000000-0005-0000-0000-00002E320000}"/>
    <cellStyle name="Normal 5 2 2 3 5 3" xfId="18129" xr:uid="{00000000-0005-0000-0000-00002F320000}"/>
    <cellStyle name="Normal 5 2 2 3 6" xfId="11897" xr:uid="{00000000-0005-0000-0000-000030320000}"/>
    <cellStyle name="Normal 5 2 2 3 7" xfId="18118" xr:uid="{00000000-0005-0000-0000-000031320000}"/>
    <cellStyle name="Normal 5 2 2 4" xfId="5767" xr:uid="{00000000-0005-0000-0000-000032320000}"/>
    <cellStyle name="Normal 5 2 2 4 2" xfId="5768" xr:uid="{00000000-0005-0000-0000-000033320000}"/>
    <cellStyle name="Normal 5 2 2 4 2 2" xfId="5769" xr:uid="{00000000-0005-0000-0000-000034320000}"/>
    <cellStyle name="Normal 5 2 2 4 2 2 2" xfId="11911" xr:uid="{00000000-0005-0000-0000-000035320000}"/>
    <cellStyle name="Normal 5 2 2 4 2 2 3" xfId="18132" xr:uid="{00000000-0005-0000-0000-000036320000}"/>
    <cellStyle name="Normal 5 2 2 4 2 3" xfId="11910" xr:uid="{00000000-0005-0000-0000-000037320000}"/>
    <cellStyle name="Normal 5 2 2 4 2 4" xfId="18131" xr:uid="{00000000-0005-0000-0000-000038320000}"/>
    <cellStyle name="Normal 5 2 2 4 3" xfId="5770" xr:uid="{00000000-0005-0000-0000-000039320000}"/>
    <cellStyle name="Normal 5 2 2 4 3 2" xfId="5771" xr:uid="{00000000-0005-0000-0000-00003A320000}"/>
    <cellStyle name="Normal 5 2 2 4 3 2 2" xfId="11913" xr:uid="{00000000-0005-0000-0000-00003B320000}"/>
    <cellStyle name="Normal 5 2 2 4 3 2 3" xfId="18134" xr:uid="{00000000-0005-0000-0000-00003C320000}"/>
    <cellStyle name="Normal 5 2 2 4 3 3" xfId="11912" xr:uid="{00000000-0005-0000-0000-00003D320000}"/>
    <cellStyle name="Normal 5 2 2 4 3 4" xfId="18133" xr:uid="{00000000-0005-0000-0000-00003E320000}"/>
    <cellStyle name="Normal 5 2 2 4 4" xfId="5772" xr:uid="{00000000-0005-0000-0000-00003F320000}"/>
    <cellStyle name="Normal 5 2 2 4 4 2" xfId="11914" xr:uid="{00000000-0005-0000-0000-000040320000}"/>
    <cellStyle name="Normal 5 2 2 4 4 3" xfId="18135" xr:uid="{00000000-0005-0000-0000-000041320000}"/>
    <cellStyle name="Normal 5 2 2 4 5" xfId="11909" xr:uid="{00000000-0005-0000-0000-000042320000}"/>
    <cellStyle name="Normal 5 2 2 4 6" xfId="18130" xr:uid="{00000000-0005-0000-0000-000043320000}"/>
    <cellStyle name="Normal 5 2 2 5" xfId="5773" xr:uid="{00000000-0005-0000-0000-000044320000}"/>
    <cellStyle name="Normal 5 2 2 5 2" xfId="5774" xr:uid="{00000000-0005-0000-0000-000045320000}"/>
    <cellStyle name="Normal 5 2 2 5 2 2" xfId="11916" xr:uid="{00000000-0005-0000-0000-000046320000}"/>
    <cellStyle name="Normal 5 2 2 5 2 3" xfId="18137" xr:uid="{00000000-0005-0000-0000-000047320000}"/>
    <cellStyle name="Normal 5 2 2 5 3" xfId="11915" xr:uid="{00000000-0005-0000-0000-000048320000}"/>
    <cellStyle name="Normal 5 2 2 5 4" xfId="18136" xr:uid="{00000000-0005-0000-0000-000049320000}"/>
    <cellStyle name="Normal 5 2 2 6" xfId="5775" xr:uid="{00000000-0005-0000-0000-00004A320000}"/>
    <cellStyle name="Normal 5 2 2 6 2" xfId="5776" xr:uid="{00000000-0005-0000-0000-00004B320000}"/>
    <cellStyle name="Normal 5 2 2 6 2 2" xfId="11918" xr:uid="{00000000-0005-0000-0000-00004C320000}"/>
    <cellStyle name="Normal 5 2 2 6 2 3" xfId="18139" xr:uid="{00000000-0005-0000-0000-00004D320000}"/>
    <cellStyle name="Normal 5 2 2 6 3" xfId="11917" xr:uid="{00000000-0005-0000-0000-00004E320000}"/>
    <cellStyle name="Normal 5 2 2 6 4" xfId="18138" xr:uid="{00000000-0005-0000-0000-00004F320000}"/>
    <cellStyle name="Normal 5 2 2 7" xfId="5777" xr:uid="{00000000-0005-0000-0000-000050320000}"/>
    <cellStyle name="Normal 5 2 2 7 2" xfId="11919" xr:uid="{00000000-0005-0000-0000-000051320000}"/>
    <cellStyle name="Normal 5 2 2 7 3" xfId="18140" xr:uid="{00000000-0005-0000-0000-000052320000}"/>
    <cellStyle name="Normal 5 2 2 8" xfId="11872" xr:uid="{00000000-0005-0000-0000-000053320000}"/>
    <cellStyle name="Normal 5 2 2 9" xfId="18093" xr:uid="{00000000-0005-0000-0000-000054320000}"/>
    <cellStyle name="Normal 5 2 3" xfId="5778" xr:uid="{00000000-0005-0000-0000-000055320000}"/>
    <cellStyle name="Normal 5 2 3 2" xfId="5779" xr:uid="{00000000-0005-0000-0000-000056320000}"/>
    <cellStyle name="Normal 5 2 3 2 2" xfId="5780" xr:uid="{00000000-0005-0000-0000-000057320000}"/>
    <cellStyle name="Normal 5 2 3 2 2 2" xfId="5781" xr:uid="{00000000-0005-0000-0000-000058320000}"/>
    <cellStyle name="Normal 5 2 3 2 2 2 2" xfId="5782" xr:uid="{00000000-0005-0000-0000-000059320000}"/>
    <cellStyle name="Normal 5 2 3 2 2 2 2 2" xfId="11924" xr:uid="{00000000-0005-0000-0000-00005A320000}"/>
    <cellStyle name="Normal 5 2 3 2 2 2 2 3" xfId="18145" xr:uid="{00000000-0005-0000-0000-00005B320000}"/>
    <cellStyle name="Normal 5 2 3 2 2 2 3" xfId="11923" xr:uid="{00000000-0005-0000-0000-00005C320000}"/>
    <cellStyle name="Normal 5 2 3 2 2 2 4" xfId="18144" xr:uid="{00000000-0005-0000-0000-00005D320000}"/>
    <cellStyle name="Normal 5 2 3 2 2 3" xfId="5783" xr:uid="{00000000-0005-0000-0000-00005E320000}"/>
    <cellStyle name="Normal 5 2 3 2 2 3 2" xfId="5784" xr:uid="{00000000-0005-0000-0000-00005F320000}"/>
    <cellStyle name="Normal 5 2 3 2 2 3 2 2" xfId="11926" xr:uid="{00000000-0005-0000-0000-000060320000}"/>
    <cellStyle name="Normal 5 2 3 2 2 3 2 3" xfId="18147" xr:uid="{00000000-0005-0000-0000-000061320000}"/>
    <cellStyle name="Normal 5 2 3 2 2 3 3" xfId="11925" xr:uid="{00000000-0005-0000-0000-000062320000}"/>
    <cellStyle name="Normal 5 2 3 2 2 3 4" xfId="18146" xr:uid="{00000000-0005-0000-0000-000063320000}"/>
    <cellStyle name="Normal 5 2 3 2 2 4" xfId="5785" xr:uid="{00000000-0005-0000-0000-000064320000}"/>
    <cellStyle name="Normal 5 2 3 2 2 4 2" xfId="11927" xr:uid="{00000000-0005-0000-0000-000065320000}"/>
    <cellStyle name="Normal 5 2 3 2 2 4 3" xfId="18148" xr:uid="{00000000-0005-0000-0000-000066320000}"/>
    <cellStyle name="Normal 5 2 3 2 2 5" xfId="11922" xr:uid="{00000000-0005-0000-0000-000067320000}"/>
    <cellStyle name="Normal 5 2 3 2 2 6" xfId="18143" xr:uid="{00000000-0005-0000-0000-000068320000}"/>
    <cellStyle name="Normal 5 2 3 2 3" xfId="5786" xr:uid="{00000000-0005-0000-0000-000069320000}"/>
    <cellStyle name="Normal 5 2 3 2 3 2" xfId="5787" xr:uid="{00000000-0005-0000-0000-00006A320000}"/>
    <cellStyle name="Normal 5 2 3 2 3 2 2" xfId="11929" xr:uid="{00000000-0005-0000-0000-00006B320000}"/>
    <cellStyle name="Normal 5 2 3 2 3 2 3" xfId="18150" xr:uid="{00000000-0005-0000-0000-00006C320000}"/>
    <cellStyle name="Normal 5 2 3 2 3 3" xfId="11928" xr:uid="{00000000-0005-0000-0000-00006D320000}"/>
    <cellStyle name="Normal 5 2 3 2 3 4" xfId="18149" xr:uid="{00000000-0005-0000-0000-00006E320000}"/>
    <cellStyle name="Normal 5 2 3 2 4" xfId="5788" xr:uid="{00000000-0005-0000-0000-00006F320000}"/>
    <cellStyle name="Normal 5 2 3 2 4 2" xfId="5789" xr:uid="{00000000-0005-0000-0000-000070320000}"/>
    <cellStyle name="Normal 5 2 3 2 4 2 2" xfId="11931" xr:uid="{00000000-0005-0000-0000-000071320000}"/>
    <cellStyle name="Normal 5 2 3 2 4 2 3" xfId="18152" xr:uid="{00000000-0005-0000-0000-000072320000}"/>
    <cellStyle name="Normal 5 2 3 2 4 3" xfId="11930" xr:uid="{00000000-0005-0000-0000-000073320000}"/>
    <cellStyle name="Normal 5 2 3 2 4 4" xfId="18151" xr:uid="{00000000-0005-0000-0000-000074320000}"/>
    <cellStyle name="Normal 5 2 3 2 5" xfId="5790" xr:uid="{00000000-0005-0000-0000-000075320000}"/>
    <cellStyle name="Normal 5 2 3 2 5 2" xfId="11932" xr:uid="{00000000-0005-0000-0000-000076320000}"/>
    <cellStyle name="Normal 5 2 3 2 5 3" xfId="18153" xr:uid="{00000000-0005-0000-0000-000077320000}"/>
    <cellStyle name="Normal 5 2 3 2 6" xfId="11921" xr:uid="{00000000-0005-0000-0000-000078320000}"/>
    <cellStyle name="Normal 5 2 3 2 7" xfId="18142" xr:uid="{00000000-0005-0000-0000-000079320000}"/>
    <cellStyle name="Normal 5 2 3 3" xfId="5791" xr:uid="{00000000-0005-0000-0000-00007A320000}"/>
    <cellStyle name="Normal 5 2 3 3 2" xfId="5792" xr:uid="{00000000-0005-0000-0000-00007B320000}"/>
    <cellStyle name="Normal 5 2 3 3 2 2" xfId="5793" xr:uid="{00000000-0005-0000-0000-00007C320000}"/>
    <cellStyle name="Normal 5 2 3 3 2 2 2" xfId="11935" xr:uid="{00000000-0005-0000-0000-00007D320000}"/>
    <cellStyle name="Normal 5 2 3 3 2 2 3" xfId="18156" xr:uid="{00000000-0005-0000-0000-00007E320000}"/>
    <cellStyle name="Normal 5 2 3 3 2 3" xfId="11934" xr:uid="{00000000-0005-0000-0000-00007F320000}"/>
    <cellStyle name="Normal 5 2 3 3 2 4" xfId="18155" xr:uid="{00000000-0005-0000-0000-000080320000}"/>
    <cellStyle name="Normal 5 2 3 3 3" xfId="5794" xr:uid="{00000000-0005-0000-0000-000081320000}"/>
    <cellStyle name="Normal 5 2 3 3 3 2" xfId="5795" xr:uid="{00000000-0005-0000-0000-000082320000}"/>
    <cellStyle name="Normal 5 2 3 3 3 2 2" xfId="11937" xr:uid="{00000000-0005-0000-0000-000083320000}"/>
    <cellStyle name="Normal 5 2 3 3 3 2 3" xfId="18158" xr:uid="{00000000-0005-0000-0000-000084320000}"/>
    <cellStyle name="Normal 5 2 3 3 3 3" xfId="11936" xr:uid="{00000000-0005-0000-0000-000085320000}"/>
    <cellStyle name="Normal 5 2 3 3 3 4" xfId="18157" xr:uid="{00000000-0005-0000-0000-000086320000}"/>
    <cellStyle name="Normal 5 2 3 3 4" xfId="5796" xr:uid="{00000000-0005-0000-0000-000087320000}"/>
    <cellStyle name="Normal 5 2 3 3 4 2" xfId="11938" xr:uid="{00000000-0005-0000-0000-000088320000}"/>
    <cellStyle name="Normal 5 2 3 3 4 3" xfId="18159" xr:uid="{00000000-0005-0000-0000-000089320000}"/>
    <cellStyle name="Normal 5 2 3 3 5" xfId="11933" xr:uid="{00000000-0005-0000-0000-00008A320000}"/>
    <cellStyle name="Normal 5 2 3 3 6" xfId="18154" xr:uid="{00000000-0005-0000-0000-00008B320000}"/>
    <cellStyle name="Normal 5 2 3 4" xfId="5797" xr:uid="{00000000-0005-0000-0000-00008C320000}"/>
    <cellStyle name="Normal 5 2 3 4 2" xfId="5798" xr:uid="{00000000-0005-0000-0000-00008D320000}"/>
    <cellStyle name="Normal 5 2 3 4 2 2" xfId="11940" xr:uid="{00000000-0005-0000-0000-00008E320000}"/>
    <cellStyle name="Normal 5 2 3 4 2 3" xfId="18161" xr:uid="{00000000-0005-0000-0000-00008F320000}"/>
    <cellStyle name="Normal 5 2 3 4 3" xfId="5799" xr:uid="{00000000-0005-0000-0000-000090320000}"/>
    <cellStyle name="Normal 5 2 3 4 3 2" xfId="11941" xr:uid="{00000000-0005-0000-0000-000091320000}"/>
    <cellStyle name="Normal 5 2 3 4 3 3" xfId="18162" xr:uid="{00000000-0005-0000-0000-000092320000}"/>
    <cellStyle name="Normal 5 2 3 4 4" xfId="11939" xr:uid="{00000000-0005-0000-0000-000093320000}"/>
    <cellStyle name="Normal 5 2 3 4 5" xfId="18160" xr:uid="{00000000-0005-0000-0000-000094320000}"/>
    <cellStyle name="Normal 5 2 3 5" xfId="5800" xr:uid="{00000000-0005-0000-0000-000095320000}"/>
    <cellStyle name="Normal 5 2 3 5 2" xfId="5801" xr:uid="{00000000-0005-0000-0000-000096320000}"/>
    <cellStyle name="Normal 5 2 3 5 2 2" xfId="11943" xr:uid="{00000000-0005-0000-0000-000097320000}"/>
    <cellStyle name="Normal 5 2 3 5 2 3" xfId="18164" xr:uid="{00000000-0005-0000-0000-000098320000}"/>
    <cellStyle name="Normal 5 2 3 5 3" xfId="11942" xr:uid="{00000000-0005-0000-0000-000099320000}"/>
    <cellStyle name="Normal 5 2 3 5 4" xfId="18163" xr:uid="{00000000-0005-0000-0000-00009A320000}"/>
    <cellStyle name="Normal 5 2 3 6" xfId="5802" xr:uid="{00000000-0005-0000-0000-00009B320000}"/>
    <cellStyle name="Normal 5 2 3 6 2" xfId="11944" xr:uid="{00000000-0005-0000-0000-00009C320000}"/>
    <cellStyle name="Normal 5 2 3 6 3" xfId="18165" xr:uid="{00000000-0005-0000-0000-00009D320000}"/>
    <cellStyle name="Normal 5 2 3 7" xfId="11920" xr:uid="{00000000-0005-0000-0000-00009E320000}"/>
    <cellStyle name="Normal 5 2 3 8" xfId="18141" xr:uid="{00000000-0005-0000-0000-00009F320000}"/>
    <cellStyle name="Normal 5 2 4" xfId="5803" xr:uid="{00000000-0005-0000-0000-0000A0320000}"/>
    <cellStyle name="Normal 5 2 4 2" xfId="5804" xr:uid="{00000000-0005-0000-0000-0000A1320000}"/>
    <cellStyle name="Normal 5 2 4 2 2" xfId="5805" xr:uid="{00000000-0005-0000-0000-0000A2320000}"/>
    <cellStyle name="Normal 5 2 4 2 2 2" xfId="5806" xr:uid="{00000000-0005-0000-0000-0000A3320000}"/>
    <cellStyle name="Normal 5 2 4 2 2 2 2" xfId="11948" xr:uid="{00000000-0005-0000-0000-0000A4320000}"/>
    <cellStyle name="Normal 5 2 4 2 2 2 3" xfId="18169" xr:uid="{00000000-0005-0000-0000-0000A5320000}"/>
    <cellStyle name="Normal 5 2 4 2 2 3" xfId="11947" xr:uid="{00000000-0005-0000-0000-0000A6320000}"/>
    <cellStyle name="Normal 5 2 4 2 2 4" xfId="18168" xr:uid="{00000000-0005-0000-0000-0000A7320000}"/>
    <cellStyle name="Normal 5 2 4 2 3" xfId="5807" xr:uid="{00000000-0005-0000-0000-0000A8320000}"/>
    <cellStyle name="Normal 5 2 4 2 3 2" xfId="5808" xr:uid="{00000000-0005-0000-0000-0000A9320000}"/>
    <cellStyle name="Normal 5 2 4 2 3 2 2" xfId="11950" xr:uid="{00000000-0005-0000-0000-0000AA320000}"/>
    <cellStyle name="Normal 5 2 4 2 3 2 3" xfId="18171" xr:uid="{00000000-0005-0000-0000-0000AB320000}"/>
    <cellStyle name="Normal 5 2 4 2 3 3" xfId="11949" xr:uid="{00000000-0005-0000-0000-0000AC320000}"/>
    <cellStyle name="Normal 5 2 4 2 3 4" xfId="18170" xr:uid="{00000000-0005-0000-0000-0000AD320000}"/>
    <cellStyle name="Normal 5 2 4 2 4" xfId="5809" xr:uid="{00000000-0005-0000-0000-0000AE320000}"/>
    <cellStyle name="Normal 5 2 4 2 4 2" xfId="11951" xr:uid="{00000000-0005-0000-0000-0000AF320000}"/>
    <cellStyle name="Normal 5 2 4 2 4 3" xfId="18172" xr:uid="{00000000-0005-0000-0000-0000B0320000}"/>
    <cellStyle name="Normal 5 2 4 2 5" xfId="5810" xr:uid="{00000000-0005-0000-0000-0000B1320000}"/>
    <cellStyle name="Normal 5 2 4 2 5 2" xfId="11952" xr:uid="{00000000-0005-0000-0000-0000B2320000}"/>
    <cellStyle name="Normal 5 2 4 2 5 3" xfId="18173" xr:uid="{00000000-0005-0000-0000-0000B3320000}"/>
    <cellStyle name="Normal 5 2 4 2 6" xfId="11946" xr:uid="{00000000-0005-0000-0000-0000B4320000}"/>
    <cellStyle name="Normal 5 2 4 2 7" xfId="18167" xr:uid="{00000000-0005-0000-0000-0000B5320000}"/>
    <cellStyle name="Normal 5 2 4 3" xfId="5811" xr:uid="{00000000-0005-0000-0000-0000B6320000}"/>
    <cellStyle name="Normal 5 2 4 3 2" xfId="5812" xr:uid="{00000000-0005-0000-0000-0000B7320000}"/>
    <cellStyle name="Normal 5 2 4 3 2 2" xfId="11954" xr:uid="{00000000-0005-0000-0000-0000B8320000}"/>
    <cellStyle name="Normal 5 2 4 3 2 3" xfId="18175" xr:uid="{00000000-0005-0000-0000-0000B9320000}"/>
    <cellStyle name="Normal 5 2 4 3 3" xfId="5813" xr:uid="{00000000-0005-0000-0000-0000BA320000}"/>
    <cellStyle name="Normal 5 2 4 3 3 2" xfId="11955" xr:uid="{00000000-0005-0000-0000-0000BB320000}"/>
    <cellStyle name="Normal 5 2 4 3 3 3" xfId="18176" xr:uid="{00000000-0005-0000-0000-0000BC320000}"/>
    <cellStyle name="Normal 5 2 4 3 4" xfId="11953" xr:uid="{00000000-0005-0000-0000-0000BD320000}"/>
    <cellStyle name="Normal 5 2 4 3 5" xfId="18174" xr:uid="{00000000-0005-0000-0000-0000BE320000}"/>
    <cellStyle name="Normal 5 2 4 4" xfId="5814" xr:uid="{00000000-0005-0000-0000-0000BF320000}"/>
    <cellStyle name="Normal 5 2 4 4 2" xfId="5815" xr:uid="{00000000-0005-0000-0000-0000C0320000}"/>
    <cellStyle name="Normal 5 2 4 4 2 2" xfId="11957" xr:uid="{00000000-0005-0000-0000-0000C1320000}"/>
    <cellStyle name="Normal 5 2 4 4 2 3" xfId="18178" xr:uid="{00000000-0005-0000-0000-0000C2320000}"/>
    <cellStyle name="Normal 5 2 4 4 3" xfId="5816" xr:uid="{00000000-0005-0000-0000-0000C3320000}"/>
    <cellStyle name="Normal 5 2 4 4 3 2" xfId="11958" xr:uid="{00000000-0005-0000-0000-0000C4320000}"/>
    <cellStyle name="Normal 5 2 4 4 3 3" xfId="18179" xr:uid="{00000000-0005-0000-0000-0000C5320000}"/>
    <cellStyle name="Normal 5 2 4 4 4" xfId="11956" xr:uid="{00000000-0005-0000-0000-0000C6320000}"/>
    <cellStyle name="Normal 5 2 4 4 5" xfId="18177" xr:uid="{00000000-0005-0000-0000-0000C7320000}"/>
    <cellStyle name="Normal 5 2 4 5" xfId="5817" xr:uid="{00000000-0005-0000-0000-0000C8320000}"/>
    <cellStyle name="Normal 5 2 4 5 2" xfId="11959" xr:uid="{00000000-0005-0000-0000-0000C9320000}"/>
    <cellStyle name="Normal 5 2 4 5 3" xfId="18180" xr:uid="{00000000-0005-0000-0000-0000CA320000}"/>
    <cellStyle name="Normal 5 2 4 6" xfId="5818" xr:uid="{00000000-0005-0000-0000-0000CB320000}"/>
    <cellStyle name="Normal 5 2 4 6 2" xfId="11960" xr:uid="{00000000-0005-0000-0000-0000CC320000}"/>
    <cellStyle name="Normal 5 2 4 6 3" xfId="18181" xr:uid="{00000000-0005-0000-0000-0000CD320000}"/>
    <cellStyle name="Normal 5 2 4 7" xfId="11945" xr:uid="{00000000-0005-0000-0000-0000CE320000}"/>
    <cellStyle name="Normal 5 2 4 8" xfId="18166" xr:uid="{00000000-0005-0000-0000-0000CF320000}"/>
    <cellStyle name="Normal 5 2 5" xfId="5819" xr:uid="{00000000-0005-0000-0000-0000D0320000}"/>
    <cellStyle name="Normal 5 2 5 10" xfId="5820" xr:uid="{00000000-0005-0000-0000-0000D1320000}"/>
    <cellStyle name="Normal 5 2 5 10 2" xfId="5821" xr:uid="{00000000-0005-0000-0000-0000D2320000}"/>
    <cellStyle name="Normal 5 2 5 10 2 2" xfId="11963" xr:uid="{00000000-0005-0000-0000-0000D3320000}"/>
    <cellStyle name="Normal 5 2 5 10 2 3" xfId="18184" xr:uid="{00000000-0005-0000-0000-0000D4320000}"/>
    <cellStyle name="Normal 5 2 5 10 3" xfId="5822" xr:uid="{00000000-0005-0000-0000-0000D5320000}"/>
    <cellStyle name="Normal 5 2 5 10 3 2" xfId="11964" xr:uid="{00000000-0005-0000-0000-0000D6320000}"/>
    <cellStyle name="Normal 5 2 5 10 3 3" xfId="18185" xr:uid="{00000000-0005-0000-0000-0000D7320000}"/>
    <cellStyle name="Normal 5 2 5 10 4" xfId="11962" xr:uid="{00000000-0005-0000-0000-0000D8320000}"/>
    <cellStyle name="Normal 5 2 5 10 5" xfId="18183" xr:uid="{00000000-0005-0000-0000-0000D9320000}"/>
    <cellStyle name="Normal 5 2 5 11" xfId="5823" xr:uid="{00000000-0005-0000-0000-0000DA320000}"/>
    <cellStyle name="Normal 5 2 5 11 2" xfId="5824" xr:uid="{00000000-0005-0000-0000-0000DB320000}"/>
    <cellStyle name="Normal 5 2 5 11 2 2" xfId="11966" xr:uid="{00000000-0005-0000-0000-0000DC320000}"/>
    <cellStyle name="Normal 5 2 5 11 2 3" xfId="18187" xr:uid="{00000000-0005-0000-0000-0000DD320000}"/>
    <cellStyle name="Normal 5 2 5 11 3" xfId="11965" xr:uid="{00000000-0005-0000-0000-0000DE320000}"/>
    <cellStyle name="Normal 5 2 5 11 4" xfId="18186" xr:uid="{00000000-0005-0000-0000-0000DF320000}"/>
    <cellStyle name="Normal 5 2 5 12" xfId="5825" xr:uid="{00000000-0005-0000-0000-0000E0320000}"/>
    <cellStyle name="Normal 5 2 5 12 2" xfId="5826" xr:uid="{00000000-0005-0000-0000-0000E1320000}"/>
    <cellStyle name="Normal 5 2 5 12 2 2" xfId="11968" xr:uid="{00000000-0005-0000-0000-0000E2320000}"/>
    <cellStyle name="Normal 5 2 5 12 2 3" xfId="18189" xr:uid="{00000000-0005-0000-0000-0000E3320000}"/>
    <cellStyle name="Normal 5 2 5 12 3" xfId="11967" xr:uid="{00000000-0005-0000-0000-0000E4320000}"/>
    <cellStyle name="Normal 5 2 5 12 4" xfId="18188" xr:uid="{00000000-0005-0000-0000-0000E5320000}"/>
    <cellStyle name="Normal 5 2 5 13" xfId="5827" xr:uid="{00000000-0005-0000-0000-0000E6320000}"/>
    <cellStyle name="Normal 5 2 5 13 2" xfId="11969" xr:uid="{00000000-0005-0000-0000-0000E7320000}"/>
    <cellStyle name="Normal 5 2 5 13 3" xfId="18190" xr:uid="{00000000-0005-0000-0000-0000E8320000}"/>
    <cellStyle name="Normal 5 2 5 14" xfId="5828" xr:uid="{00000000-0005-0000-0000-0000E9320000}"/>
    <cellStyle name="Normal 5 2 5 14 2" xfId="11970" xr:uid="{00000000-0005-0000-0000-0000EA320000}"/>
    <cellStyle name="Normal 5 2 5 14 3" xfId="18191" xr:uid="{00000000-0005-0000-0000-0000EB320000}"/>
    <cellStyle name="Normal 5 2 5 15" xfId="5829" xr:uid="{00000000-0005-0000-0000-0000EC320000}"/>
    <cellStyle name="Normal 5 2 5 15 2" xfId="11971" xr:uid="{00000000-0005-0000-0000-0000ED320000}"/>
    <cellStyle name="Normal 5 2 5 15 3" xfId="18192" xr:uid="{00000000-0005-0000-0000-0000EE320000}"/>
    <cellStyle name="Normal 5 2 5 16" xfId="5830" xr:uid="{00000000-0005-0000-0000-0000EF320000}"/>
    <cellStyle name="Normal 5 2 5 16 2" xfId="11972" xr:uid="{00000000-0005-0000-0000-0000F0320000}"/>
    <cellStyle name="Normal 5 2 5 16 3" xfId="18193" xr:uid="{00000000-0005-0000-0000-0000F1320000}"/>
    <cellStyle name="Normal 5 2 5 17" xfId="5831" xr:uid="{00000000-0005-0000-0000-0000F2320000}"/>
    <cellStyle name="Normal 5 2 5 17 2" xfId="11973" xr:uid="{00000000-0005-0000-0000-0000F3320000}"/>
    <cellStyle name="Normal 5 2 5 17 3" xfId="18194" xr:uid="{00000000-0005-0000-0000-0000F4320000}"/>
    <cellStyle name="Normal 5 2 5 18" xfId="5832" xr:uid="{00000000-0005-0000-0000-0000F5320000}"/>
    <cellStyle name="Normal 5 2 5 18 2" xfId="11974" xr:uid="{00000000-0005-0000-0000-0000F6320000}"/>
    <cellStyle name="Normal 5 2 5 18 3" xfId="18195" xr:uid="{00000000-0005-0000-0000-0000F7320000}"/>
    <cellStyle name="Normal 5 2 5 19" xfId="5833" xr:uid="{00000000-0005-0000-0000-0000F8320000}"/>
    <cellStyle name="Normal 5 2 5 19 2" xfId="5834" xr:uid="{00000000-0005-0000-0000-0000F9320000}"/>
    <cellStyle name="Normal 5 2 5 19 2 2" xfId="11976" xr:uid="{00000000-0005-0000-0000-0000FA320000}"/>
    <cellStyle name="Normal 5 2 5 19 2 3" xfId="18197" xr:uid="{00000000-0005-0000-0000-0000FB320000}"/>
    <cellStyle name="Normal 5 2 5 19 3" xfId="5835" xr:uid="{00000000-0005-0000-0000-0000FC320000}"/>
    <cellStyle name="Normal 5 2 5 19 3 2" xfId="11977" xr:uid="{00000000-0005-0000-0000-0000FD320000}"/>
    <cellStyle name="Normal 5 2 5 19 3 3" xfId="18198" xr:uid="{00000000-0005-0000-0000-0000FE320000}"/>
    <cellStyle name="Normal 5 2 5 19 4" xfId="5836" xr:uid="{00000000-0005-0000-0000-0000FF320000}"/>
    <cellStyle name="Normal 5 2 5 19 4 2" xfId="11978" xr:uid="{00000000-0005-0000-0000-000000330000}"/>
    <cellStyle name="Normal 5 2 5 19 4 3" xfId="18199" xr:uid="{00000000-0005-0000-0000-000001330000}"/>
    <cellStyle name="Normal 5 2 5 19 5" xfId="5837" xr:uid="{00000000-0005-0000-0000-000002330000}"/>
    <cellStyle name="Normal 5 2 5 19 5 2" xfId="11979" xr:uid="{00000000-0005-0000-0000-000003330000}"/>
    <cellStyle name="Normal 5 2 5 19 5 3" xfId="18200" xr:uid="{00000000-0005-0000-0000-000004330000}"/>
    <cellStyle name="Normal 5 2 5 19 6" xfId="5838" xr:uid="{00000000-0005-0000-0000-000005330000}"/>
    <cellStyle name="Normal 5 2 5 19 6 2" xfId="11980" xr:uid="{00000000-0005-0000-0000-000006330000}"/>
    <cellStyle name="Normal 5 2 5 19 6 3" xfId="18201" xr:uid="{00000000-0005-0000-0000-000007330000}"/>
    <cellStyle name="Normal 5 2 5 19 7" xfId="5839" xr:uid="{00000000-0005-0000-0000-000008330000}"/>
    <cellStyle name="Normal 5 2 5 19 7 2" xfId="11981" xr:uid="{00000000-0005-0000-0000-000009330000}"/>
    <cellStyle name="Normal 5 2 5 19 7 3" xfId="18202" xr:uid="{00000000-0005-0000-0000-00000A330000}"/>
    <cellStyle name="Normal 5 2 5 19 8" xfId="11975" xr:uid="{00000000-0005-0000-0000-00000B330000}"/>
    <cellStyle name="Normal 5 2 5 19 9" xfId="18196" xr:uid="{00000000-0005-0000-0000-00000C330000}"/>
    <cellStyle name="Normal 5 2 5 2" xfId="5840" xr:uid="{00000000-0005-0000-0000-00000D330000}"/>
    <cellStyle name="Normal 5 2 5 2 2" xfId="5841" xr:uid="{00000000-0005-0000-0000-00000E330000}"/>
    <cellStyle name="Normal 5 2 5 2 2 2" xfId="5842" xr:uid="{00000000-0005-0000-0000-00000F330000}"/>
    <cellStyle name="Normal 5 2 5 2 2 2 2" xfId="11984" xr:uid="{00000000-0005-0000-0000-000010330000}"/>
    <cellStyle name="Normal 5 2 5 2 2 2 3" xfId="18205" xr:uid="{00000000-0005-0000-0000-000011330000}"/>
    <cellStyle name="Normal 5 2 5 2 2 3" xfId="5843" xr:uid="{00000000-0005-0000-0000-000012330000}"/>
    <cellStyle name="Normal 5 2 5 2 2 3 2" xfId="11985" xr:uid="{00000000-0005-0000-0000-000013330000}"/>
    <cellStyle name="Normal 5 2 5 2 2 3 3" xfId="18206" xr:uid="{00000000-0005-0000-0000-000014330000}"/>
    <cellStyle name="Normal 5 2 5 2 2 4" xfId="5844" xr:uid="{00000000-0005-0000-0000-000015330000}"/>
    <cellStyle name="Normal 5 2 5 2 2 4 2" xfId="11986" xr:uid="{00000000-0005-0000-0000-000016330000}"/>
    <cellStyle name="Normal 5 2 5 2 2 4 3" xfId="18207" xr:uid="{00000000-0005-0000-0000-000017330000}"/>
    <cellStyle name="Normal 5 2 5 2 2 5" xfId="5845" xr:uid="{00000000-0005-0000-0000-000018330000}"/>
    <cellStyle name="Normal 5 2 5 2 2 5 2" xfId="11987" xr:uid="{00000000-0005-0000-0000-000019330000}"/>
    <cellStyle name="Normal 5 2 5 2 2 5 3" xfId="18208" xr:uid="{00000000-0005-0000-0000-00001A330000}"/>
    <cellStyle name="Normal 5 2 5 2 2 6" xfId="11983" xr:uid="{00000000-0005-0000-0000-00001B330000}"/>
    <cellStyle name="Normal 5 2 5 2 2 7" xfId="18204" xr:uid="{00000000-0005-0000-0000-00001C330000}"/>
    <cellStyle name="Normal 5 2 5 2 3" xfId="5846" xr:uid="{00000000-0005-0000-0000-00001D330000}"/>
    <cellStyle name="Normal 5 2 5 2 3 2" xfId="5847" xr:uid="{00000000-0005-0000-0000-00001E330000}"/>
    <cellStyle name="Normal 5 2 5 2 3 2 2" xfId="11989" xr:uid="{00000000-0005-0000-0000-00001F330000}"/>
    <cellStyle name="Normal 5 2 5 2 3 2 3" xfId="18210" xr:uid="{00000000-0005-0000-0000-000020330000}"/>
    <cellStyle name="Normal 5 2 5 2 3 3" xfId="5848" xr:uid="{00000000-0005-0000-0000-000021330000}"/>
    <cellStyle name="Normal 5 2 5 2 3 3 2" xfId="11990" xr:uid="{00000000-0005-0000-0000-000022330000}"/>
    <cellStyle name="Normal 5 2 5 2 3 3 3" xfId="18211" xr:uid="{00000000-0005-0000-0000-000023330000}"/>
    <cellStyle name="Normal 5 2 5 2 3 4" xfId="11988" xr:uid="{00000000-0005-0000-0000-000024330000}"/>
    <cellStyle name="Normal 5 2 5 2 3 5" xfId="18209" xr:uid="{00000000-0005-0000-0000-000025330000}"/>
    <cellStyle name="Normal 5 2 5 2 4" xfId="5849" xr:uid="{00000000-0005-0000-0000-000026330000}"/>
    <cellStyle name="Normal 5 2 5 2 4 2" xfId="5850" xr:uid="{00000000-0005-0000-0000-000027330000}"/>
    <cellStyle name="Normal 5 2 5 2 4 2 2" xfId="11992" xr:uid="{00000000-0005-0000-0000-000028330000}"/>
    <cellStyle name="Normal 5 2 5 2 4 2 3" xfId="18213" xr:uid="{00000000-0005-0000-0000-000029330000}"/>
    <cellStyle name="Normal 5 2 5 2 4 3" xfId="5851" xr:uid="{00000000-0005-0000-0000-00002A330000}"/>
    <cellStyle name="Normal 5 2 5 2 4 3 2" xfId="11993" xr:uid="{00000000-0005-0000-0000-00002B330000}"/>
    <cellStyle name="Normal 5 2 5 2 4 3 3" xfId="18214" xr:uid="{00000000-0005-0000-0000-00002C330000}"/>
    <cellStyle name="Normal 5 2 5 2 4 4" xfId="11991" xr:uid="{00000000-0005-0000-0000-00002D330000}"/>
    <cellStyle name="Normal 5 2 5 2 4 5" xfId="18212" xr:uid="{00000000-0005-0000-0000-00002E330000}"/>
    <cellStyle name="Normal 5 2 5 2 5" xfId="5852" xr:uid="{00000000-0005-0000-0000-00002F330000}"/>
    <cellStyle name="Normal 5 2 5 2 5 2" xfId="11994" xr:uid="{00000000-0005-0000-0000-000030330000}"/>
    <cellStyle name="Normal 5 2 5 2 5 3" xfId="18215" xr:uid="{00000000-0005-0000-0000-000031330000}"/>
    <cellStyle name="Normal 5 2 5 2 6" xfId="5853" xr:uid="{00000000-0005-0000-0000-000032330000}"/>
    <cellStyle name="Normal 5 2 5 2 6 2" xfId="11995" xr:uid="{00000000-0005-0000-0000-000033330000}"/>
    <cellStyle name="Normal 5 2 5 2 6 3" xfId="18216" xr:uid="{00000000-0005-0000-0000-000034330000}"/>
    <cellStyle name="Normal 5 2 5 2 7" xfId="11982" xr:uid="{00000000-0005-0000-0000-000035330000}"/>
    <cellStyle name="Normal 5 2 5 2 8" xfId="18203" xr:uid="{00000000-0005-0000-0000-000036330000}"/>
    <cellStyle name="Normal 5 2 5 20" xfId="5854" xr:uid="{00000000-0005-0000-0000-000037330000}"/>
    <cellStyle name="Normal 5 2 5 20 2" xfId="11996" xr:uid="{00000000-0005-0000-0000-000038330000}"/>
    <cellStyle name="Normal 5 2 5 20 3" xfId="18217" xr:uid="{00000000-0005-0000-0000-000039330000}"/>
    <cellStyle name="Normal 5 2 5 21" xfId="5855" xr:uid="{00000000-0005-0000-0000-00003A330000}"/>
    <cellStyle name="Normal 5 2 5 21 2" xfId="11997" xr:uid="{00000000-0005-0000-0000-00003B330000}"/>
    <cellStyle name="Normal 5 2 5 21 3" xfId="18218" xr:uid="{00000000-0005-0000-0000-00003C330000}"/>
    <cellStyle name="Normal 5 2 5 22" xfId="5856" xr:uid="{00000000-0005-0000-0000-00003D330000}"/>
    <cellStyle name="Normal 5 2 5 22 2" xfId="11998" xr:uid="{00000000-0005-0000-0000-00003E330000}"/>
    <cellStyle name="Normal 5 2 5 22 3" xfId="18219" xr:uid="{00000000-0005-0000-0000-00003F330000}"/>
    <cellStyle name="Normal 5 2 5 23" xfId="5857" xr:uid="{00000000-0005-0000-0000-000040330000}"/>
    <cellStyle name="Normal 5 2 5 23 2" xfId="11999" xr:uid="{00000000-0005-0000-0000-000041330000}"/>
    <cellStyle name="Normal 5 2 5 23 3" xfId="18220" xr:uid="{00000000-0005-0000-0000-000042330000}"/>
    <cellStyle name="Normal 5 2 5 24" xfId="5858" xr:uid="{00000000-0005-0000-0000-000043330000}"/>
    <cellStyle name="Normal 5 2 5 24 2" xfId="12000" xr:uid="{00000000-0005-0000-0000-000044330000}"/>
    <cellStyle name="Normal 5 2 5 24 3" xfId="18221" xr:uid="{00000000-0005-0000-0000-000045330000}"/>
    <cellStyle name="Normal 5 2 5 25" xfId="5859" xr:uid="{00000000-0005-0000-0000-000046330000}"/>
    <cellStyle name="Normal 5 2 5 25 2" xfId="12001" xr:uid="{00000000-0005-0000-0000-000047330000}"/>
    <cellStyle name="Normal 5 2 5 25 3" xfId="18222" xr:uid="{00000000-0005-0000-0000-000048330000}"/>
    <cellStyle name="Normal 5 2 5 26" xfId="5860" xr:uid="{00000000-0005-0000-0000-000049330000}"/>
    <cellStyle name="Normal 5 2 5 26 2" xfId="12002" xr:uid="{00000000-0005-0000-0000-00004A330000}"/>
    <cellStyle name="Normal 5 2 5 26 3" xfId="18223" xr:uid="{00000000-0005-0000-0000-00004B330000}"/>
    <cellStyle name="Normal 5 2 5 27" xfId="5861" xr:uid="{00000000-0005-0000-0000-00004C330000}"/>
    <cellStyle name="Normal 5 2 5 27 2" xfId="12003" xr:uid="{00000000-0005-0000-0000-00004D330000}"/>
    <cellStyle name="Normal 5 2 5 27 3" xfId="18224" xr:uid="{00000000-0005-0000-0000-00004E330000}"/>
    <cellStyle name="Normal 5 2 5 28" xfId="11961" xr:uid="{00000000-0005-0000-0000-00004F330000}"/>
    <cellStyle name="Normal 5 2 5 29" xfId="18182" xr:uid="{00000000-0005-0000-0000-000050330000}"/>
    <cellStyle name="Normal 5 2 5 3" xfId="5862" xr:uid="{00000000-0005-0000-0000-000051330000}"/>
    <cellStyle name="Normal 5 2 5 3 10" xfId="5863" xr:uid="{00000000-0005-0000-0000-000052330000}"/>
    <cellStyle name="Normal 5 2 5 3 10 2" xfId="12005" xr:uid="{00000000-0005-0000-0000-000053330000}"/>
    <cellStyle name="Normal 5 2 5 3 10 3" xfId="18226" xr:uid="{00000000-0005-0000-0000-000054330000}"/>
    <cellStyle name="Normal 5 2 5 3 11" xfId="5864" xr:uid="{00000000-0005-0000-0000-000055330000}"/>
    <cellStyle name="Normal 5 2 5 3 11 2" xfId="12006" xr:uid="{00000000-0005-0000-0000-000056330000}"/>
    <cellStyle name="Normal 5 2 5 3 11 3" xfId="18227" xr:uid="{00000000-0005-0000-0000-000057330000}"/>
    <cellStyle name="Normal 5 2 5 3 12" xfId="5865" xr:uid="{00000000-0005-0000-0000-000058330000}"/>
    <cellStyle name="Normal 5 2 5 3 12 2" xfId="12007" xr:uid="{00000000-0005-0000-0000-000059330000}"/>
    <cellStyle name="Normal 5 2 5 3 12 3" xfId="18228" xr:uid="{00000000-0005-0000-0000-00005A330000}"/>
    <cellStyle name="Normal 5 2 5 3 13" xfId="5866" xr:uid="{00000000-0005-0000-0000-00005B330000}"/>
    <cellStyle name="Normal 5 2 5 3 13 2" xfId="12008" xr:uid="{00000000-0005-0000-0000-00005C330000}"/>
    <cellStyle name="Normal 5 2 5 3 13 3" xfId="18229" xr:uid="{00000000-0005-0000-0000-00005D330000}"/>
    <cellStyle name="Normal 5 2 5 3 14" xfId="5867" xr:uid="{00000000-0005-0000-0000-00005E330000}"/>
    <cellStyle name="Normal 5 2 5 3 14 2" xfId="12009" xr:uid="{00000000-0005-0000-0000-00005F330000}"/>
    <cellStyle name="Normal 5 2 5 3 14 3" xfId="18230" xr:uid="{00000000-0005-0000-0000-000060330000}"/>
    <cellStyle name="Normal 5 2 5 3 15" xfId="5868" xr:uid="{00000000-0005-0000-0000-000061330000}"/>
    <cellStyle name="Normal 5 2 5 3 15 2" xfId="12010" xr:uid="{00000000-0005-0000-0000-000062330000}"/>
    <cellStyle name="Normal 5 2 5 3 15 3" xfId="18231" xr:uid="{00000000-0005-0000-0000-000063330000}"/>
    <cellStyle name="Normal 5 2 5 3 16" xfId="5869" xr:uid="{00000000-0005-0000-0000-000064330000}"/>
    <cellStyle name="Normal 5 2 5 3 16 2" xfId="12011" xr:uid="{00000000-0005-0000-0000-000065330000}"/>
    <cellStyle name="Normal 5 2 5 3 16 3" xfId="18232" xr:uid="{00000000-0005-0000-0000-000066330000}"/>
    <cellStyle name="Normal 5 2 5 3 17" xfId="5870" xr:uid="{00000000-0005-0000-0000-000067330000}"/>
    <cellStyle name="Normal 5 2 5 3 17 2" xfId="12012" xr:uid="{00000000-0005-0000-0000-000068330000}"/>
    <cellStyle name="Normal 5 2 5 3 17 3" xfId="18233" xr:uid="{00000000-0005-0000-0000-000069330000}"/>
    <cellStyle name="Normal 5 2 5 3 18" xfId="5871" xr:uid="{00000000-0005-0000-0000-00006A330000}"/>
    <cellStyle name="Normal 5 2 5 3 18 2" xfId="12013" xr:uid="{00000000-0005-0000-0000-00006B330000}"/>
    <cellStyle name="Normal 5 2 5 3 18 3" xfId="18234" xr:uid="{00000000-0005-0000-0000-00006C330000}"/>
    <cellStyle name="Normal 5 2 5 3 19" xfId="5872" xr:uid="{00000000-0005-0000-0000-00006D330000}"/>
    <cellStyle name="Normal 5 2 5 3 19 2" xfId="12014" xr:uid="{00000000-0005-0000-0000-00006E330000}"/>
    <cellStyle name="Normal 5 2 5 3 19 3" xfId="18235" xr:uid="{00000000-0005-0000-0000-00006F330000}"/>
    <cellStyle name="Normal 5 2 5 3 2" xfId="5873" xr:uid="{00000000-0005-0000-0000-000070330000}"/>
    <cellStyle name="Normal 5 2 5 3 2 2" xfId="5874" xr:uid="{00000000-0005-0000-0000-000071330000}"/>
    <cellStyle name="Normal 5 2 5 3 2 2 2" xfId="5875" xr:uid="{00000000-0005-0000-0000-000072330000}"/>
    <cellStyle name="Normal 5 2 5 3 2 2 2 2" xfId="12017" xr:uid="{00000000-0005-0000-0000-000073330000}"/>
    <cellStyle name="Normal 5 2 5 3 2 2 2 3" xfId="18238" xr:uid="{00000000-0005-0000-0000-000074330000}"/>
    <cellStyle name="Normal 5 2 5 3 2 2 3" xfId="5876" xr:uid="{00000000-0005-0000-0000-000075330000}"/>
    <cellStyle name="Normal 5 2 5 3 2 2 3 2" xfId="12018" xr:uid="{00000000-0005-0000-0000-000076330000}"/>
    <cellStyle name="Normal 5 2 5 3 2 2 3 3" xfId="18239" xr:uid="{00000000-0005-0000-0000-000077330000}"/>
    <cellStyle name="Normal 5 2 5 3 2 2 4" xfId="12016" xr:uid="{00000000-0005-0000-0000-000078330000}"/>
    <cellStyle name="Normal 5 2 5 3 2 2 5" xfId="18237" xr:uid="{00000000-0005-0000-0000-000079330000}"/>
    <cellStyle name="Normal 5 2 5 3 2 3" xfId="5877" xr:uid="{00000000-0005-0000-0000-00007A330000}"/>
    <cellStyle name="Normal 5 2 5 3 2 3 2" xfId="5878" xr:uid="{00000000-0005-0000-0000-00007B330000}"/>
    <cellStyle name="Normal 5 2 5 3 2 3 2 2" xfId="12020" xr:uid="{00000000-0005-0000-0000-00007C330000}"/>
    <cellStyle name="Normal 5 2 5 3 2 3 2 3" xfId="18241" xr:uid="{00000000-0005-0000-0000-00007D330000}"/>
    <cellStyle name="Normal 5 2 5 3 2 3 3" xfId="5879" xr:uid="{00000000-0005-0000-0000-00007E330000}"/>
    <cellStyle name="Normal 5 2 5 3 2 3 3 2" xfId="12021" xr:uid="{00000000-0005-0000-0000-00007F330000}"/>
    <cellStyle name="Normal 5 2 5 3 2 3 3 3" xfId="18242" xr:uid="{00000000-0005-0000-0000-000080330000}"/>
    <cellStyle name="Normal 5 2 5 3 2 3 4" xfId="12019" xr:uid="{00000000-0005-0000-0000-000081330000}"/>
    <cellStyle name="Normal 5 2 5 3 2 3 5" xfId="18240" xr:uid="{00000000-0005-0000-0000-000082330000}"/>
    <cellStyle name="Normal 5 2 5 3 2 4" xfId="5880" xr:uid="{00000000-0005-0000-0000-000083330000}"/>
    <cellStyle name="Normal 5 2 5 3 2 4 2" xfId="12022" xr:uid="{00000000-0005-0000-0000-000084330000}"/>
    <cellStyle name="Normal 5 2 5 3 2 4 3" xfId="18243" xr:uid="{00000000-0005-0000-0000-000085330000}"/>
    <cellStyle name="Normal 5 2 5 3 2 5" xfId="5881" xr:uid="{00000000-0005-0000-0000-000086330000}"/>
    <cellStyle name="Normal 5 2 5 3 2 5 2" xfId="12023" xr:uid="{00000000-0005-0000-0000-000087330000}"/>
    <cellStyle name="Normal 5 2 5 3 2 5 3" xfId="18244" xr:uid="{00000000-0005-0000-0000-000088330000}"/>
    <cellStyle name="Normal 5 2 5 3 2 6" xfId="12015" xr:uid="{00000000-0005-0000-0000-000089330000}"/>
    <cellStyle name="Normal 5 2 5 3 2 7" xfId="18236" xr:uid="{00000000-0005-0000-0000-00008A330000}"/>
    <cellStyle name="Normal 5 2 5 3 20" xfId="12004" xr:uid="{00000000-0005-0000-0000-00008B330000}"/>
    <cellStyle name="Normal 5 2 5 3 21" xfId="18225" xr:uid="{00000000-0005-0000-0000-00008C330000}"/>
    <cellStyle name="Normal 5 2 5 3 3" xfId="5882" xr:uid="{00000000-0005-0000-0000-00008D330000}"/>
    <cellStyle name="Normal 5 2 5 3 3 2" xfId="5883" xr:uid="{00000000-0005-0000-0000-00008E330000}"/>
    <cellStyle name="Normal 5 2 5 3 3 2 2" xfId="12025" xr:uid="{00000000-0005-0000-0000-00008F330000}"/>
    <cellStyle name="Normal 5 2 5 3 3 2 3" xfId="18246" xr:uid="{00000000-0005-0000-0000-000090330000}"/>
    <cellStyle name="Normal 5 2 5 3 3 3" xfId="5884" xr:uid="{00000000-0005-0000-0000-000091330000}"/>
    <cellStyle name="Normal 5 2 5 3 3 3 2" xfId="12026" xr:uid="{00000000-0005-0000-0000-000092330000}"/>
    <cellStyle name="Normal 5 2 5 3 3 3 3" xfId="18247" xr:uid="{00000000-0005-0000-0000-000093330000}"/>
    <cellStyle name="Normal 5 2 5 3 3 4" xfId="5885" xr:uid="{00000000-0005-0000-0000-000094330000}"/>
    <cellStyle name="Normal 5 2 5 3 3 4 2" xfId="12027" xr:uid="{00000000-0005-0000-0000-000095330000}"/>
    <cellStyle name="Normal 5 2 5 3 3 4 3" xfId="18248" xr:uid="{00000000-0005-0000-0000-000096330000}"/>
    <cellStyle name="Normal 5 2 5 3 3 5" xfId="5886" xr:uid="{00000000-0005-0000-0000-000097330000}"/>
    <cellStyle name="Normal 5 2 5 3 3 5 2" xfId="12028" xr:uid="{00000000-0005-0000-0000-000098330000}"/>
    <cellStyle name="Normal 5 2 5 3 3 5 3" xfId="18249" xr:uid="{00000000-0005-0000-0000-000099330000}"/>
    <cellStyle name="Normal 5 2 5 3 3 6" xfId="12024" xr:uid="{00000000-0005-0000-0000-00009A330000}"/>
    <cellStyle name="Normal 5 2 5 3 3 7" xfId="18245" xr:uid="{00000000-0005-0000-0000-00009B330000}"/>
    <cellStyle name="Normal 5 2 5 3 4" xfId="5887" xr:uid="{00000000-0005-0000-0000-00009C330000}"/>
    <cellStyle name="Normal 5 2 5 3 4 2" xfId="5888" xr:uid="{00000000-0005-0000-0000-00009D330000}"/>
    <cellStyle name="Normal 5 2 5 3 4 2 2" xfId="12030" xr:uid="{00000000-0005-0000-0000-00009E330000}"/>
    <cellStyle name="Normal 5 2 5 3 4 2 3" xfId="18251" xr:uid="{00000000-0005-0000-0000-00009F330000}"/>
    <cellStyle name="Normal 5 2 5 3 4 3" xfId="5889" xr:uid="{00000000-0005-0000-0000-0000A0330000}"/>
    <cellStyle name="Normal 5 2 5 3 4 3 2" xfId="12031" xr:uid="{00000000-0005-0000-0000-0000A1330000}"/>
    <cellStyle name="Normal 5 2 5 3 4 3 3" xfId="18252" xr:uid="{00000000-0005-0000-0000-0000A2330000}"/>
    <cellStyle name="Normal 5 2 5 3 4 4" xfId="12029" xr:uid="{00000000-0005-0000-0000-0000A3330000}"/>
    <cellStyle name="Normal 5 2 5 3 4 5" xfId="18250" xr:uid="{00000000-0005-0000-0000-0000A4330000}"/>
    <cellStyle name="Normal 5 2 5 3 5" xfId="5890" xr:uid="{00000000-0005-0000-0000-0000A5330000}"/>
    <cellStyle name="Normal 5 2 5 3 5 2" xfId="5891" xr:uid="{00000000-0005-0000-0000-0000A6330000}"/>
    <cellStyle name="Normal 5 2 5 3 5 2 2" xfId="12033" xr:uid="{00000000-0005-0000-0000-0000A7330000}"/>
    <cellStyle name="Normal 5 2 5 3 5 2 3" xfId="18254" xr:uid="{00000000-0005-0000-0000-0000A8330000}"/>
    <cellStyle name="Normal 5 2 5 3 5 3" xfId="5892" xr:uid="{00000000-0005-0000-0000-0000A9330000}"/>
    <cellStyle name="Normal 5 2 5 3 5 3 2" xfId="12034" xr:uid="{00000000-0005-0000-0000-0000AA330000}"/>
    <cellStyle name="Normal 5 2 5 3 5 3 3" xfId="18255" xr:uid="{00000000-0005-0000-0000-0000AB330000}"/>
    <cellStyle name="Normal 5 2 5 3 5 4" xfId="12032" xr:uid="{00000000-0005-0000-0000-0000AC330000}"/>
    <cellStyle name="Normal 5 2 5 3 5 5" xfId="18253" xr:uid="{00000000-0005-0000-0000-0000AD330000}"/>
    <cellStyle name="Normal 5 2 5 3 6" xfId="5893" xr:uid="{00000000-0005-0000-0000-0000AE330000}"/>
    <cellStyle name="Normal 5 2 5 3 6 2" xfId="12035" xr:uid="{00000000-0005-0000-0000-0000AF330000}"/>
    <cellStyle name="Normal 5 2 5 3 6 3" xfId="18256" xr:uid="{00000000-0005-0000-0000-0000B0330000}"/>
    <cellStyle name="Normal 5 2 5 3 7" xfId="5894" xr:uid="{00000000-0005-0000-0000-0000B1330000}"/>
    <cellStyle name="Normal 5 2 5 3 7 2" xfId="12036" xr:uid="{00000000-0005-0000-0000-0000B2330000}"/>
    <cellStyle name="Normal 5 2 5 3 7 3" xfId="18257" xr:uid="{00000000-0005-0000-0000-0000B3330000}"/>
    <cellStyle name="Normal 5 2 5 3 8" xfId="5895" xr:uid="{00000000-0005-0000-0000-0000B4330000}"/>
    <cellStyle name="Normal 5 2 5 3 8 2" xfId="12037" xr:uid="{00000000-0005-0000-0000-0000B5330000}"/>
    <cellStyle name="Normal 5 2 5 3 8 3" xfId="18258" xr:uid="{00000000-0005-0000-0000-0000B6330000}"/>
    <cellStyle name="Normal 5 2 5 3 9" xfId="5896" xr:uid="{00000000-0005-0000-0000-0000B7330000}"/>
    <cellStyle name="Normal 5 2 5 3 9 2" xfId="12038" xr:uid="{00000000-0005-0000-0000-0000B8330000}"/>
    <cellStyle name="Normal 5 2 5 3 9 3" xfId="18259" xr:uid="{00000000-0005-0000-0000-0000B9330000}"/>
    <cellStyle name="Normal 5 2 5 4" xfId="5897" xr:uid="{00000000-0005-0000-0000-0000BA330000}"/>
    <cellStyle name="Normal 5 2 5 4 2" xfId="5898" xr:uid="{00000000-0005-0000-0000-0000BB330000}"/>
    <cellStyle name="Normal 5 2 5 4 2 2" xfId="5899" xr:uid="{00000000-0005-0000-0000-0000BC330000}"/>
    <cellStyle name="Normal 5 2 5 4 2 2 2" xfId="12041" xr:uid="{00000000-0005-0000-0000-0000BD330000}"/>
    <cellStyle name="Normal 5 2 5 4 2 2 3" xfId="18262" xr:uid="{00000000-0005-0000-0000-0000BE330000}"/>
    <cellStyle name="Normal 5 2 5 4 2 3" xfId="5900" xr:uid="{00000000-0005-0000-0000-0000BF330000}"/>
    <cellStyle name="Normal 5 2 5 4 2 3 2" xfId="12042" xr:uid="{00000000-0005-0000-0000-0000C0330000}"/>
    <cellStyle name="Normal 5 2 5 4 2 3 3" xfId="18263" xr:uid="{00000000-0005-0000-0000-0000C1330000}"/>
    <cellStyle name="Normal 5 2 5 4 2 4" xfId="5901" xr:uid="{00000000-0005-0000-0000-0000C2330000}"/>
    <cellStyle name="Normal 5 2 5 4 2 4 2" xfId="12043" xr:uid="{00000000-0005-0000-0000-0000C3330000}"/>
    <cellStyle name="Normal 5 2 5 4 2 4 3" xfId="18264" xr:uid="{00000000-0005-0000-0000-0000C4330000}"/>
    <cellStyle name="Normal 5 2 5 4 2 5" xfId="5902" xr:uid="{00000000-0005-0000-0000-0000C5330000}"/>
    <cellStyle name="Normal 5 2 5 4 2 5 2" xfId="12044" xr:uid="{00000000-0005-0000-0000-0000C6330000}"/>
    <cellStyle name="Normal 5 2 5 4 2 5 3" xfId="18265" xr:uid="{00000000-0005-0000-0000-0000C7330000}"/>
    <cellStyle name="Normal 5 2 5 4 2 6" xfId="12040" xr:uid="{00000000-0005-0000-0000-0000C8330000}"/>
    <cellStyle name="Normal 5 2 5 4 2 7" xfId="18261" xr:uid="{00000000-0005-0000-0000-0000C9330000}"/>
    <cellStyle name="Normal 5 2 5 4 3" xfId="5903" xr:uid="{00000000-0005-0000-0000-0000CA330000}"/>
    <cellStyle name="Normal 5 2 5 4 3 2" xfId="5904" xr:uid="{00000000-0005-0000-0000-0000CB330000}"/>
    <cellStyle name="Normal 5 2 5 4 3 2 2" xfId="12046" xr:uid="{00000000-0005-0000-0000-0000CC330000}"/>
    <cellStyle name="Normal 5 2 5 4 3 2 3" xfId="18267" xr:uid="{00000000-0005-0000-0000-0000CD330000}"/>
    <cellStyle name="Normal 5 2 5 4 3 3" xfId="5905" xr:uid="{00000000-0005-0000-0000-0000CE330000}"/>
    <cellStyle name="Normal 5 2 5 4 3 3 2" xfId="12047" xr:uid="{00000000-0005-0000-0000-0000CF330000}"/>
    <cellStyle name="Normal 5 2 5 4 3 3 3" xfId="18268" xr:uid="{00000000-0005-0000-0000-0000D0330000}"/>
    <cellStyle name="Normal 5 2 5 4 3 4" xfId="12045" xr:uid="{00000000-0005-0000-0000-0000D1330000}"/>
    <cellStyle name="Normal 5 2 5 4 3 5" xfId="18266" xr:uid="{00000000-0005-0000-0000-0000D2330000}"/>
    <cellStyle name="Normal 5 2 5 4 4" xfId="5906" xr:uid="{00000000-0005-0000-0000-0000D3330000}"/>
    <cellStyle name="Normal 5 2 5 4 4 2" xfId="5907" xr:uid="{00000000-0005-0000-0000-0000D4330000}"/>
    <cellStyle name="Normal 5 2 5 4 4 2 2" xfId="12049" xr:uid="{00000000-0005-0000-0000-0000D5330000}"/>
    <cellStyle name="Normal 5 2 5 4 4 2 3" xfId="18270" xr:uid="{00000000-0005-0000-0000-0000D6330000}"/>
    <cellStyle name="Normal 5 2 5 4 4 3" xfId="5908" xr:uid="{00000000-0005-0000-0000-0000D7330000}"/>
    <cellStyle name="Normal 5 2 5 4 4 3 2" xfId="12050" xr:uid="{00000000-0005-0000-0000-0000D8330000}"/>
    <cellStyle name="Normal 5 2 5 4 4 3 3" xfId="18271" xr:uid="{00000000-0005-0000-0000-0000D9330000}"/>
    <cellStyle name="Normal 5 2 5 4 4 4" xfId="12048" xr:uid="{00000000-0005-0000-0000-0000DA330000}"/>
    <cellStyle name="Normal 5 2 5 4 4 5" xfId="18269" xr:uid="{00000000-0005-0000-0000-0000DB330000}"/>
    <cellStyle name="Normal 5 2 5 4 5" xfId="5909" xr:uid="{00000000-0005-0000-0000-0000DC330000}"/>
    <cellStyle name="Normal 5 2 5 4 5 2" xfId="12051" xr:uid="{00000000-0005-0000-0000-0000DD330000}"/>
    <cellStyle name="Normal 5 2 5 4 5 3" xfId="18272" xr:uid="{00000000-0005-0000-0000-0000DE330000}"/>
    <cellStyle name="Normal 5 2 5 4 6" xfId="5910" xr:uid="{00000000-0005-0000-0000-0000DF330000}"/>
    <cellStyle name="Normal 5 2 5 4 6 2" xfId="12052" xr:uid="{00000000-0005-0000-0000-0000E0330000}"/>
    <cellStyle name="Normal 5 2 5 4 6 3" xfId="18273" xr:uid="{00000000-0005-0000-0000-0000E1330000}"/>
    <cellStyle name="Normal 5 2 5 4 7" xfId="12039" xr:uid="{00000000-0005-0000-0000-0000E2330000}"/>
    <cellStyle name="Normal 5 2 5 4 8" xfId="18260" xr:uid="{00000000-0005-0000-0000-0000E3330000}"/>
    <cellStyle name="Normal 5 2 5 5" xfId="5911" xr:uid="{00000000-0005-0000-0000-0000E4330000}"/>
    <cellStyle name="Normal 5 2 5 5 2" xfId="5912" xr:uid="{00000000-0005-0000-0000-0000E5330000}"/>
    <cellStyle name="Normal 5 2 5 5 2 2" xfId="5913" xr:uid="{00000000-0005-0000-0000-0000E6330000}"/>
    <cellStyle name="Normal 5 2 5 5 2 2 2" xfId="12055" xr:uid="{00000000-0005-0000-0000-0000E7330000}"/>
    <cellStyle name="Normal 5 2 5 5 2 2 3" xfId="18276" xr:uid="{00000000-0005-0000-0000-0000E8330000}"/>
    <cellStyle name="Normal 5 2 5 5 2 3" xfId="5914" xr:uid="{00000000-0005-0000-0000-0000E9330000}"/>
    <cellStyle name="Normal 5 2 5 5 2 3 2" xfId="12056" xr:uid="{00000000-0005-0000-0000-0000EA330000}"/>
    <cellStyle name="Normal 5 2 5 5 2 3 3" xfId="18277" xr:uid="{00000000-0005-0000-0000-0000EB330000}"/>
    <cellStyle name="Normal 5 2 5 5 2 4" xfId="5915" xr:uid="{00000000-0005-0000-0000-0000EC330000}"/>
    <cellStyle name="Normal 5 2 5 5 2 4 2" xfId="12057" xr:uid="{00000000-0005-0000-0000-0000ED330000}"/>
    <cellStyle name="Normal 5 2 5 5 2 4 3" xfId="18278" xr:uid="{00000000-0005-0000-0000-0000EE330000}"/>
    <cellStyle name="Normal 5 2 5 5 2 5" xfId="5916" xr:uid="{00000000-0005-0000-0000-0000EF330000}"/>
    <cellStyle name="Normal 5 2 5 5 2 5 2" xfId="12058" xr:uid="{00000000-0005-0000-0000-0000F0330000}"/>
    <cellStyle name="Normal 5 2 5 5 2 5 3" xfId="18279" xr:uid="{00000000-0005-0000-0000-0000F1330000}"/>
    <cellStyle name="Normal 5 2 5 5 2 6" xfId="12054" xr:uid="{00000000-0005-0000-0000-0000F2330000}"/>
    <cellStyle name="Normal 5 2 5 5 2 7" xfId="18275" xr:uid="{00000000-0005-0000-0000-0000F3330000}"/>
    <cellStyle name="Normal 5 2 5 5 3" xfId="5917" xr:uid="{00000000-0005-0000-0000-0000F4330000}"/>
    <cellStyle name="Normal 5 2 5 5 3 2" xfId="5918" xr:uid="{00000000-0005-0000-0000-0000F5330000}"/>
    <cellStyle name="Normal 5 2 5 5 3 2 2" xfId="12060" xr:uid="{00000000-0005-0000-0000-0000F6330000}"/>
    <cellStyle name="Normal 5 2 5 5 3 2 3" xfId="18281" xr:uid="{00000000-0005-0000-0000-0000F7330000}"/>
    <cellStyle name="Normal 5 2 5 5 3 3" xfId="5919" xr:uid="{00000000-0005-0000-0000-0000F8330000}"/>
    <cellStyle name="Normal 5 2 5 5 3 3 2" xfId="12061" xr:uid="{00000000-0005-0000-0000-0000F9330000}"/>
    <cellStyle name="Normal 5 2 5 5 3 3 3" xfId="18282" xr:uid="{00000000-0005-0000-0000-0000FA330000}"/>
    <cellStyle name="Normal 5 2 5 5 3 4" xfId="12059" xr:uid="{00000000-0005-0000-0000-0000FB330000}"/>
    <cellStyle name="Normal 5 2 5 5 3 5" xfId="18280" xr:uid="{00000000-0005-0000-0000-0000FC330000}"/>
    <cellStyle name="Normal 5 2 5 5 4" xfId="5920" xr:uid="{00000000-0005-0000-0000-0000FD330000}"/>
    <cellStyle name="Normal 5 2 5 5 4 2" xfId="5921" xr:uid="{00000000-0005-0000-0000-0000FE330000}"/>
    <cellStyle name="Normal 5 2 5 5 4 2 2" xfId="12063" xr:uid="{00000000-0005-0000-0000-0000FF330000}"/>
    <cellStyle name="Normal 5 2 5 5 4 2 3" xfId="18284" xr:uid="{00000000-0005-0000-0000-000000340000}"/>
    <cellStyle name="Normal 5 2 5 5 4 3" xfId="5922" xr:uid="{00000000-0005-0000-0000-000001340000}"/>
    <cellStyle name="Normal 5 2 5 5 4 3 2" xfId="12064" xr:uid="{00000000-0005-0000-0000-000002340000}"/>
    <cellStyle name="Normal 5 2 5 5 4 3 3" xfId="18285" xr:uid="{00000000-0005-0000-0000-000003340000}"/>
    <cellStyle name="Normal 5 2 5 5 4 4" xfId="12062" xr:uid="{00000000-0005-0000-0000-000004340000}"/>
    <cellStyle name="Normal 5 2 5 5 4 5" xfId="18283" xr:uid="{00000000-0005-0000-0000-000005340000}"/>
    <cellStyle name="Normal 5 2 5 5 5" xfId="5923" xr:uid="{00000000-0005-0000-0000-000006340000}"/>
    <cellStyle name="Normal 5 2 5 5 5 2" xfId="12065" xr:uid="{00000000-0005-0000-0000-000007340000}"/>
    <cellStyle name="Normal 5 2 5 5 5 3" xfId="18286" xr:uid="{00000000-0005-0000-0000-000008340000}"/>
    <cellStyle name="Normal 5 2 5 5 6" xfId="5924" xr:uid="{00000000-0005-0000-0000-000009340000}"/>
    <cellStyle name="Normal 5 2 5 5 6 2" xfId="12066" xr:uid="{00000000-0005-0000-0000-00000A340000}"/>
    <cellStyle name="Normal 5 2 5 5 6 3" xfId="18287" xr:uid="{00000000-0005-0000-0000-00000B340000}"/>
    <cellStyle name="Normal 5 2 5 5 7" xfId="12053" xr:uid="{00000000-0005-0000-0000-00000C340000}"/>
    <cellStyle name="Normal 5 2 5 5 8" xfId="18274" xr:uid="{00000000-0005-0000-0000-00000D340000}"/>
    <cellStyle name="Normal 5 2 5 6" xfId="5925" xr:uid="{00000000-0005-0000-0000-00000E340000}"/>
    <cellStyle name="Normal 5 2 5 6 2" xfId="5926" xr:uid="{00000000-0005-0000-0000-00000F340000}"/>
    <cellStyle name="Normal 5 2 5 6 2 2" xfId="5927" xr:uid="{00000000-0005-0000-0000-000010340000}"/>
    <cellStyle name="Normal 5 2 5 6 2 2 2" xfId="12069" xr:uid="{00000000-0005-0000-0000-000011340000}"/>
    <cellStyle name="Normal 5 2 5 6 2 2 3" xfId="18290" xr:uid="{00000000-0005-0000-0000-000012340000}"/>
    <cellStyle name="Normal 5 2 5 6 2 3" xfId="5928" xr:uid="{00000000-0005-0000-0000-000013340000}"/>
    <cellStyle name="Normal 5 2 5 6 2 3 2" xfId="12070" xr:uid="{00000000-0005-0000-0000-000014340000}"/>
    <cellStyle name="Normal 5 2 5 6 2 3 3" xfId="18291" xr:uid="{00000000-0005-0000-0000-000015340000}"/>
    <cellStyle name="Normal 5 2 5 6 2 4" xfId="5929" xr:uid="{00000000-0005-0000-0000-000016340000}"/>
    <cellStyle name="Normal 5 2 5 6 2 4 2" xfId="12071" xr:uid="{00000000-0005-0000-0000-000017340000}"/>
    <cellStyle name="Normal 5 2 5 6 2 4 3" xfId="18292" xr:uid="{00000000-0005-0000-0000-000018340000}"/>
    <cellStyle name="Normal 5 2 5 6 2 5" xfId="5930" xr:uid="{00000000-0005-0000-0000-000019340000}"/>
    <cellStyle name="Normal 5 2 5 6 2 5 2" xfId="12072" xr:uid="{00000000-0005-0000-0000-00001A340000}"/>
    <cellStyle name="Normal 5 2 5 6 2 5 3" xfId="18293" xr:uid="{00000000-0005-0000-0000-00001B340000}"/>
    <cellStyle name="Normal 5 2 5 6 2 6" xfId="12068" xr:uid="{00000000-0005-0000-0000-00001C340000}"/>
    <cellStyle name="Normal 5 2 5 6 2 7" xfId="18289" xr:uid="{00000000-0005-0000-0000-00001D340000}"/>
    <cellStyle name="Normal 5 2 5 6 3" xfId="5931" xr:uid="{00000000-0005-0000-0000-00001E340000}"/>
    <cellStyle name="Normal 5 2 5 6 3 2" xfId="5932" xr:uid="{00000000-0005-0000-0000-00001F340000}"/>
    <cellStyle name="Normal 5 2 5 6 3 2 2" xfId="12074" xr:uid="{00000000-0005-0000-0000-000020340000}"/>
    <cellStyle name="Normal 5 2 5 6 3 2 3" xfId="18295" xr:uid="{00000000-0005-0000-0000-000021340000}"/>
    <cellStyle name="Normal 5 2 5 6 3 3" xfId="5933" xr:uid="{00000000-0005-0000-0000-000022340000}"/>
    <cellStyle name="Normal 5 2 5 6 3 3 2" xfId="12075" xr:uid="{00000000-0005-0000-0000-000023340000}"/>
    <cellStyle name="Normal 5 2 5 6 3 3 3" xfId="18296" xr:uid="{00000000-0005-0000-0000-000024340000}"/>
    <cellStyle name="Normal 5 2 5 6 3 4" xfId="12073" xr:uid="{00000000-0005-0000-0000-000025340000}"/>
    <cellStyle name="Normal 5 2 5 6 3 5" xfId="18294" xr:uid="{00000000-0005-0000-0000-000026340000}"/>
    <cellStyle name="Normal 5 2 5 6 4" xfId="5934" xr:uid="{00000000-0005-0000-0000-000027340000}"/>
    <cellStyle name="Normal 5 2 5 6 4 2" xfId="5935" xr:uid="{00000000-0005-0000-0000-000028340000}"/>
    <cellStyle name="Normal 5 2 5 6 4 2 2" xfId="12077" xr:uid="{00000000-0005-0000-0000-000029340000}"/>
    <cellStyle name="Normal 5 2 5 6 4 2 3" xfId="18298" xr:uid="{00000000-0005-0000-0000-00002A340000}"/>
    <cellStyle name="Normal 5 2 5 6 4 3" xfId="5936" xr:uid="{00000000-0005-0000-0000-00002B340000}"/>
    <cellStyle name="Normal 5 2 5 6 4 3 2" xfId="12078" xr:uid="{00000000-0005-0000-0000-00002C340000}"/>
    <cellStyle name="Normal 5 2 5 6 4 3 3" xfId="18299" xr:uid="{00000000-0005-0000-0000-00002D340000}"/>
    <cellStyle name="Normal 5 2 5 6 4 4" xfId="12076" xr:uid="{00000000-0005-0000-0000-00002E340000}"/>
    <cellStyle name="Normal 5 2 5 6 4 5" xfId="18297" xr:uid="{00000000-0005-0000-0000-00002F340000}"/>
    <cellStyle name="Normal 5 2 5 6 5" xfId="5937" xr:uid="{00000000-0005-0000-0000-000030340000}"/>
    <cellStyle name="Normal 5 2 5 6 5 2" xfId="12079" xr:uid="{00000000-0005-0000-0000-000031340000}"/>
    <cellStyle name="Normal 5 2 5 6 5 3" xfId="18300" xr:uid="{00000000-0005-0000-0000-000032340000}"/>
    <cellStyle name="Normal 5 2 5 6 6" xfId="5938" xr:uid="{00000000-0005-0000-0000-000033340000}"/>
    <cellStyle name="Normal 5 2 5 6 6 2" xfId="12080" xr:uid="{00000000-0005-0000-0000-000034340000}"/>
    <cellStyle name="Normal 5 2 5 6 6 3" xfId="18301" xr:uid="{00000000-0005-0000-0000-000035340000}"/>
    <cellStyle name="Normal 5 2 5 6 7" xfId="12067" xr:uid="{00000000-0005-0000-0000-000036340000}"/>
    <cellStyle name="Normal 5 2 5 6 8" xfId="18288" xr:uid="{00000000-0005-0000-0000-000037340000}"/>
    <cellStyle name="Normal 5 2 5 7" xfId="5939" xr:uid="{00000000-0005-0000-0000-000038340000}"/>
    <cellStyle name="Normal 5 2 5 7 2" xfId="5940" xr:uid="{00000000-0005-0000-0000-000039340000}"/>
    <cellStyle name="Normal 5 2 5 7 2 2" xfId="5941" xr:uid="{00000000-0005-0000-0000-00003A340000}"/>
    <cellStyle name="Normal 5 2 5 7 2 2 2" xfId="12083" xr:uid="{00000000-0005-0000-0000-00003B340000}"/>
    <cellStyle name="Normal 5 2 5 7 2 2 3" xfId="18304" xr:uid="{00000000-0005-0000-0000-00003C340000}"/>
    <cellStyle name="Normal 5 2 5 7 2 3" xfId="5942" xr:uid="{00000000-0005-0000-0000-00003D340000}"/>
    <cellStyle name="Normal 5 2 5 7 2 3 2" xfId="12084" xr:uid="{00000000-0005-0000-0000-00003E340000}"/>
    <cellStyle name="Normal 5 2 5 7 2 3 3" xfId="18305" xr:uid="{00000000-0005-0000-0000-00003F340000}"/>
    <cellStyle name="Normal 5 2 5 7 2 4" xfId="12082" xr:uid="{00000000-0005-0000-0000-000040340000}"/>
    <cellStyle name="Normal 5 2 5 7 2 5" xfId="18303" xr:uid="{00000000-0005-0000-0000-000041340000}"/>
    <cellStyle name="Normal 5 2 5 7 3" xfId="5943" xr:uid="{00000000-0005-0000-0000-000042340000}"/>
    <cellStyle name="Normal 5 2 5 7 3 2" xfId="5944" xr:uid="{00000000-0005-0000-0000-000043340000}"/>
    <cellStyle name="Normal 5 2 5 7 3 2 2" xfId="12086" xr:uid="{00000000-0005-0000-0000-000044340000}"/>
    <cellStyle name="Normal 5 2 5 7 3 2 3" xfId="18307" xr:uid="{00000000-0005-0000-0000-000045340000}"/>
    <cellStyle name="Normal 5 2 5 7 3 3" xfId="5945" xr:uid="{00000000-0005-0000-0000-000046340000}"/>
    <cellStyle name="Normal 5 2 5 7 3 3 2" xfId="12087" xr:uid="{00000000-0005-0000-0000-000047340000}"/>
    <cellStyle name="Normal 5 2 5 7 3 3 3" xfId="18308" xr:uid="{00000000-0005-0000-0000-000048340000}"/>
    <cellStyle name="Normal 5 2 5 7 3 4" xfId="12085" xr:uid="{00000000-0005-0000-0000-000049340000}"/>
    <cellStyle name="Normal 5 2 5 7 3 5" xfId="18306" xr:uid="{00000000-0005-0000-0000-00004A340000}"/>
    <cellStyle name="Normal 5 2 5 7 4" xfId="5946" xr:uid="{00000000-0005-0000-0000-00004B340000}"/>
    <cellStyle name="Normal 5 2 5 7 4 2" xfId="5947" xr:uid="{00000000-0005-0000-0000-00004C340000}"/>
    <cellStyle name="Normal 5 2 5 7 4 2 2" xfId="12089" xr:uid="{00000000-0005-0000-0000-00004D340000}"/>
    <cellStyle name="Normal 5 2 5 7 4 2 3" xfId="18310" xr:uid="{00000000-0005-0000-0000-00004E340000}"/>
    <cellStyle name="Normal 5 2 5 7 4 3" xfId="12088" xr:uid="{00000000-0005-0000-0000-00004F340000}"/>
    <cellStyle name="Normal 5 2 5 7 4 4" xfId="18309" xr:uid="{00000000-0005-0000-0000-000050340000}"/>
    <cellStyle name="Normal 5 2 5 7 5" xfId="5948" xr:uid="{00000000-0005-0000-0000-000051340000}"/>
    <cellStyle name="Normal 5 2 5 7 5 2" xfId="12090" xr:uid="{00000000-0005-0000-0000-000052340000}"/>
    <cellStyle name="Normal 5 2 5 7 5 3" xfId="18311" xr:uid="{00000000-0005-0000-0000-000053340000}"/>
    <cellStyle name="Normal 5 2 5 7 6" xfId="5949" xr:uid="{00000000-0005-0000-0000-000054340000}"/>
    <cellStyle name="Normal 5 2 5 7 6 2" xfId="12091" xr:uid="{00000000-0005-0000-0000-000055340000}"/>
    <cellStyle name="Normal 5 2 5 7 6 3" xfId="18312" xr:uid="{00000000-0005-0000-0000-000056340000}"/>
    <cellStyle name="Normal 5 2 5 7 7" xfId="12081" xr:uid="{00000000-0005-0000-0000-000057340000}"/>
    <cellStyle name="Normal 5 2 5 7 8" xfId="18302" xr:uid="{00000000-0005-0000-0000-000058340000}"/>
    <cellStyle name="Normal 5 2 5 8" xfId="5950" xr:uid="{00000000-0005-0000-0000-000059340000}"/>
    <cellStyle name="Normal 5 2 5 8 2" xfId="5951" xr:uid="{00000000-0005-0000-0000-00005A340000}"/>
    <cellStyle name="Normal 5 2 5 8 2 2" xfId="12093" xr:uid="{00000000-0005-0000-0000-00005B340000}"/>
    <cellStyle name="Normal 5 2 5 8 2 3" xfId="18314" xr:uid="{00000000-0005-0000-0000-00005C340000}"/>
    <cellStyle name="Normal 5 2 5 8 3" xfId="5952" xr:uid="{00000000-0005-0000-0000-00005D340000}"/>
    <cellStyle name="Normal 5 2 5 8 3 2" xfId="12094" xr:uid="{00000000-0005-0000-0000-00005E340000}"/>
    <cellStyle name="Normal 5 2 5 8 3 3" xfId="18315" xr:uid="{00000000-0005-0000-0000-00005F340000}"/>
    <cellStyle name="Normal 5 2 5 8 4" xfId="5953" xr:uid="{00000000-0005-0000-0000-000060340000}"/>
    <cellStyle name="Normal 5 2 5 8 4 2" xfId="12095" xr:uid="{00000000-0005-0000-0000-000061340000}"/>
    <cellStyle name="Normal 5 2 5 8 4 3" xfId="18316" xr:uid="{00000000-0005-0000-0000-000062340000}"/>
    <cellStyle name="Normal 5 2 5 8 5" xfId="5954" xr:uid="{00000000-0005-0000-0000-000063340000}"/>
    <cellStyle name="Normal 5 2 5 8 5 2" xfId="12096" xr:uid="{00000000-0005-0000-0000-000064340000}"/>
    <cellStyle name="Normal 5 2 5 8 5 3" xfId="18317" xr:uid="{00000000-0005-0000-0000-000065340000}"/>
    <cellStyle name="Normal 5 2 5 8 6" xfId="12092" xr:uid="{00000000-0005-0000-0000-000066340000}"/>
    <cellStyle name="Normal 5 2 5 8 7" xfId="18313" xr:uid="{00000000-0005-0000-0000-000067340000}"/>
    <cellStyle name="Normal 5 2 5 9" xfId="5955" xr:uid="{00000000-0005-0000-0000-000068340000}"/>
    <cellStyle name="Normal 5 2 5 9 2" xfId="5956" xr:uid="{00000000-0005-0000-0000-000069340000}"/>
    <cellStyle name="Normal 5 2 5 9 2 2" xfId="12098" xr:uid="{00000000-0005-0000-0000-00006A340000}"/>
    <cellStyle name="Normal 5 2 5 9 2 3" xfId="18319" xr:uid="{00000000-0005-0000-0000-00006B340000}"/>
    <cellStyle name="Normal 5 2 5 9 3" xfId="5957" xr:uid="{00000000-0005-0000-0000-00006C340000}"/>
    <cellStyle name="Normal 5 2 5 9 3 2" xfId="12099" xr:uid="{00000000-0005-0000-0000-00006D340000}"/>
    <cellStyle name="Normal 5 2 5 9 3 3" xfId="18320" xr:uid="{00000000-0005-0000-0000-00006E340000}"/>
    <cellStyle name="Normal 5 2 5 9 4" xfId="12097" xr:uid="{00000000-0005-0000-0000-00006F340000}"/>
    <cellStyle name="Normal 5 2 5 9 5" xfId="18318" xr:uid="{00000000-0005-0000-0000-000070340000}"/>
    <cellStyle name="Normal 5 2 5_10070" xfId="5958" xr:uid="{00000000-0005-0000-0000-000071340000}"/>
    <cellStyle name="Normal 5 2 6" xfId="5959" xr:uid="{00000000-0005-0000-0000-000072340000}"/>
    <cellStyle name="Normal 5 2 6 2" xfId="5960" xr:uid="{00000000-0005-0000-0000-000073340000}"/>
    <cellStyle name="Normal 5 2 6 2 2" xfId="5961" xr:uid="{00000000-0005-0000-0000-000074340000}"/>
    <cellStyle name="Normal 5 2 6 2 2 2" xfId="12102" xr:uid="{00000000-0005-0000-0000-000075340000}"/>
    <cellStyle name="Normal 5 2 6 2 2 3" xfId="18323" xr:uid="{00000000-0005-0000-0000-000076340000}"/>
    <cellStyle name="Normal 5 2 6 2 3" xfId="5962" xr:uid="{00000000-0005-0000-0000-000077340000}"/>
    <cellStyle name="Normal 5 2 6 2 3 2" xfId="12103" xr:uid="{00000000-0005-0000-0000-000078340000}"/>
    <cellStyle name="Normal 5 2 6 2 3 3" xfId="18324" xr:uid="{00000000-0005-0000-0000-000079340000}"/>
    <cellStyle name="Normal 5 2 6 2 4" xfId="12101" xr:uid="{00000000-0005-0000-0000-00007A340000}"/>
    <cellStyle name="Normal 5 2 6 2 5" xfId="18322" xr:uid="{00000000-0005-0000-0000-00007B340000}"/>
    <cellStyle name="Normal 5 2 6 3" xfId="5963" xr:uid="{00000000-0005-0000-0000-00007C340000}"/>
    <cellStyle name="Normal 5 2 6 3 2" xfId="5964" xr:uid="{00000000-0005-0000-0000-00007D340000}"/>
    <cellStyle name="Normal 5 2 6 3 2 2" xfId="12105" xr:uid="{00000000-0005-0000-0000-00007E340000}"/>
    <cellStyle name="Normal 5 2 6 3 2 3" xfId="18326" xr:uid="{00000000-0005-0000-0000-00007F340000}"/>
    <cellStyle name="Normal 5 2 6 3 3" xfId="5965" xr:uid="{00000000-0005-0000-0000-000080340000}"/>
    <cellStyle name="Normal 5 2 6 3 3 2" xfId="12106" xr:uid="{00000000-0005-0000-0000-000081340000}"/>
    <cellStyle name="Normal 5 2 6 3 3 3" xfId="18327" xr:uid="{00000000-0005-0000-0000-000082340000}"/>
    <cellStyle name="Normal 5 2 6 3 4" xfId="12104" xr:uid="{00000000-0005-0000-0000-000083340000}"/>
    <cellStyle name="Normal 5 2 6 3 5" xfId="18325" xr:uid="{00000000-0005-0000-0000-000084340000}"/>
    <cellStyle name="Normal 5 2 6 4" xfId="5966" xr:uid="{00000000-0005-0000-0000-000085340000}"/>
    <cellStyle name="Normal 5 2 6 4 2" xfId="12107" xr:uid="{00000000-0005-0000-0000-000086340000}"/>
    <cellStyle name="Normal 5 2 6 4 3" xfId="18328" xr:uid="{00000000-0005-0000-0000-000087340000}"/>
    <cellStyle name="Normal 5 2 6 5" xfId="5967" xr:uid="{00000000-0005-0000-0000-000088340000}"/>
    <cellStyle name="Normal 5 2 6 5 2" xfId="12108" xr:uid="{00000000-0005-0000-0000-000089340000}"/>
    <cellStyle name="Normal 5 2 6 5 3" xfId="18329" xr:uid="{00000000-0005-0000-0000-00008A340000}"/>
    <cellStyle name="Normal 5 2 6 6" xfId="12100" xr:uid="{00000000-0005-0000-0000-00008B340000}"/>
    <cellStyle name="Normal 5 2 6 7" xfId="18321" xr:uid="{00000000-0005-0000-0000-00008C340000}"/>
    <cellStyle name="Normal 5 2 7" xfId="5968" xr:uid="{00000000-0005-0000-0000-00008D340000}"/>
    <cellStyle name="Normal 5 2 7 2" xfId="5969" xr:uid="{00000000-0005-0000-0000-00008E340000}"/>
    <cellStyle name="Normal 5 2 7 2 2" xfId="12110" xr:uid="{00000000-0005-0000-0000-00008F340000}"/>
    <cellStyle name="Normal 5 2 7 2 3" xfId="18331" xr:uid="{00000000-0005-0000-0000-000090340000}"/>
    <cellStyle name="Normal 5 2 7 3" xfId="5970" xr:uid="{00000000-0005-0000-0000-000091340000}"/>
    <cellStyle name="Normal 5 2 7 3 2" xfId="12111" xr:uid="{00000000-0005-0000-0000-000092340000}"/>
    <cellStyle name="Normal 5 2 7 3 3" xfId="18332" xr:uid="{00000000-0005-0000-0000-000093340000}"/>
    <cellStyle name="Normal 5 2 7 4" xfId="5971" xr:uid="{00000000-0005-0000-0000-000094340000}"/>
    <cellStyle name="Normal 5 2 7 4 2" xfId="12112" xr:uid="{00000000-0005-0000-0000-000095340000}"/>
    <cellStyle name="Normal 5 2 7 4 3" xfId="18333" xr:uid="{00000000-0005-0000-0000-000096340000}"/>
    <cellStyle name="Normal 5 2 7 5" xfId="5972" xr:uid="{00000000-0005-0000-0000-000097340000}"/>
    <cellStyle name="Normal 5 2 7 5 2" xfId="12113" xr:uid="{00000000-0005-0000-0000-000098340000}"/>
    <cellStyle name="Normal 5 2 7 5 3" xfId="18334" xr:uid="{00000000-0005-0000-0000-000099340000}"/>
    <cellStyle name="Normal 5 2 7 6" xfId="12109" xr:uid="{00000000-0005-0000-0000-00009A340000}"/>
    <cellStyle name="Normal 5 2 7 7" xfId="18330" xr:uid="{00000000-0005-0000-0000-00009B340000}"/>
    <cellStyle name="Normal 5 2 8" xfId="5973" xr:uid="{00000000-0005-0000-0000-00009C340000}"/>
    <cellStyle name="Normal 5 2 8 2" xfId="12114" xr:uid="{00000000-0005-0000-0000-00009D340000}"/>
    <cellStyle name="Normal 5 2 8 3" xfId="18335" xr:uid="{00000000-0005-0000-0000-00009E340000}"/>
    <cellStyle name="Normal 5 2 9" xfId="5974" xr:uid="{00000000-0005-0000-0000-00009F340000}"/>
    <cellStyle name="Normal 5 2 9 2" xfId="12115" xr:uid="{00000000-0005-0000-0000-0000A0340000}"/>
    <cellStyle name="Normal 5 2 9 3" xfId="18336" xr:uid="{00000000-0005-0000-0000-0000A1340000}"/>
    <cellStyle name="Normal 5 3" xfId="5975" xr:uid="{00000000-0005-0000-0000-0000A2340000}"/>
    <cellStyle name="Normal 5 3 10" xfId="18337" xr:uid="{00000000-0005-0000-0000-0000A3340000}"/>
    <cellStyle name="Normal 5 3 2" xfId="5976" xr:uid="{00000000-0005-0000-0000-0000A4340000}"/>
    <cellStyle name="Normal 5 3 2 2" xfId="5977" xr:uid="{00000000-0005-0000-0000-0000A5340000}"/>
    <cellStyle name="Normal 5 3 2 2 2" xfId="5978" xr:uid="{00000000-0005-0000-0000-0000A6340000}"/>
    <cellStyle name="Normal 5 3 2 2 2 2" xfId="5979" xr:uid="{00000000-0005-0000-0000-0000A7340000}"/>
    <cellStyle name="Normal 5 3 2 2 2 2 2" xfId="5980" xr:uid="{00000000-0005-0000-0000-0000A8340000}"/>
    <cellStyle name="Normal 5 3 2 2 2 2 2 2" xfId="12121" xr:uid="{00000000-0005-0000-0000-0000A9340000}"/>
    <cellStyle name="Normal 5 3 2 2 2 2 2 3" xfId="18342" xr:uid="{00000000-0005-0000-0000-0000AA340000}"/>
    <cellStyle name="Normal 5 3 2 2 2 2 3" xfId="12120" xr:uid="{00000000-0005-0000-0000-0000AB340000}"/>
    <cellStyle name="Normal 5 3 2 2 2 2 4" xfId="18341" xr:uid="{00000000-0005-0000-0000-0000AC340000}"/>
    <cellStyle name="Normal 5 3 2 2 2 3" xfId="5981" xr:uid="{00000000-0005-0000-0000-0000AD340000}"/>
    <cellStyle name="Normal 5 3 2 2 2 3 2" xfId="5982" xr:uid="{00000000-0005-0000-0000-0000AE340000}"/>
    <cellStyle name="Normal 5 3 2 2 2 3 2 2" xfId="12123" xr:uid="{00000000-0005-0000-0000-0000AF340000}"/>
    <cellStyle name="Normal 5 3 2 2 2 3 2 3" xfId="18344" xr:uid="{00000000-0005-0000-0000-0000B0340000}"/>
    <cellStyle name="Normal 5 3 2 2 2 3 3" xfId="12122" xr:uid="{00000000-0005-0000-0000-0000B1340000}"/>
    <cellStyle name="Normal 5 3 2 2 2 3 4" xfId="18343" xr:uid="{00000000-0005-0000-0000-0000B2340000}"/>
    <cellStyle name="Normal 5 3 2 2 2 4" xfId="5983" xr:uid="{00000000-0005-0000-0000-0000B3340000}"/>
    <cellStyle name="Normal 5 3 2 2 2 4 2" xfId="12124" xr:uid="{00000000-0005-0000-0000-0000B4340000}"/>
    <cellStyle name="Normal 5 3 2 2 2 4 3" xfId="18345" xr:uid="{00000000-0005-0000-0000-0000B5340000}"/>
    <cellStyle name="Normal 5 3 2 2 2 5" xfId="12119" xr:uid="{00000000-0005-0000-0000-0000B6340000}"/>
    <cellStyle name="Normal 5 3 2 2 2 6" xfId="18340" xr:uid="{00000000-0005-0000-0000-0000B7340000}"/>
    <cellStyle name="Normal 5 3 2 2 3" xfId="5984" xr:uid="{00000000-0005-0000-0000-0000B8340000}"/>
    <cellStyle name="Normal 5 3 2 2 3 2" xfId="5985" xr:uid="{00000000-0005-0000-0000-0000B9340000}"/>
    <cellStyle name="Normal 5 3 2 2 3 2 2" xfId="12126" xr:uid="{00000000-0005-0000-0000-0000BA340000}"/>
    <cellStyle name="Normal 5 3 2 2 3 2 3" xfId="18347" xr:uid="{00000000-0005-0000-0000-0000BB340000}"/>
    <cellStyle name="Normal 5 3 2 2 3 3" xfId="12125" xr:uid="{00000000-0005-0000-0000-0000BC340000}"/>
    <cellStyle name="Normal 5 3 2 2 3 4" xfId="18346" xr:uid="{00000000-0005-0000-0000-0000BD340000}"/>
    <cellStyle name="Normal 5 3 2 2 4" xfId="5986" xr:uid="{00000000-0005-0000-0000-0000BE340000}"/>
    <cellStyle name="Normal 5 3 2 2 4 2" xfId="5987" xr:uid="{00000000-0005-0000-0000-0000BF340000}"/>
    <cellStyle name="Normal 5 3 2 2 4 2 2" xfId="12128" xr:uid="{00000000-0005-0000-0000-0000C0340000}"/>
    <cellStyle name="Normal 5 3 2 2 4 2 3" xfId="18349" xr:uid="{00000000-0005-0000-0000-0000C1340000}"/>
    <cellStyle name="Normal 5 3 2 2 4 3" xfId="12127" xr:uid="{00000000-0005-0000-0000-0000C2340000}"/>
    <cellStyle name="Normal 5 3 2 2 4 4" xfId="18348" xr:uid="{00000000-0005-0000-0000-0000C3340000}"/>
    <cellStyle name="Normal 5 3 2 2 5" xfId="5988" xr:uid="{00000000-0005-0000-0000-0000C4340000}"/>
    <cellStyle name="Normal 5 3 2 2 5 2" xfId="12129" xr:uid="{00000000-0005-0000-0000-0000C5340000}"/>
    <cellStyle name="Normal 5 3 2 2 5 3" xfId="18350" xr:uid="{00000000-0005-0000-0000-0000C6340000}"/>
    <cellStyle name="Normal 5 3 2 2 6" xfId="12118" xr:uid="{00000000-0005-0000-0000-0000C7340000}"/>
    <cellStyle name="Normal 5 3 2 2 7" xfId="18339" xr:uid="{00000000-0005-0000-0000-0000C8340000}"/>
    <cellStyle name="Normal 5 3 2 3" xfId="5989" xr:uid="{00000000-0005-0000-0000-0000C9340000}"/>
    <cellStyle name="Normal 5 3 2 3 2" xfId="5990" xr:uid="{00000000-0005-0000-0000-0000CA340000}"/>
    <cellStyle name="Normal 5 3 2 3 2 2" xfId="5991" xr:uid="{00000000-0005-0000-0000-0000CB340000}"/>
    <cellStyle name="Normal 5 3 2 3 2 2 2" xfId="12132" xr:uid="{00000000-0005-0000-0000-0000CC340000}"/>
    <cellStyle name="Normal 5 3 2 3 2 2 3" xfId="18353" xr:uid="{00000000-0005-0000-0000-0000CD340000}"/>
    <cellStyle name="Normal 5 3 2 3 2 3" xfId="12131" xr:uid="{00000000-0005-0000-0000-0000CE340000}"/>
    <cellStyle name="Normal 5 3 2 3 2 4" xfId="18352" xr:uid="{00000000-0005-0000-0000-0000CF340000}"/>
    <cellStyle name="Normal 5 3 2 3 3" xfId="5992" xr:uid="{00000000-0005-0000-0000-0000D0340000}"/>
    <cellStyle name="Normal 5 3 2 3 3 2" xfId="5993" xr:uid="{00000000-0005-0000-0000-0000D1340000}"/>
    <cellStyle name="Normal 5 3 2 3 3 2 2" xfId="12134" xr:uid="{00000000-0005-0000-0000-0000D2340000}"/>
    <cellStyle name="Normal 5 3 2 3 3 2 3" xfId="18355" xr:uid="{00000000-0005-0000-0000-0000D3340000}"/>
    <cellStyle name="Normal 5 3 2 3 3 3" xfId="12133" xr:uid="{00000000-0005-0000-0000-0000D4340000}"/>
    <cellStyle name="Normal 5 3 2 3 3 4" xfId="18354" xr:uid="{00000000-0005-0000-0000-0000D5340000}"/>
    <cellStyle name="Normal 5 3 2 3 4" xfId="5994" xr:uid="{00000000-0005-0000-0000-0000D6340000}"/>
    <cellStyle name="Normal 5 3 2 3 4 2" xfId="12135" xr:uid="{00000000-0005-0000-0000-0000D7340000}"/>
    <cellStyle name="Normal 5 3 2 3 4 3" xfId="18356" xr:uid="{00000000-0005-0000-0000-0000D8340000}"/>
    <cellStyle name="Normal 5 3 2 3 5" xfId="12130" xr:uid="{00000000-0005-0000-0000-0000D9340000}"/>
    <cellStyle name="Normal 5 3 2 3 6" xfId="18351" xr:uid="{00000000-0005-0000-0000-0000DA340000}"/>
    <cellStyle name="Normal 5 3 2 4" xfId="5995" xr:uid="{00000000-0005-0000-0000-0000DB340000}"/>
    <cellStyle name="Normal 5 3 2 4 2" xfId="5996" xr:uid="{00000000-0005-0000-0000-0000DC340000}"/>
    <cellStyle name="Normal 5 3 2 4 2 2" xfId="12137" xr:uid="{00000000-0005-0000-0000-0000DD340000}"/>
    <cellStyle name="Normal 5 3 2 4 2 3" xfId="18358" xr:uid="{00000000-0005-0000-0000-0000DE340000}"/>
    <cellStyle name="Normal 5 3 2 4 3" xfId="12136" xr:uid="{00000000-0005-0000-0000-0000DF340000}"/>
    <cellStyle name="Normal 5 3 2 4 4" xfId="18357" xr:uid="{00000000-0005-0000-0000-0000E0340000}"/>
    <cellStyle name="Normal 5 3 2 5" xfId="5997" xr:uid="{00000000-0005-0000-0000-0000E1340000}"/>
    <cellStyle name="Normal 5 3 2 5 2" xfId="5998" xr:uid="{00000000-0005-0000-0000-0000E2340000}"/>
    <cellStyle name="Normal 5 3 2 5 2 2" xfId="12139" xr:uid="{00000000-0005-0000-0000-0000E3340000}"/>
    <cellStyle name="Normal 5 3 2 5 2 3" xfId="18360" xr:uid="{00000000-0005-0000-0000-0000E4340000}"/>
    <cellStyle name="Normal 5 3 2 5 3" xfId="12138" xr:uid="{00000000-0005-0000-0000-0000E5340000}"/>
    <cellStyle name="Normal 5 3 2 5 4" xfId="18359" xr:uid="{00000000-0005-0000-0000-0000E6340000}"/>
    <cellStyle name="Normal 5 3 2 6" xfId="5999" xr:uid="{00000000-0005-0000-0000-0000E7340000}"/>
    <cellStyle name="Normal 5 3 2 6 2" xfId="12140" xr:uid="{00000000-0005-0000-0000-0000E8340000}"/>
    <cellStyle name="Normal 5 3 2 6 3" xfId="18361" xr:uid="{00000000-0005-0000-0000-0000E9340000}"/>
    <cellStyle name="Normal 5 3 2 7" xfId="12117" xr:uid="{00000000-0005-0000-0000-0000EA340000}"/>
    <cellStyle name="Normal 5 3 2 8" xfId="18338" xr:uid="{00000000-0005-0000-0000-0000EB340000}"/>
    <cellStyle name="Normal 5 3 3" xfId="6000" xr:uid="{00000000-0005-0000-0000-0000EC340000}"/>
    <cellStyle name="Normal 5 3 3 2" xfId="6001" xr:uid="{00000000-0005-0000-0000-0000ED340000}"/>
    <cellStyle name="Normal 5 3 3 2 2" xfId="6002" xr:uid="{00000000-0005-0000-0000-0000EE340000}"/>
    <cellStyle name="Normal 5 3 3 2 2 2" xfId="6003" xr:uid="{00000000-0005-0000-0000-0000EF340000}"/>
    <cellStyle name="Normal 5 3 3 2 2 2 2" xfId="12144" xr:uid="{00000000-0005-0000-0000-0000F0340000}"/>
    <cellStyle name="Normal 5 3 3 2 2 2 3" xfId="18365" xr:uid="{00000000-0005-0000-0000-0000F1340000}"/>
    <cellStyle name="Normal 5 3 3 2 2 3" xfId="12143" xr:uid="{00000000-0005-0000-0000-0000F2340000}"/>
    <cellStyle name="Normal 5 3 3 2 2 4" xfId="18364" xr:uid="{00000000-0005-0000-0000-0000F3340000}"/>
    <cellStyle name="Normal 5 3 3 2 3" xfId="6004" xr:uid="{00000000-0005-0000-0000-0000F4340000}"/>
    <cellStyle name="Normal 5 3 3 2 3 2" xfId="6005" xr:uid="{00000000-0005-0000-0000-0000F5340000}"/>
    <cellStyle name="Normal 5 3 3 2 3 2 2" xfId="12146" xr:uid="{00000000-0005-0000-0000-0000F6340000}"/>
    <cellStyle name="Normal 5 3 3 2 3 2 3" xfId="18367" xr:uid="{00000000-0005-0000-0000-0000F7340000}"/>
    <cellStyle name="Normal 5 3 3 2 3 3" xfId="12145" xr:uid="{00000000-0005-0000-0000-0000F8340000}"/>
    <cellStyle name="Normal 5 3 3 2 3 4" xfId="18366" xr:uid="{00000000-0005-0000-0000-0000F9340000}"/>
    <cellStyle name="Normal 5 3 3 2 4" xfId="6006" xr:uid="{00000000-0005-0000-0000-0000FA340000}"/>
    <cellStyle name="Normal 5 3 3 2 4 2" xfId="12147" xr:uid="{00000000-0005-0000-0000-0000FB340000}"/>
    <cellStyle name="Normal 5 3 3 2 4 3" xfId="18368" xr:uid="{00000000-0005-0000-0000-0000FC340000}"/>
    <cellStyle name="Normal 5 3 3 2 5" xfId="12142" xr:uid="{00000000-0005-0000-0000-0000FD340000}"/>
    <cellStyle name="Normal 5 3 3 2 6" xfId="18363" xr:uid="{00000000-0005-0000-0000-0000FE340000}"/>
    <cellStyle name="Normal 5 3 3 3" xfId="6007" xr:uid="{00000000-0005-0000-0000-0000FF340000}"/>
    <cellStyle name="Normal 5 3 3 3 2" xfId="6008" xr:uid="{00000000-0005-0000-0000-000000350000}"/>
    <cellStyle name="Normal 5 3 3 3 2 2" xfId="12149" xr:uid="{00000000-0005-0000-0000-000001350000}"/>
    <cellStyle name="Normal 5 3 3 3 2 3" xfId="18370" xr:uid="{00000000-0005-0000-0000-000002350000}"/>
    <cellStyle name="Normal 5 3 3 3 3" xfId="12148" xr:uid="{00000000-0005-0000-0000-000003350000}"/>
    <cellStyle name="Normal 5 3 3 3 4" xfId="18369" xr:uid="{00000000-0005-0000-0000-000004350000}"/>
    <cellStyle name="Normal 5 3 3 4" xfId="6009" xr:uid="{00000000-0005-0000-0000-000005350000}"/>
    <cellStyle name="Normal 5 3 3 4 2" xfId="6010" xr:uid="{00000000-0005-0000-0000-000006350000}"/>
    <cellStyle name="Normal 5 3 3 4 2 2" xfId="12151" xr:uid="{00000000-0005-0000-0000-000007350000}"/>
    <cellStyle name="Normal 5 3 3 4 2 3" xfId="18372" xr:uid="{00000000-0005-0000-0000-000008350000}"/>
    <cellStyle name="Normal 5 3 3 4 3" xfId="12150" xr:uid="{00000000-0005-0000-0000-000009350000}"/>
    <cellStyle name="Normal 5 3 3 4 4" xfId="18371" xr:uid="{00000000-0005-0000-0000-00000A350000}"/>
    <cellStyle name="Normal 5 3 3 5" xfId="6011" xr:uid="{00000000-0005-0000-0000-00000B350000}"/>
    <cellStyle name="Normal 5 3 3 5 2" xfId="12152" xr:uid="{00000000-0005-0000-0000-00000C350000}"/>
    <cellStyle name="Normal 5 3 3 5 3" xfId="18373" xr:uid="{00000000-0005-0000-0000-00000D350000}"/>
    <cellStyle name="Normal 5 3 3 6" xfId="12141" xr:uid="{00000000-0005-0000-0000-00000E350000}"/>
    <cellStyle name="Normal 5 3 3 7" xfId="18362" xr:uid="{00000000-0005-0000-0000-00000F350000}"/>
    <cellStyle name="Normal 5 3 4" xfId="6012" xr:uid="{00000000-0005-0000-0000-000010350000}"/>
    <cellStyle name="Normal 5 3 4 2" xfId="6013" xr:uid="{00000000-0005-0000-0000-000011350000}"/>
    <cellStyle name="Normal 5 3 4 2 2" xfId="6014" xr:uid="{00000000-0005-0000-0000-000012350000}"/>
    <cellStyle name="Normal 5 3 4 2 2 2" xfId="12155" xr:uid="{00000000-0005-0000-0000-000013350000}"/>
    <cellStyle name="Normal 5 3 4 2 2 3" xfId="18376" xr:uid="{00000000-0005-0000-0000-000014350000}"/>
    <cellStyle name="Normal 5 3 4 2 3" xfId="12154" xr:uid="{00000000-0005-0000-0000-000015350000}"/>
    <cellStyle name="Normal 5 3 4 2 4" xfId="18375" xr:uid="{00000000-0005-0000-0000-000016350000}"/>
    <cellStyle name="Normal 5 3 4 3" xfId="6015" xr:uid="{00000000-0005-0000-0000-000017350000}"/>
    <cellStyle name="Normal 5 3 4 3 2" xfId="6016" xr:uid="{00000000-0005-0000-0000-000018350000}"/>
    <cellStyle name="Normal 5 3 4 3 2 2" xfId="12157" xr:uid="{00000000-0005-0000-0000-000019350000}"/>
    <cellStyle name="Normal 5 3 4 3 2 3" xfId="18378" xr:uid="{00000000-0005-0000-0000-00001A350000}"/>
    <cellStyle name="Normal 5 3 4 3 3" xfId="12156" xr:uid="{00000000-0005-0000-0000-00001B350000}"/>
    <cellStyle name="Normal 5 3 4 3 4" xfId="18377" xr:uid="{00000000-0005-0000-0000-00001C350000}"/>
    <cellStyle name="Normal 5 3 4 4" xfId="6017" xr:uid="{00000000-0005-0000-0000-00001D350000}"/>
    <cellStyle name="Normal 5 3 4 4 2" xfId="12158" xr:uid="{00000000-0005-0000-0000-00001E350000}"/>
    <cellStyle name="Normal 5 3 4 4 3" xfId="18379" xr:uid="{00000000-0005-0000-0000-00001F350000}"/>
    <cellStyle name="Normal 5 3 4 5" xfId="12153" xr:uid="{00000000-0005-0000-0000-000020350000}"/>
    <cellStyle name="Normal 5 3 4 6" xfId="18374" xr:uid="{00000000-0005-0000-0000-000021350000}"/>
    <cellStyle name="Normal 5 3 5" xfId="6018" xr:uid="{00000000-0005-0000-0000-000022350000}"/>
    <cellStyle name="Normal 5 3 5 2" xfId="6019" xr:uid="{00000000-0005-0000-0000-000023350000}"/>
    <cellStyle name="Normal 5 3 5 2 2" xfId="12160" xr:uid="{00000000-0005-0000-0000-000024350000}"/>
    <cellStyle name="Normal 5 3 5 2 3" xfId="18381" xr:uid="{00000000-0005-0000-0000-000025350000}"/>
    <cellStyle name="Normal 5 3 5 3" xfId="12159" xr:uid="{00000000-0005-0000-0000-000026350000}"/>
    <cellStyle name="Normal 5 3 5 4" xfId="18380" xr:uid="{00000000-0005-0000-0000-000027350000}"/>
    <cellStyle name="Normal 5 3 6" xfId="6020" xr:uid="{00000000-0005-0000-0000-000028350000}"/>
    <cellStyle name="Normal 5 3 6 2" xfId="6021" xr:uid="{00000000-0005-0000-0000-000029350000}"/>
    <cellStyle name="Normal 5 3 6 2 2" xfId="12162" xr:uid="{00000000-0005-0000-0000-00002A350000}"/>
    <cellStyle name="Normal 5 3 6 2 3" xfId="18383" xr:uid="{00000000-0005-0000-0000-00002B350000}"/>
    <cellStyle name="Normal 5 3 6 3" xfId="12161" xr:uid="{00000000-0005-0000-0000-00002C350000}"/>
    <cellStyle name="Normal 5 3 6 4" xfId="18382" xr:uid="{00000000-0005-0000-0000-00002D350000}"/>
    <cellStyle name="Normal 5 3 7" xfId="6022" xr:uid="{00000000-0005-0000-0000-00002E350000}"/>
    <cellStyle name="Normal 5 3 7 2" xfId="12163" xr:uid="{00000000-0005-0000-0000-00002F350000}"/>
    <cellStyle name="Normal 5 3 7 3" xfId="18384" xr:uid="{00000000-0005-0000-0000-000030350000}"/>
    <cellStyle name="Normal 5 3 8" xfId="6023" xr:uid="{00000000-0005-0000-0000-000031350000}"/>
    <cellStyle name="Normal 5 3 8 2" xfId="18385" xr:uid="{00000000-0005-0000-0000-000032350000}"/>
    <cellStyle name="Normal 5 3 9" xfId="12116" xr:uid="{00000000-0005-0000-0000-000033350000}"/>
    <cellStyle name="Normal 5 4" xfId="6024" xr:uid="{00000000-0005-0000-0000-000034350000}"/>
    <cellStyle name="Normal 5 4 10" xfId="18386" xr:uid="{00000000-0005-0000-0000-000035350000}"/>
    <cellStyle name="Normal 5 4 2" xfId="6025" xr:uid="{00000000-0005-0000-0000-000036350000}"/>
    <cellStyle name="Normal 5 4 2 2" xfId="6026" xr:uid="{00000000-0005-0000-0000-000037350000}"/>
    <cellStyle name="Normal 5 4 2 2 2" xfId="6027" xr:uid="{00000000-0005-0000-0000-000038350000}"/>
    <cellStyle name="Normal 5 4 2 2 2 2" xfId="6028" xr:uid="{00000000-0005-0000-0000-000039350000}"/>
    <cellStyle name="Normal 5 4 2 2 2 2 2" xfId="6029" xr:uid="{00000000-0005-0000-0000-00003A350000}"/>
    <cellStyle name="Normal 5 4 2 2 2 2 2 2" xfId="12169" xr:uid="{00000000-0005-0000-0000-00003B350000}"/>
    <cellStyle name="Normal 5 4 2 2 2 2 2 3" xfId="18391" xr:uid="{00000000-0005-0000-0000-00003C350000}"/>
    <cellStyle name="Normal 5 4 2 2 2 2 3" xfId="12168" xr:uid="{00000000-0005-0000-0000-00003D350000}"/>
    <cellStyle name="Normal 5 4 2 2 2 2 4" xfId="18390" xr:uid="{00000000-0005-0000-0000-00003E350000}"/>
    <cellStyle name="Normal 5 4 2 2 2 3" xfId="6030" xr:uid="{00000000-0005-0000-0000-00003F350000}"/>
    <cellStyle name="Normal 5 4 2 2 2 3 2" xfId="6031" xr:uid="{00000000-0005-0000-0000-000040350000}"/>
    <cellStyle name="Normal 5 4 2 2 2 3 2 2" xfId="12171" xr:uid="{00000000-0005-0000-0000-000041350000}"/>
    <cellStyle name="Normal 5 4 2 2 2 3 2 3" xfId="18393" xr:uid="{00000000-0005-0000-0000-000042350000}"/>
    <cellStyle name="Normal 5 4 2 2 2 3 3" xfId="12170" xr:uid="{00000000-0005-0000-0000-000043350000}"/>
    <cellStyle name="Normal 5 4 2 2 2 3 4" xfId="18392" xr:uid="{00000000-0005-0000-0000-000044350000}"/>
    <cellStyle name="Normal 5 4 2 2 2 4" xfId="6032" xr:uid="{00000000-0005-0000-0000-000045350000}"/>
    <cellStyle name="Normal 5 4 2 2 2 4 2" xfId="12172" xr:uid="{00000000-0005-0000-0000-000046350000}"/>
    <cellStyle name="Normal 5 4 2 2 2 4 3" xfId="18394" xr:uid="{00000000-0005-0000-0000-000047350000}"/>
    <cellStyle name="Normal 5 4 2 2 2 5" xfId="12167" xr:uid="{00000000-0005-0000-0000-000048350000}"/>
    <cellStyle name="Normal 5 4 2 2 2 6" xfId="18389" xr:uid="{00000000-0005-0000-0000-000049350000}"/>
    <cellStyle name="Normal 5 4 2 2 3" xfId="6033" xr:uid="{00000000-0005-0000-0000-00004A350000}"/>
    <cellStyle name="Normal 5 4 2 2 3 2" xfId="6034" xr:uid="{00000000-0005-0000-0000-00004B350000}"/>
    <cellStyle name="Normal 5 4 2 2 3 2 2" xfId="12174" xr:uid="{00000000-0005-0000-0000-00004C350000}"/>
    <cellStyle name="Normal 5 4 2 2 3 2 3" xfId="18396" xr:uid="{00000000-0005-0000-0000-00004D350000}"/>
    <cellStyle name="Normal 5 4 2 2 3 3" xfId="12173" xr:uid="{00000000-0005-0000-0000-00004E350000}"/>
    <cellStyle name="Normal 5 4 2 2 3 4" xfId="18395" xr:uid="{00000000-0005-0000-0000-00004F350000}"/>
    <cellStyle name="Normal 5 4 2 2 4" xfId="6035" xr:uid="{00000000-0005-0000-0000-000050350000}"/>
    <cellStyle name="Normal 5 4 2 2 4 2" xfId="6036" xr:uid="{00000000-0005-0000-0000-000051350000}"/>
    <cellStyle name="Normal 5 4 2 2 4 2 2" xfId="12176" xr:uid="{00000000-0005-0000-0000-000052350000}"/>
    <cellStyle name="Normal 5 4 2 2 4 2 3" xfId="18398" xr:uid="{00000000-0005-0000-0000-000053350000}"/>
    <cellStyle name="Normal 5 4 2 2 4 3" xfId="12175" xr:uid="{00000000-0005-0000-0000-000054350000}"/>
    <cellStyle name="Normal 5 4 2 2 4 4" xfId="18397" xr:uid="{00000000-0005-0000-0000-000055350000}"/>
    <cellStyle name="Normal 5 4 2 2 5" xfId="6037" xr:uid="{00000000-0005-0000-0000-000056350000}"/>
    <cellStyle name="Normal 5 4 2 2 5 2" xfId="12177" xr:uid="{00000000-0005-0000-0000-000057350000}"/>
    <cellStyle name="Normal 5 4 2 2 5 3" xfId="18399" xr:uid="{00000000-0005-0000-0000-000058350000}"/>
    <cellStyle name="Normal 5 4 2 2 6" xfId="12166" xr:uid="{00000000-0005-0000-0000-000059350000}"/>
    <cellStyle name="Normal 5 4 2 2 7" xfId="18388" xr:uid="{00000000-0005-0000-0000-00005A350000}"/>
    <cellStyle name="Normal 5 4 2 3" xfId="6038" xr:uid="{00000000-0005-0000-0000-00005B350000}"/>
    <cellStyle name="Normal 5 4 2 3 2" xfId="6039" xr:uid="{00000000-0005-0000-0000-00005C350000}"/>
    <cellStyle name="Normal 5 4 2 3 2 2" xfId="6040" xr:uid="{00000000-0005-0000-0000-00005D350000}"/>
    <cellStyle name="Normal 5 4 2 3 2 2 2" xfId="12180" xr:uid="{00000000-0005-0000-0000-00005E350000}"/>
    <cellStyle name="Normal 5 4 2 3 2 2 3" xfId="18402" xr:uid="{00000000-0005-0000-0000-00005F350000}"/>
    <cellStyle name="Normal 5 4 2 3 2 3" xfId="12179" xr:uid="{00000000-0005-0000-0000-000060350000}"/>
    <cellStyle name="Normal 5 4 2 3 2 4" xfId="18401" xr:uid="{00000000-0005-0000-0000-000061350000}"/>
    <cellStyle name="Normal 5 4 2 3 3" xfId="6041" xr:uid="{00000000-0005-0000-0000-000062350000}"/>
    <cellStyle name="Normal 5 4 2 3 3 2" xfId="6042" xr:uid="{00000000-0005-0000-0000-000063350000}"/>
    <cellStyle name="Normal 5 4 2 3 3 2 2" xfId="12182" xr:uid="{00000000-0005-0000-0000-000064350000}"/>
    <cellStyle name="Normal 5 4 2 3 3 2 3" xfId="18404" xr:uid="{00000000-0005-0000-0000-000065350000}"/>
    <cellStyle name="Normal 5 4 2 3 3 3" xfId="12181" xr:uid="{00000000-0005-0000-0000-000066350000}"/>
    <cellStyle name="Normal 5 4 2 3 3 4" xfId="18403" xr:uid="{00000000-0005-0000-0000-000067350000}"/>
    <cellStyle name="Normal 5 4 2 3 4" xfId="6043" xr:uid="{00000000-0005-0000-0000-000068350000}"/>
    <cellStyle name="Normal 5 4 2 3 4 2" xfId="12183" xr:uid="{00000000-0005-0000-0000-000069350000}"/>
    <cellStyle name="Normal 5 4 2 3 4 3" xfId="18405" xr:uid="{00000000-0005-0000-0000-00006A350000}"/>
    <cellStyle name="Normal 5 4 2 3 5" xfId="12178" xr:uid="{00000000-0005-0000-0000-00006B350000}"/>
    <cellStyle name="Normal 5 4 2 3 6" xfId="18400" xr:uid="{00000000-0005-0000-0000-00006C350000}"/>
    <cellStyle name="Normal 5 4 2 4" xfId="6044" xr:uid="{00000000-0005-0000-0000-00006D350000}"/>
    <cellStyle name="Normal 5 4 2 4 2" xfId="6045" xr:uid="{00000000-0005-0000-0000-00006E350000}"/>
    <cellStyle name="Normal 5 4 2 4 2 2" xfId="12185" xr:uid="{00000000-0005-0000-0000-00006F350000}"/>
    <cellStyle name="Normal 5 4 2 4 2 3" xfId="18407" xr:uid="{00000000-0005-0000-0000-000070350000}"/>
    <cellStyle name="Normal 5 4 2 4 3" xfId="12184" xr:uid="{00000000-0005-0000-0000-000071350000}"/>
    <cellStyle name="Normal 5 4 2 4 4" xfId="18406" xr:uid="{00000000-0005-0000-0000-000072350000}"/>
    <cellStyle name="Normal 5 4 2 5" xfId="6046" xr:uid="{00000000-0005-0000-0000-000073350000}"/>
    <cellStyle name="Normal 5 4 2 5 2" xfId="6047" xr:uid="{00000000-0005-0000-0000-000074350000}"/>
    <cellStyle name="Normal 5 4 2 5 2 2" xfId="12187" xr:uid="{00000000-0005-0000-0000-000075350000}"/>
    <cellStyle name="Normal 5 4 2 5 2 3" xfId="18409" xr:uid="{00000000-0005-0000-0000-000076350000}"/>
    <cellStyle name="Normal 5 4 2 5 3" xfId="12186" xr:uid="{00000000-0005-0000-0000-000077350000}"/>
    <cellStyle name="Normal 5 4 2 5 4" xfId="18408" xr:uid="{00000000-0005-0000-0000-000078350000}"/>
    <cellStyle name="Normal 5 4 2 6" xfId="6048" xr:uid="{00000000-0005-0000-0000-000079350000}"/>
    <cellStyle name="Normal 5 4 2 6 2" xfId="12188" xr:uid="{00000000-0005-0000-0000-00007A350000}"/>
    <cellStyle name="Normal 5 4 2 6 3" xfId="18410" xr:uid="{00000000-0005-0000-0000-00007B350000}"/>
    <cellStyle name="Normal 5 4 2 7" xfId="12165" xr:uid="{00000000-0005-0000-0000-00007C350000}"/>
    <cellStyle name="Normal 5 4 2 8" xfId="18387" xr:uid="{00000000-0005-0000-0000-00007D350000}"/>
    <cellStyle name="Normal 5 4 3" xfId="6049" xr:uid="{00000000-0005-0000-0000-00007E350000}"/>
    <cellStyle name="Normal 5 4 3 2" xfId="6050" xr:uid="{00000000-0005-0000-0000-00007F350000}"/>
    <cellStyle name="Normal 5 4 3 2 2" xfId="6051" xr:uid="{00000000-0005-0000-0000-000080350000}"/>
    <cellStyle name="Normal 5 4 3 2 2 2" xfId="6052" xr:uid="{00000000-0005-0000-0000-000081350000}"/>
    <cellStyle name="Normal 5 4 3 2 2 2 2" xfId="12192" xr:uid="{00000000-0005-0000-0000-000082350000}"/>
    <cellStyle name="Normal 5 4 3 2 2 2 3" xfId="18414" xr:uid="{00000000-0005-0000-0000-000083350000}"/>
    <cellStyle name="Normal 5 4 3 2 2 3" xfId="12191" xr:uid="{00000000-0005-0000-0000-000084350000}"/>
    <cellStyle name="Normal 5 4 3 2 2 4" xfId="18413" xr:uid="{00000000-0005-0000-0000-000085350000}"/>
    <cellStyle name="Normal 5 4 3 2 3" xfId="6053" xr:uid="{00000000-0005-0000-0000-000086350000}"/>
    <cellStyle name="Normal 5 4 3 2 3 2" xfId="6054" xr:uid="{00000000-0005-0000-0000-000087350000}"/>
    <cellStyle name="Normal 5 4 3 2 3 2 2" xfId="12194" xr:uid="{00000000-0005-0000-0000-000088350000}"/>
    <cellStyle name="Normal 5 4 3 2 3 2 3" xfId="18416" xr:uid="{00000000-0005-0000-0000-000089350000}"/>
    <cellStyle name="Normal 5 4 3 2 3 3" xfId="12193" xr:uid="{00000000-0005-0000-0000-00008A350000}"/>
    <cellStyle name="Normal 5 4 3 2 3 4" xfId="18415" xr:uid="{00000000-0005-0000-0000-00008B350000}"/>
    <cellStyle name="Normal 5 4 3 2 4" xfId="6055" xr:uid="{00000000-0005-0000-0000-00008C350000}"/>
    <cellStyle name="Normal 5 4 3 2 4 2" xfId="12195" xr:uid="{00000000-0005-0000-0000-00008D350000}"/>
    <cellStyle name="Normal 5 4 3 2 4 3" xfId="18417" xr:uid="{00000000-0005-0000-0000-00008E350000}"/>
    <cellStyle name="Normal 5 4 3 2 5" xfId="12190" xr:uid="{00000000-0005-0000-0000-00008F350000}"/>
    <cellStyle name="Normal 5 4 3 2 6" xfId="18412" xr:uid="{00000000-0005-0000-0000-000090350000}"/>
    <cellStyle name="Normal 5 4 3 3" xfId="6056" xr:uid="{00000000-0005-0000-0000-000091350000}"/>
    <cellStyle name="Normal 5 4 3 3 2" xfId="6057" xr:uid="{00000000-0005-0000-0000-000092350000}"/>
    <cellStyle name="Normal 5 4 3 3 2 2" xfId="12197" xr:uid="{00000000-0005-0000-0000-000093350000}"/>
    <cellStyle name="Normal 5 4 3 3 2 3" xfId="18419" xr:uid="{00000000-0005-0000-0000-000094350000}"/>
    <cellStyle name="Normal 5 4 3 3 3" xfId="12196" xr:uid="{00000000-0005-0000-0000-000095350000}"/>
    <cellStyle name="Normal 5 4 3 3 4" xfId="18418" xr:uid="{00000000-0005-0000-0000-000096350000}"/>
    <cellStyle name="Normal 5 4 3 4" xfId="6058" xr:uid="{00000000-0005-0000-0000-000097350000}"/>
    <cellStyle name="Normal 5 4 3 4 2" xfId="6059" xr:uid="{00000000-0005-0000-0000-000098350000}"/>
    <cellStyle name="Normal 5 4 3 4 2 2" xfId="12199" xr:uid="{00000000-0005-0000-0000-000099350000}"/>
    <cellStyle name="Normal 5 4 3 4 2 3" xfId="18421" xr:uid="{00000000-0005-0000-0000-00009A350000}"/>
    <cellStyle name="Normal 5 4 3 4 3" xfId="12198" xr:uid="{00000000-0005-0000-0000-00009B350000}"/>
    <cellStyle name="Normal 5 4 3 4 4" xfId="18420" xr:uid="{00000000-0005-0000-0000-00009C350000}"/>
    <cellStyle name="Normal 5 4 3 5" xfId="6060" xr:uid="{00000000-0005-0000-0000-00009D350000}"/>
    <cellStyle name="Normal 5 4 3 5 2" xfId="12200" xr:uid="{00000000-0005-0000-0000-00009E350000}"/>
    <cellStyle name="Normal 5 4 3 5 3" xfId="18422" xr:uid="{00000000-0005-0000-0000-00009F350000}"/>
    <cellStyle name="Normal 5 4 3 6" xfId="12189" xr:uid="{00000000-0005-0000-0000-0000A0350000}"/>
    <cellStyle name="Normal 5 4 3 7" xfId="18411" xr:uid="{00000000-0005-0000-0000-0000A1350000}"/>
    <cellStyle name="Normal 5 4 4" xfId="6061" xr:uid="{00000000-0005-0000-0000-0000A2350000}"/>
    <cellStyle name="Normal 5 4 4 2" xfId="6062" xr:uid="{00000000-0005-0000-0000-0000A3350000}"/>
    <cellStyle name="Normal 5 4 4 2 2" xfId="6063" xr:uid="{00000000-0005-0000-0000-0000A4350000}"/>
    <cellStyle name="Normal 5 4 4 2 2 2" xfId="12203" xr:uid="{00000000-0005-0000-0000-0000A5350000}"/>
    <cellStyle name="Normal 5 4 4 2 2 3" xfId="18425" xr:uid="{00000000-0005-0000-0000-0000A6350000}"/>
    <cellStyle name="Normal 5 4 4 2 3" xfId="12202" xr:uid="{00000000-0005-0000-0000-0000A7350000}"/>
    <cellStyle name="Normal 5 4 4 2 4" xfId="18424" xr:uid="{00000000-0005-0000-0000-0000A8350000}"/>
    <cellStyle name="Normal 5 4 4 3" xfId="6064" xr:uid="{00000000-0005-0000-0000-0000A9350000}"/>
    <cellStyle name="Normal 5 4 4 3 2" xfId="6065" xr:uid="{00000000-0005-0000-0000-0000AA350000}"/>
    <cellStyle name="Normal 5 4 4 3 2 2" xfId="12205" xr:uid="{00000000-0005-0000-0000-0000AB350000}"/>
    <cellStyle name="Normal 5 4 4 3 2 3" xfId="18427" xr:uid="{00000000-0005-0000-0000-0000AC350000}"/>
    <cellStyle name="Normal 5 4 4 3 3" xfId="12204" xr:uid="{00000000-0005-0000-0000-0000AD350000}"/>
    <cellStyle name="Normal 5 4 4 3 4" xfId="18426" xr:uid="{00000000-0005-0000-0000-0000AE350000}"/>
    <cellStyle name="Normal 5 4 4 4" xfId="6066" xr:uid="{00000000-0005-0000-0000-0000AF350000}"/>
    <cellStyle name="Normal 5 4 4 4 2" xfId="12206" xr:uid="{00000000-0005-0000-0000-0000B0350000}"/>
    <cellStyle name="Normal 5 4 4 4 3" xfId="18428" xr:uid="{00000000-0005-0000-0000-0000B1350000}"/>
    <cellStyle name="Normal 5 4 4 5" xfId="12201" xr:uid="{00000000-0005-0000-0000-0000B2350000}"/>
    <cellStyle name="Normal 5 4 4 6" xfId="18423" xr:uid="{00000000-0005-0000-0000-0000B3350000}"/>
    <cellStyle name="Normal 5 4 5" xfId="6067" xr:uid="{00000000-0005-0000-0000-0000B4350000}"/>
    <cellStyle name="Normal 5 4 5 2" xfId="6068" xr:uid="{00000000-0005-0000-0000-0000B5350000}"/>
    <cellStyle name="Normal 5 4 5 2 2" xfId="12208" xr:uid="{00000000-0005-0000-0000-0000B6350000}"/>
    <cellStyle name="Normal 5 4 5 2 3" xfId="18430" xr:uid="{00000000-0005-0000-0000-0000B7350000}"/>
    <cellStyle name="Normal 5 4 5 3" xfId="12207" xr:uid="{00000000-0005-0000-0000-0000B8350000}"/>
    <cellStyle name="Normal 5 4 5 4" xfId="18429" xr:uid="{00000000-0005-0000-0000-0000B9350000}"/>
    <cellStyle name="Normal 5 4 6" xfId="6069" xr:uid="{00000000-0005-0000-0000-0000BA350000}"/>
    <cellStyle name="Normal 5 4 6 2" xfId="6070" xr:uid="{00000000-0005-0000-0000-0000BB350000}"/>
    <cellStyle name="Normal 5 4 6 2 2" xfId="12210" xr:uid="{00000000-0005-0000-0000-0000BC350000}"/>
    <cellStyle name="Normal 5 4 6 2 3" xfId="18432" xr:uid="{00000000-0005-0000-0000-0000BD350000}"/>
    <cellStyle name="Normal 5 4 6 3" xfId="12209" xr:uid="{00000000-0005-0000-0000-0000BE350000}"/>
    <cellStyle name="Normal 5 4 6 4" xfId="18431" xr:uid="{00000000-0005-0000-0000-0000BF350000}"/>
    <cellStyle name="Normal 5 4 7" xfId="6071" xr:uid="{00000000-0005-0000-0000-0000C0350000}"/>
    <cellStyle name="Normal 5 4 7 2" xfId="12211" xr:uid="{00000000-0005-0000-0000-0000C1350000}"/>
    <cellStyle name="Normal 5 4 7 3" xfId="18433" xr:uid="{00000000-0005-0000-0000-0000C2350000}"/>
    <cellStyle name="Normal 5 4 8" xfId="6072" xr:uid="{00000000-0005-0000-0000-0000C3350000}"/>
    <cellStyle name="Normal 5 4 8 2" xfId="18434" xr:uid="{00000000-0005-0000-0000-0000C4350000}"/>
    <cellStyle name="Normal 5 4 9" xfId="12164" xr:uid="{00000000-0005-0000-0000-0000C5350000}"/>
    <cellStyle name="Normal 5 5" xfId="6073" xr:uid="{00000000-0005-0000-0000-0000C6350000}"/>
    <cellStyle name="Normal 5 5 2" xfId="6074" xr:uid="{00000000-0005-0000-0000-0000C7350000}"/>
    <cellStyle name="Normal 5 5 2 2" xfId="6075" xr:uid="{00000000-0005-0000-0000-0000C8350000}"/>
    <cellStyle name="Normal 5 5 2 2 2" xfId="6076" xr:uid="{00000000-0005-0000-0000-0000C9350000}"/>
    <cellStyle name="Normal 5 5 2 2 2 2" xfId="6077" xr:uid="{00000000-0005-0000-0000-0000CA350000}"/>
    <cellStyle name="Normal 5 5 2 2 2 2 2" xfId="12216" xr:uid="{00000000-0005-0000-0000-0000CB350000}"/>
    <cellStyle name="Normal 5 5 2 2 2 2 3" xfId="18439" xr:uid="{00000000-0005-0000-0000-0000CC350000}"/>
    <cellStyle name="Normal 5 5 2 2 2 3" xfId="12215" xr:uid="{00000000-0005-0000-0000-0000CD350000}"/>
    <cellStyle name="Normal 5 5 2 2 2 4" xfId="18438" xr:uid="{00000000-0005-0000-0000-0000CE350000}"/>
    <cellStyle name="Normal 5 5 2 2 3" xfId="6078" xr:uid="{00000000-0005-0000-0000-0000CF350000}"/>
    <cellStyle name="Normal 5 5 2 2 3 2" xfId="6079" xr:uid="{00000000-0005-0000-0000-0000D0350000}"/>
    <cellStyle name="Normal 5 5 2 2 3 2 2" xfId="12218" xr:uid="{00000000-0005-0000-0000-0000D1350000}"/>
    <cellStyle name="Normal 5 5 2 2 3 2 3" xfId="18441" xr:uid="{00000000-0005-0000-0000-0000D2350000}"/>
    <cellStyle name="Normal 5 5 2 2 3 3" xfId="12217" xr:uid="{00000000-0005-0000-0000-0000D3350000}"/>
    <cellStyle name="Normal 5 5 2 2 3 4" xfId="18440" xr:uid="{00000000-0005-0000-0000-0000D4350000}"/>
    <cellStyle name="Normal 5 5 2 2 4" xfId="6080" xr:uid="{00000000-0005-0000-0000-0000D5350000}"/>
    <cellStyle name="Normal 5 5 2 2 4 2" xfId="12219" xr:uid="{00000000-0005-0000-0000-0000D6350000}"/>
    <cellStyle name="Normal 5 5 2 2 4 3" xfId="18442" xr:uid="{00000000-0005-0000-0000-0000D7350000}"/>
    <cellStyle name="Normal 5 5 2 2 5" xfId="12214" xr:uid="{00000000-0005-0000-0000-0000D8350000}"/>
    <cellStyle name="Normal 5 5 2 2 6" xfId="18437" xr:uid="{00000000-0005-0000-0000-0000D9350000}"/>
    <cellStyle name="Normal 5 5 2 3" xfId="6081" xr:uid="{00000000-0005-0000-0000-0000DA350000}"/>
    <cellStyle name="Normal 5 5 2 3 2" xfId="6082" xr:uid="{00000000-0005-0000-0000-0000DB350000}"/>
    <cellStyle name="Normal 5 5 2 3 2 2" xfId="12221" xr:uid="{00000000-0005-0000-0000-0000DC350000}"/>
    <cellStyle name="Normal 5 5 2 3 2 3" xfId="18444" xr:uid="{00000000-0005-0000-0000-0000DD350000}"/>
    <cellStyle name="Normal 5 5 2 3 3" xfId="12220" xr:uid="{00000000-0005-0000-0000-0000DE350000}"/>
    <cellStyle name="Normal 5 5 2 3 4" xfId="18443" xr:uid="{00000000-0005-0000-0000-0000DF350000}"/>
    <cellStyle name="Normal 5 5 2 4" xfId="6083" xr:uid="{00000000-0005-0000-0000-0000E0350000}"/>
    <cellStyle name="Normal 5 5 2 4 2" xfId="6084" xr:uid="{00000000-0005-0000-0000-0000E1350000}"/>
    <cellStyle name="Normal 5 5 2 4 2 2" xfId="12223" xr:uid="{00000000-0005-0000-0000-0000E2350000}"/>
    <cellStyle name="Normal 5 5 2 4 2 3" xfId="18446" xr:uid="{00000000-0005-0000-0000-0000E3350000}"/>
    <cellStyle name="Normal 5 5 2 4 3" xfId="12222" xr:uid="{00000000-0005-0000-0000-0000E4350000}"/>
    <cellStyle name="Normal 5 5 2 4 4" xfId="18445" xr:uid="{00000000-0005-0000-0000-0000E5350000}"/>
    <cellStyle name="Normal 5 5 2 5" xfId="6085" xr:uid="{00000000-0005-0000-0000-0000E6350000}"/>
    <cellStyle name="Normal 5 5 2 5 2" xfId="12224" xr:uid="{00000000-0005-0000-0000-0000E7350000}"/>
    <cellStyle name="Normal 5 5 2 5 3" xfId="18447" xr:uid="{00000000-0005-0000-0000-0000E8350000}"/>
    <cellStyle name="Normal 5 5 2 6" xfId="12213" xr:uid="{00000000-0005-0000-0000-0000E9350000}"/>
    <cellStyle name="Normal 5 5 2 7" xfId="18436" xr:uid="{00000000-0005-0000-0000-0000EA350000}"/>
    <cellStyle name="Normal 5 5 3" xfId="6086" xr:uid="{00000000-0005-0000-0000-0000EB350000}"/>
    <cellStyle name="Normal 5 5 3 2" xfId="6087" xr:uid="{00000000-0005-0000-0000-0000EC350000}"/>
    <cellStyle name="Normal 5 5 3 2 2" xfId="6088" xr:uid="{00000000-0005-0000-0000-0000ED350000}"/>
    <cellStyle name="Normal 5 5 3 2 2 2" xfId="12227" xr:uid="{00000000-0005-0000-0000-0000EE350000}"/>
    <cellStyle name="Normal 5 5 3 2 2 3" xfId="18450" xr:uid="{00000000-0005-0000-0000-0000EF350000}"/>
    <cellStyle name="Normal 5 5 3 2 3" xfId="12226" xr:uid="{00000000-0005-0000-0000-0000F0350000}"/>
    <cellStyle name="Normal 5 5 3 2 4" xfId="18449" xr:uid="{00000000-0005-0000-0000-0000F1350000}"/>
    <cellStyle name="Normal 5 5 3 3" xfId="6089" xr:uid="{00000000-0005-0000-0000-0000F2350000}"/>
    <cellStyle name="Normal 5 5 3 3 2" xfId="6090" xr:uid="{00000000-0005-0000-0000-0000F3350000}"/>
    <cellStyle name="Normal 5 5 3 3 2 2" xfId="12229" xr:uid="{00000000-0005-0000-0000-0000F4350000}"/>
    <cellStyle name="Normal 5 5 3 3 2 3" xfId="18452" xr:uid="{00000000-0005-0000-0000-0000F5350000}"/>
    <cellStyle name="Normal 5 5 3 3 3" xfId="12228" xr:uid="{00000000-0005-0000-0000-0000F6350000}"/>
    <cellStyle name="Normal 5 5 3 3 4" xfId="18451" xr:uid="{00000000-0005-0000-0000-0000F7350000}"/>
    <cellStyle name="Normal 5 5 3 4" xfId="6091" xr:uid="{00000000-0005-0000-0000-0000F8350000}"/>
    <cellStyle name="Normal 5 5 3 4 2" xfId="12230" xr:uid="{00000000-0005-0000-0000-0000F9350000}"/>
    <cellStyle name="Normal 5 5 3 4 3" xfId="18453" xr:uid="{00000000-0005-0000-0000-0000FA350000}"/>
    <cellStyle name="Normal 5 5 3 5" xfId="12225" xr:uid="{00000000-0005-0000-0000-0000FB350000}"/>
    <cellStyle name="Normal 5 5 3 6" xfId="18448" xr:uid="{00000000-0005-0000-0000-0000FC350000}"/>
    <cellStyle name="Normal 5 5 4" xfId="6092" xr:uid="{00000000-0005-0000-0000-0000FD350000}"/>
    <cellStyle name="Normal 5 5 4 2" xfId="6093" xr:uid="{00000000-0005-0000-0000-0000FE350000}"/>
    <cellStyle name="Normal 5 5 4 2 2" xfId="12232" xr:uid="{00000000-0005-0000-0000-0000FF350000}"/>
    <cellStyle name="Normal 5 5 4 2 3" xfId="18455" xr:uid="{00000000-0005-0000-0000-000000360000}"/>
    <cellStyle name="Normal 5 5 4 3" xfId="12231" xr:uid="{00000000-0005-0000-0000-000001360000}"/>
    <cellStyle name="Normal 5 5 4 4" xfId="18454" xr:uid="{00000000-0005-0000-0000-000002360000}"/>
    <cellStyle name="Normal 5 5 5" xfId="6094" xr:uid="{00000000-0005-0000-0000-000003360000}"/>
    <cellStyle name="Normal 5 5 5 2" xfId="6095" xr:uid="{00000000-0005-0000-0000-000004360000}"/>
    <cellStyle name="Normal 5 5 5 2 2" xfId="12234" xr:uid="{00000000-0005-0000-0000-000005360000}"/>
    <cellStyle name="Normal 5 5 5 2 3" xfId="18457" xr:uid="{00000000-0005-0000-0000-000006360000}"/>
    <cellStyle name="Normal 5 5 5 3" xfId="12233" xr:uid="{00000000-0005-0000-0000-000007360000}"/>
    <cellStyle name="Normal 5 5 5 4" xfId="18456" xr:uid="{00000000-0005-0000-0000-000008360000}"/>
    <cellStyle name="Normal 5 5 6" xfId="6096" xr:uid="{00000000-0005-0000-0000-000009360000}"/>
    <cellStyle name="Normal 5 5 6 2" xfId="12235" xr:uid="{00000000-0005-0000-0000-00000A360000}"/>
    <cellStyle name="Normal 5 5 6 3" xfId="18458" xr:uid="{00000000-0005-0000-0000-00000B360000}"/>
    <cellStyle name="Normal 5 5 7" xfId="12212" xr:uid="{00000000-0005-0000-0000-00000C360000}"/>
    <cellStyle name="Normal 5 5 8" xfId="18435" xr:uid="{00000000-0005-0000-0000-00000D360000}"/>
    <cellStyle name="Normal 5 6" xfId="6097" xr:uid="{00000000-0005-0000-0000-00000E360000}"/>
    <cellStyle name="Normal 5 6 2" xfId="6098" xr:uid="{00000000-0005-0000-0000-00000F360000}"/>
    <cellStyle name="Normal 5 6 2 2" xfId="6099" xr:uid="{00000000-0005-0000-0000-000010360000}"/>
    <cellStyle name="Normal 5 6 2 2 2" xfId="6100" xr:uid="{00000000-0005-0000-0000-000011360000}"/>
    <cellStyle name="Normal 5 6 2 2 2 2" xfId="12239" xr:uid="{00000000-0005-0000-0000-000012360000}"/>
    <cellStyle name="Normal 5 6 2 2 2 3" xfId="18462" xr:uid="{00000000-0005-0000-0000-000013360000}"/>
    <cellStyle name="Normal 5 6 2 2 3" xfId="12238" xr:uid="{00000000-0005-0000-0000-000014360000}"/>
    <cellStyle name="Normal 5 6 2 2 4" xfId="18461" xr:uid="{00000000-0005-0000-0000-000015360000}"/>
    <cellStyle name="Normal 5 6 2 3" xfId="6101" xr:uid="{00000000-0005-0000-0000-000016360000}"/>
    <cellStyle name="Normal 5 6 2 3 2" xfId="6102" xr:uid="{00000000-0005-0000-0000-000017360000}"/>
    <cellStyle name="Normal 5 6 2 3 2 2" xfId="12241" xr:uid="{00000000-0005-0000-0000-000018360000}"/>
    <cellStyle name="Normal 5 6 2 3 2 3" xfId="18464" xr:uid="{00000000-0005-0000-0000-000019360000}"/>
    <cellStyle name="Normal 5 6 2 3 3" xfId="12240" xr:uid="{00000000-0005-0000-0000-00001A360000}"/>
    <cellStyle name="Normal 5 6 2 3 4" xfId="18463" xr:uid="{00000000-0005-0000-0000-00001B360000}"/>
    <cellStyle name="Normal 5 6 2 4" xfId="6103" xr:uid="{00000000-0005-0000-0000-00001C360000}"/>
    <cellStyle name="Normal 5 6 2 4 2" xfId="12242" xr:uid="{00000000-0005-0000-0000-00001D360000}"/>
    <cellStyle name="Normal 5 6 2 4 3" xfId="18465" xr:uid="{00000000-0005-0000-0000-00001E360000}"/>
    <cellStyle name="Normal 5 6 2 5" xfId="12237" xr:uid="{00000000-0005-0000-0000-00001F360000}"/>
    <cellStyle name="Normal 5 6 2 6" xfId="18460" xr:uid="{00000000-0005-0000-0000-000020360000}"/>
    <cellStyle name="Normal 5 6 3" xfId="6104" xr:uid="{00000000-0005-0000-0000-000021360000}"/>
    <cellStyle name="Normal 5 6 3 2" xfId="6105" xr:uid="{00000000-0005-0000-0000-000022360000}"/>
    <cellStyle name="Normal 5 6 3 2 2" xfId="12244" xr:uid="{00000000-0005-0000-0000-000023360000}"/>
    <cellStyle name="Normal 5 6 3 2 3" xfId="18467" xr:uid="{00000000-0005-0000-0000-000024360000}"/>
    <cellStyle name="Normal 5 6 3 3" xfId="12243" xr:uid="{00000000-0005-0000-0000-000025360000}"/>
    <cellStyle name="Normal 5 6 3 4" xfId="18466" xr:uid="{00000000-0005-0000-0000-000026360000}"/>
    <cellStyle name="Normal 5 6 4" xfId="6106" xr:uid="{00000000-0005-0000-0000-000027360000}"/>
    <cellStyle name="Normal 5 6 4 2" xfId="6107" xr:uid="{00000000-0005-0000-0000-000028360000}"/>
    <cellStyle name="Normal 5 6 4 2 2" xfId="12246" xr:uid="{00000000-0005-0000-0000-000029360000}"/>
    <cellStyle name="Normal 5 6 4 2 3" xfId="18469" xr:uid="{00000000-0005-0000-0000-00002A360000}"/>
    <cellStyle name="Normal 5 6 4 3" xfId="12245" xr:uid="{00000000-0005-0000-0000-00002B360000}"/>
    <cellStyle name="Normal 5 6 4 4" xfId="18468" xr:uid="{00000000-0005-0000-0000-00002C360000}"/>
    <cellStyle name="Normal 5 6 5" xfId="6108" xr:uid="{00000000-0005-0000-0000-00002D360000}"/>
    <cellStyle name="Normal 5 6 5 2" xfId="12247" xr:uid="{00000000-0005-0000-0000-00002E360000}"/>
    <cellStyle name="Normal 5 6 5 3" xfId="18470" xr:uid="{00000000-0005-0000-0000-00002F360000}"/>
    <cellStyle name="Normal 5 6 6" xfId="12236" xr:uid="{00000000-0005-0000-0000-000030360000}"/>
    <cellStyle name="Normal 5 6 7" xfId="18459" xr:uid="{00000000-0005-0000-0000-000031360000}"/>
    <cellStyle name="Normal 5 7" xfId="6109" xr:uid="{00000000-0005-0000-0000-000032360000}"/>
    <cellStyle name="Normal 5 7 2" xfId="6110" xr:uid="{00000000-0005-0000-0000-000033360000}"/>
    <cellStyle name="Normal 5 7 2 2" xfId="6111" xr:uid="{00000000-0005-0000-0000-000034360000}"/>
    <cellStyle name="Normal 5 7 2 2 2" xfId="12250" xr:uid="{00000000-0005-0000-0000-000035360000}"/>
    <cellStyle name="Normal 5 7 2 2 3" xfId="18473" xr:uid="{00000000-0005-0000-0000-000036360000}"/>
    <cellStyle name="Normal 5 7 2 3" xfId="12249" xr:uid="{00000000-0005-0000-0000-000037360000}"/>
    <cellStyle name="Normal 5 7 2 4" xfId="18472" xr:uid="{00000000-0005-0000-0000-000038360000}"/>
    <cellStyle name="Normal 5 7 3" xfId="6112" xr:uid="{00000000-0005-0000-0000-000039360000}"/>
    <cellStyle name="Normal 5 7 3 2" xfId="6113" xr:uid="{00000000-0005-0000-0000-00003A360000}"/>
    <cellStyle name="Normal 5 7 3 2 2" xfId="12252" xr:uid="{00000000-0005-0000-0000-00003B360000}"/>
    <cellStyle name="Normal 5 7 3 2 3" xfId="18475" xr:uid="{00000000-0005-0000-0000-00003C360000}"/>
    <cellStyle name="Normal 5 7 3 3" xfId="12251" xr:uid="{00000000-0005-0000-0000-00003D360000}"/>
    <cellStyle name="Normal 5 7 3 4" xfId="18474" xr:uid="{00000000-0005-0000-0000-00003E360000}"/>
    <cellStyle name="Normal 5 7 4" xfId="6114" xr:uid="{00000000-0005-0000-0000-00003F360000}"/>
    <cellStyle name="Normal 5 7 4 2" xfId="12253" xr:uid="{00000000-0005-0000-0000-000040360000}"/>
    <cellStyle name="Normal 5 7 4 3" xfId="18476" xr:uid="{00000000-0005-0000-0000-000041360000}"/>
    <cellStyle name="Normal 5 7 5" xfId="12248" xr:uid="{00000000-0005-0000-0000-000042360000}"/>
    <cellStyle name="Normal 5 7 6" xfId="18471" xr:uid="{00000000-0005-0000-0000-000043360000}"/>
    <cellStyle name="Normal 5 8" xfId="6115" xr:uid="{00000000-0005-0000-0000-000044360000}"/>
    <cellStyle name="Normal 5 8 2" xfId="6116" xr:uid="{00000000-0005-0000-0000-000045360000}"/>
    <cellStyle name="Normal 5 8 2 2" xfId="12255" xr:uid="{00000000-0005-0000-0000-000046360000}"/>
    <cellStyle name="Normal 5 8 2 3" xfId="18478" xr:uid="{00000000-0005-0000-0000-000047360000}"/>
    <cellStyle name="Normal 5 8 3" xfId="12254" xr:uid="{00000000-0005-0000-0000-000048360000}"/>
    <cellStyle name="Normal 5 8 4" xfId="18477" xr:uid="{00000000-0005-0000-0000-000049360000}"/>
    <cellStyle name="Normal 5 9" xfId="6117" xr:uid="{00000000-0005-0000-0000-00004A360000}"/>
    <cellStyle name="Normal 5 9 2" xfId="6118" xr:uid="{00000000-0005-0000-0000-00004B360000}"/>
    <cellStyle name="Normal 5 9 2 2" xfId="12257" xr:uid="{00000000-0005-0000-0000-00004C360000}"/>
    <cellStyle name="Normal 5 9 2 3" xfId="18480" xr:uid="{00000000-0005-0000-0000-00004D360000}"/>
    <cellStyle name="Normal 5 9 3" xfId="12256" xr:uid="{00000000-0005-0000-0000-00004E360000}"/>
    <cellStyle name="Normal 5 9 4" xfId="18479" xr:uid="{00000000-0005-0000-0000-00004F360000}"/>
    <cellStyle name="Normal 5_10051" xfId="6119" xr:uid="{00000000-0005-0000-0000-000050360000}"/>
    <cellStyle name="Normal 50" xfId="6120" xr:uid="{00000000-0005-0000-0000-000051360000}"/>
    <cellStyle name="Normal 50 10" xfId="18481" xr:uid="{00000000-0005-0000-0000-000052360000}"/>
    <cellStyle name="Normal 50 2" xfId="6121" xr:uid="{00000000-0005-0000-0000-000053360000}"/>
    <cellStyle name="Normal 50 2 2" xfId="6122" xr:uid="{00000000-0005-0000-0000-000054360000}"/>
    <cellStyle name="Normal 50 2 2 2" xfId="6123" xr:uid="{00000000-0005-0000-0000-000055360000}"/>
    <cellStyle name="Normal 50 2 2 2 2" xfId="6124" xr:uid="{00000000-0005-0000-0000-000056360000}"/>
    <cellStyle name="Normal 50 2 2 2 2 2" xfId="6125" xr:uid="{00000000-0005-0000-0000-000057360000}"/>
    <cellStyle name="Normal 50 2 2 2 2 2 2" xfId="12263" xr:uid="{00000000-0005-0000-0000-000058360000}"/>
    <cellStyle name="Normal 50 2 2 2 2 2 3" xfId="18486" xr:uid="{00000000-0005-0000-0000-000059360000}"/>
    <cellStyle name="Normal 50 2 2 2 2 3" xfId="12262" xr:uid="{00000000-0005-0000-0000-00005A360000}"/>
    <cellStyle name="Normal 50 2 2 2 2 4" xfId="18485" xr:uid="{00000000-0005-0000-0000-00005B360000}"/>
    <cellStyle name="Normal 50 2 2 2 3" xfId="6126" xr:uid="{00000000-0005-0000-0000-00005C360000}"/>
    <cellStyle name="Normal 50 2 2 2 3 2" xfId="6127" xr:uid="{00000000-0005-0000-0000-00005D360000}"/>
    <cellStyle name="Normal 50 2 2 2 3 2 2" xfId="12265" xr:uid="{00000000-0005-0000-0000-00005E360000}"/>
    <cellStyle name="Normal 50 2 2 2 3 2 3" xfId="18488" xr:uid="{00000000-0005-0000-0000-00005F360000}"/>
    <cellStyle name="Normal 50 2 2 2 3 3" xfId="12264" xr:uid="{00000000-0005-0000-0000-000060360000}"/>
    <cellStyle name="Normal 50 2 2 2 3 4" xfId="18487" xr:uid="{00000000-0005-0000-0000-000061360000}"/>
    <cellStyle name="Normal 50 2 2 2 4" xfId="6128" xr:uid="{00000000-0005-0000-0000-000062360000}"/>
    <cellStyle name="Normal 50 2 2 2 4 2" xfId="12266" xr:uid="{00000000-0005-0000-0000-000063360000}"/>
    <cellStyle name="Normal 50 2 2 2 4 3" xfId="18489" xr:uid="{00000000-0005-0000-0000-000064360000}"/>
    <cellStyle name="Normal 50 2 2 2 5" xfId="12261" xr:uid="{00000000-0005-0000-0000-000065360000}"/>
    <cellStyle name="Normal 50 2 2 2 6" xfId="18484" xr:uid="{00000000-0005-0000-0000-000066360000}"/>
    <cellStyle name="Normal 50 2 2 3" xfId="6129" xr:uid="{00000000-0005-0000-0000-000067360000}"/>
    <cellStyle name="Normal 50 2 2 3 2" xfId="6130" xr:uid="{00000000-0005-0000-0000-000068360000}"/>
    <cellStyle name="Normal 50 2 2 3 2 2" xfId="12268" xr:uid="{00000000-0005-0000-0000-000069360000}"/>
    <cellStyle name="Normal 50 2 2 3 2 3" xfId="18491" xr:uid="{00000000-0005-0000-0000-00006A360000}"/>
    <cellStyle name="Normal 50 2 2 3 3" xfId="12267" xr:uid="{00000000-0005-0000-0000-00006B360000}"/>
    <cellStyle name="Normal 50 2 2 3 4" xfId="18490" xr:uid="{00000000-0005-0000-0000-00006C360000}"/>
    <cellStyle name="Normal 50 2 2 4" xfId="6131" xr:uid="{00000000-0005-0000-0000-00006D360000}"/>
    <cellStyle name="Normal 50 2 2 4 2" xfId="6132" xr:uid="{00000000-0005-0000-0000-00006E360000}"/>
    <cellStyle name="Normal 50 2 2 4 2 2" xfId="12270" xr:uid="{00000000-0005-0000-0000-00006F360000}"/>
    <cellStyle name="Normal 50 2 2 4 2 3" xfId="18493" xr:uid="{00000000-0005-0000-0000-000070360000}"/>
    <cellStyle name="Normal 50 2 2 4 3" xfId="12269" xr:uid="{00000000-0005-0000-0000-000071360000}"/>
    <cellStyle name="Normal 50 2 2 4 4" xfId="18492" xr:uid="{00000000-0005-0000-0000-000072360000}"/>
    <cellStyle name="Normal 50 2 2 5" xfId="6133" xr:uid="{00000000-0005-0000-0000-000073360000}"/>
    <cellStyle name="Normal 50 2 2 5 2" xfId="12271" xr:uid="{00000000-0005-0000-0000-000074360000}"/>
    <cellStyle name="Normal 50 2 2 5 3" xfId="18494" xr:uid="{00000000-0005-0000-0000-000075360000}"/>
    <cellStyle name="Normal 50 2 2 6" xfId="12260" xr:uid="{00000000-0005-0000-0000-000076360000}"/>
    <cellStyle name="Normal 50 2 2 7" xfId="18483" xr:uid="{00000000-0005-0000-0000-000077360000}"/>
    <cellStyle name="Normal 50 2 3" xfId="6134" xr:uid="{00000000-0005-0000-0000-000078360000}"/>
    <cellStyle name="Normal 50 2 3 2" xfId="6135" xr:uid="{00000000-0005-0000-0000-000079360000}"/>
    <cellStyle name="Normal 50 2 3 2 2" xfId="6136" xr:uid="{00000000-0005-0000-0000-00007A360000}"/>
    <cellStyle name="Normal 50 2 3 2 2 2" xfId="12274" xr:uid="{00000000-0005-0000-0000-00007B360000}"/>
    <cellStyle name="Normal 50 2 3 2 2 3" xfId="18497" xr:uid="{00000000-0005-0000-0000-00007C360000}"/>
    <cellStyle name="Normal 50 2 3 2 3" xfId="12273" xr:uid="{00000000-0005-0000-0000-00007D360000}"/>
    <cellStyle name="Normal 50 2 3 2 4" xfId="18496" xr:uid="{00000000-0005-0000-0000-00007E360000}"/>
    <cellStyle name="Normal 50 2 3 3" xfId="6137" xr:uid="{00000000-0005-0000-0000-00007F360000}"/>
    <cellStyle name="Normal 50 2 3 3 2" xfId="6138" xr:uid="{00000000-0005-0000-0000-000080360000}"/>
    <cellStyle name="Normal 50 2 3 3 2 2" xfId="12276" xr:uid="{00000000-0005-0000-0000-000081360000}"/>
    <cellStyle name="Normal 50 2 3 3 2 3" xfId="18499" xr:uid="{00000000-0005-0000-0000-000082360000}"/>
    <cellStyle name="Normal 50 2 3 3 3" xfId="12275" xr:uid="{00000000-0005-0000-0000-000083360000}"/>
    <cellStyle name="Normal 50 2 3 3 4" xfId="18498" xr:uid="{00000000-0005-0000-0000-000084360000}"/>
    <cellStyle name="Normal 50 2 3 4" xfId="6139" xr:uid="{00000000-0005-0000-0000-000085360000}"/>
    <cellStyle name="Normal 50 2 3 4 2" xfId="12277" xr:uid="{00000000-0005-0000-0000-000086360000}"/>
    <cellStyle name="Normal 50 2 3 4 3" xfId="18500" xr:uid="{00000000-0005-0000-0000-000087360000}"/>
    <cellStyle name="Normal 50 2 3 5" xfId="12272" xr:uid="{00000000-0005-0000-0000-000088360000}"/>
    <cellStyle name="Normal 50 2 3 6" xfId="18495" xr:uid="{00000000-0005-0000-0000-000089360000}"/>
    <cellStyle name="Normal 50 2 4" xfId="6140" xr:uid="{00000000-0005-0000-0000-00008A360000}"/>
    <cellStyle name="Normal 50 2 4 2" xfId="6141" xr:uid="{00000000-0005-0000-0000-00008B360000}"/>
    <cellStyle name="Normal 50 2 4 2 2" xfId="12279" xr:uid="{00000000-0005-0000-0000-00008C360000}"/>
    <cellStyle name="Normal 50 2 4 2 3" xfId="18502" xr:uid="{00000000-0005-0000-0000-00008D360000}"/>
    <cellStyle name="Normal 50 2 4 3" xfId="12278" xr:uid="{00000000-0005-0000-0000-00008E360000}"/>
    <cellStyle name="Normal 50 2 4 4" xfId="18501" xr:uid="{00000000-0005-0000-0000-00008F360000}"/>
    <cellStyle name="Normal 50 2 5" xfId="6142" xr:uid="{00000000-0005-0000-0000-000090360000}"/>
    <cellStyle name="Normal 50 2 5 2" xfId="6143" xr:uid="{00000000-0005-0000-0000-000091360000}"/>
    <cellStyle name="Normal 50 2 5 2 2" xfId="12281" xr:uid="{00000000-0005-0000-0000-000092360000}"/>
    <cellStyle name="Normal 50 2 5 2 3" xfId="18504" xr:uid="{00000000-0005-0000-0000-000093360000}"/>
    <cellStyle name="Normal 50 2 5 3" xfId="12280" xr:uid="{00000000-0005-0000-0000-000094360000}"/>
    <cellStyle name="Normal 50 2 5 4" xfId="18503" xr:uid="{00000000-0005-0000-0000-000095360000}"/>
    <cellStyle name="Normal 50 2 6" xfId="6144" xr:uid="{00000000-0005-0000-0000-000096360000}"/>
    <cellStyle name="Normal 50 2 6 2" xfId="12282" xr:uid="{00000000-0005-0000-0000-000097360000}"/>
    <cellStyle name="Normal 50 2 6 3" xfId="18505" xr:uid="{00000000-0005-0000-0000-000098360000}"/>
    <cellStyle name="Normal 50 2 7" xfId="12259" xr:uid="{00000000-0005-0000-0000-000099360000}"/>
    <cellStyle name="Normal 50 2 8" xfId="18482" xr:uid="{00000000-0005-0000-0000-00009A360000}"/>
    <cellStyle name="Normal 50 3" xfId="6145" xr:uid="{00000000-0005-0000-0000-00009B360000}"/>
    <cellStyle name="Normal 50 3 2" xfId="6146" xr:uid="{00000000-0005-0000-0000-00009C360000}"/>
    <cellStyle name="Normal 50 3 2 2" xfId="6147" xr:uid="{00000000-0005-0000-0000-00009D360000}"/>
    <cellStyle name="Normal 50 3 2 2 2" xfId="6148" xr:uid="{00000000-0005-0000-0000-00009E360000}"/>
    <cellStyle name="Normal 50 3 2 2 2 2" xfId="12286" xr:uid="{00000000-0005-0000-0000-00009F360000}"/>
    <cellStyle name="Normal 50 3 2 2 2 3" xfId="18509" xr:uid="{00000000-0005-0000-0000-0000A0360000}"/>
    <cellStyle name="Normal 50 3 2 2 3" xfId="12285" xr:uid="{00000000-0005-0000-0000-0000A1360000}"/>
    <cellStyle name="Normal 50 3 2 2 4" xfId="18508" xr:uid="{00000000-0005-0000-0000-0000A2360000}"/>
    <cellStyle name="Normal 50 3 2 3" xfId="6149" xr:uid="{00000000-0005-0000-0000-0000A3360000}"/>
    <cellStyle name="Normal 50 3 2 3 2" xfId="6150" xr:uid="{00000000-0005-0000-0000-0000A4360000}"/>
    <cellStyle name="Normal 50 3 2 3 2 2" xfId="12288" xr:uid="{00000000-0005-0000-0000-0000A5360000}"/>
    <cellStyle name="Normal 50 3 2 3 2 3" xfId="18511" xr:uid="{00000000-0005-0000-0000-0000A6360000}"/>
    <cellStyle name="Normal 50 3 2 3 3" xfId="12287" xr:uid="{00000000-0005-0000-0000-0000A7360000}"/>
    <cellStyle name="Normal 50 3 2 3 4" xfId="18510" xr:uid="{00000000-0005-0000-0000-0000A8360000}"/>
    <cellStyle name="Normal 50 3 2 4" xfId="6151" xr:uid="{00000000-0005-0000-0000-0000A9360000}"/>
    <cellStyle name="Normal 50 3 2 4 2" xfId="12289" xr:uid="{00000000-0005-0000-0000-0000AA360000}"/>
    <cellStyle name="Normal 50 3 2 4 3" xfId="18512" xr:uid="{00000000-0005-0000-0000-0000AB360000}"/>
    <cellStyle name="Normal 50 3 2 5" xfId="12284" xr:uid="{00000000-0005-0000-0000-0000AC360000}"/>
    <cellStyle name="Normal 50 3 2 6" xfId="18507" xr:uid="{00000000-0005-0000-0000-0000AD360000}"/>
    <cellStyle name="Normal 50 3 3" xfId="6152" xr:uid="{00000000-0005-0000-0000-0000AE360000}"/>
    <cellStyle name="Normal 50 3 3 2" xfId="6153" xr:uid="{00000000-0005-0000-0000-0000AF360000}"/>
    <cellStyle name="Normal 50 3 3 2 2" xfId="12291" xr:uid="{00000000-0005-0000-0000-0000B0360000}"/>
    <cellStyle name="Normal 50 3 3 2 3" xfId="18514" xr:uid="{00000000-0005-0000-0000-0000B1360000}"/>
    <cellStyle name="Normal 50 3 3 3" xfId="12290" xr:uid="{00000000-0005-0000-0000-0000B2360000}"/>
    <cellStyle name="Normal 50 3 3 4" xfId="18513" xr:uid="{00000000-0005-0000-0000-0000B3360000}"/>
    <cellStyle name="Normal 50 3 4" xfId="6154" xr:uid="{00000000-0005-0000-0000-0000B4360000}"/>
    <cellStyle name="Normal 50 3 4 2" xfId="6155" xr:uid="{00000000-0005-0000-0000-0000B5360000}"/>
    <cellStyle name="Normal 50 3 4 2 2" xfId="12293" xr:uid="{00000000-0005-0000-0000-0000B6360000}"/>
    <cellStyle name="Normal 50 3 4 2 3" xfId="18516" xr:uid="{00000000-0005-0000-0000-0000B7360000}"/>
    <cellStyle name="Normal 50 3 4 3" xfId="12292" xr:uid="{00000000-0005-0000-0000-0000B8360000}"/>
    <cellStyle name="Normal 50 3 4 4" xfId="18515" xr:uid="{00000000-0005-0000-0000-0000B9360000}"/>
    <cellStyle name="Normal 50 3 5" xfId="6156" xr:uid="{00000000-0005-0000-0000-0000BA360000}"/>
    <cellStyle name="Normal 50 3 5 2" xfId="12294" xr:uid="{00000000-0005-0000-0000-0000BB360000}"/>
    <cellStyle name="Normal 50 3 5 3" xfId="18517" xr:uid="{00000000-0005-0000-0000-0000BC360000}"/>
    <cellStyle name="Normal 50 3 6" xfId="12283" xr:uid="{00000000-0005-0000-0000-0000BD360000}"/>
    <cellStyle name="Normal 50 3 7" xfId="18506" xr:uid="{00000000-0005-0000-0000-0000BE360000}"/>
    <cellStyle name="Normal 50 4" xfId="6157" xr:uid="{00000000-0005-0000-0000-0000BF360000}"/>
    <cellStyle name="Normal 50 4 2" xfId="6158" xr:uid="{00000000-0005-0000-0000-0000C0360000}"/>
    <cellStyle name="Normal 50 4 2 2" xfId="6159" xr:uid="{00000000-0005-0000-0000-0000C1360000}"/>
    <cellStyle name="Normal 50 4 2 2 2" xfId="12297" xr:uid="{00000000-0005-0000-0000-0000C2360000}"/>
    <cellStyle name="Normal 50 4 2 2 3" xfId="18520" xr:uid="{00000000-0005-0000-0000-0000C3360000}"/>
    <cellStyle name="Normal 50 4 2 3" xfId="12296" xr:uid="{00000000-0005-0000-0000-0000C4360000}"/>
    <cellStyle name="Normal 50 4 2 4" xfId="18519" xr:uid="{00000000-0005-0000-0000-0000C5360000}"/>
    <cellStyle name="Normal 50 4 3" xfId="6160" xr:uid="{00000000-0005-0000-0000-0000C6360000}"/>
    <cellStyle name="Normal 50 4 3 2" xfId="6161" xr:uid="{00000000-0005-0000-0000-0000C7360000}"/>
    <cellStyle name="Normal 50 4 3 2 2" xfId="12299" xr:uid="{00000000-0005-0000-0000-0000C8360000}"/>
    <cellStyle name="Normal 50 4 3 2 3" xfId="18522" xr:uid="{00000000-0005-0000-0000-0000C9360000}"/>
    <cellStyle name="Normal 50 4 3 3" xfId="12298" xr:uid="{00000000-0005-0000-0000-0000CA360000}"/>
    <cellStyle name="Normal 50 4 3 4" xfId="18521" xr:uid="{00000000-0005-0000-0000-0000CB360000}"/>
    <cellStyle name="Normal 50 4 4" xfId="6162" xr:uid="{00000000-0005-0000-0000-0000CC360000}"/>
    <cellStyle name="Normal 50 4 4 2" xfId="12300" xr:uid="{00000000-0005-0000-0000-0000CD360000}"/>
    <cellStyle name="Normal 50 4 4 3" xfId="18523" xr:uid="{00000000-0005-0000-0000-0000CE360000}"/>
    <cellStyle name="Normal 50 4 5" xfId="12295" xr:uid="{00000000-0005-0000-0000-0000CF360000}"/>
    <cellStyle name="Normal 50 4 6" xfId="18518" xr:uid="{00000000-0005-0000-0000-0000D0360000}"/>
    <cellStyle name="Normal 50 5" xfId="6163" xr:uid="{00000000-0005-0000-0000-0000D1360000}"/>
    <cellStyle name="Normal 50 5 2" xfId="6164" xr:uid="{00000000-0005-0000-0000-0000D2360000}"/>
    <cellStyle name="Normal 50 5 2 2" xfId="12302" xr:uid="{00000000-0005-0000-0000-0000D3360000}"/>
    <cellStyle name="Normal 50 5 2 3" xfId="18525" xr:uid="{00000000-0005-0000-0000-0000D4360000}"/>
    <cellStyle name="Normal 50 5 3" xfId="12301" xr:uid="{00000000-0005-0000-0000-0000D5360000}"/>
    <cellStyle name="Normal 50 5 4" xfId="18524" xr:uid="{00000000-0005-0000-0000-0000D6360000}"/>
    <cellStyle name="Normal 50 6" xfId="6165" xr:uid="{00000000-0005-0000-0000-0000D7360000}"/>
    <cellStyle name="Normal 50 6 2" xfId="6166" xr:uid="{00000000-0005-0000-0000-0000D8360000}"/>
    <cellStyle name="Normal 50 6 2 2" xfId="12304" xr:uid="{00000000-0005-0000-0000-0000D9360000}"/>
    <cellStyle name="Normal 50 6 2 3" xfId="18527" xr:uid="{00000000-0005-0000-0000-0000DA360000}"/>
    <cellStyle name="Normal 50 6 3" xfId="12303" xr:uid="{00000000-0005-0000-0000-0000DB360000}"/>
    <cellStyle name="Normal 50 6 4" xfId="18526" xr:uid="{00000000-0005-0000-0000-0000DC360000}"/>
    <cellStyle name="Normal 50 7" xfId="6167" xr:uid="{00000000-0005-0000-0000-0000DD360000}"/>
    <cellStyle name="Normal 50 7 2" xfId="12305" xr:uid="{00000000-0005-0000-0000-0000DE360000}"/>
    <cellStyle name="Normal 50 7 3" xfId="18528" xr:uid="{00000000-0005-0000-0000-0000DF360000}"/>
    <cellStyle name="Normal 50 8" xfId="6168" xr:uid="{00000000-0005-0000-0000-0000E0360000}"/>
    <cellStyle name="Normal 50 8 2" xfId="18529" xr:uid="{00000000-0005-0000-0000-0000E1360000}"/>
    <cellStyle name="Normal 50 9" xfId="12258" xr:uid="{00000000-0005-0000-0000-0000E2360000}"/>
    <cellStyle name="Normal 51" xfId="6169" xr:uid="{00000000-0005-0000-0000-0000E3360000}"/>
    <cellStyle name="Normal 51 10" xfId="18530" xr:uid="{00000000-0005-0000-0000-0000E4360000}"/>
    <cellStyle name="Normal 51 2" xfId="6170" xr:uid="{00000000-0005-0000-0000-0000E5360000}"/>
    <cellStyle name="Normal 51 2 2" xfId="6171" xr:uid="{00000000-0005-0000-0000-0000E6360000}"/>
    <cellStyle name="Normal 51 2 2 2" xfId="6172" xr:uid="{00000000-0005-0000-0000-0000E7360000}"/>
    <cellStyle name="Normal 51 2 2 2 2" xfId="6173" xr:uid="{00000000-0005-0000-0000-0000E8360000}"/>
    <cellStyle name="Normal 51 2 2 2 2 2" xfId="6174" xr:uid="{00000000-0005-0000-0000-0000E9360000}"/>
    <cellStyle name="Normal 51 2 2 2 2 2 2" xfId="12311" xr:uid="{00000000-0005-0000-0000-0000EA360000}"/>
    <cellStyle name="Normal 51 2 2 2 2 2 3" xfId="18535" xr:uid="{00000000-0005-0000-0000-0000EB360000}"/>
    <cellStyle name="Normal 51 2 2 2 2 3" xfId="12310" xr:uid="{00000000-0005-0000-0000-0000EC360000}"/>
    <cellStyle name="Normal 51 2 2 2 2 4" xfId="18534" xr:uid="{00000000-0005-0000-0000-0000ED360000}"/>
    <cellStyle name="Normal 51 2 2 2 3" xfId="6175" xr:uid="{00000000-0005-0000-0000-0000EE360000}"/>
    <cellStyle name="Normal 51 2 2 2 3 2" xfId="6176" xr:uid="{00000000-0005-0000-0000-0000EF360000}"/>
    <cellStyle name="Normal 51 2 2 2 3 2 2" xfId="12313" xr:uid="{00000000-0005-0000-0000-0000F0360000}"/>
    <cellStyle name="Normal 51 2 2 2 3 2 3" xfId="18537" xr:uid="{00000000-0005-0000-0000-0000F1360000}"/>
    <cellStyle name="Normal 51 2 2 2 3 3" xfId="12312" xr:uid="{00000000-0005-0000-0000-0000F2360000}"/>
    <cellStyle name="Normal 51 2 2 2 3 4" xfId="18536" xr:uid="{00000000-0005-0000-0000-0000F3360000}"/>
    <cellStyle name="Normal 51 2 2 2 4" xfId="6177" xr:uid="{00000000-0005-0000-0000-0000F4360000}"/>
    <cellStyle name="Normal 51 2 2 2 4 2" xfId="12314" xr:uid="{00000000-0005-0000-0000-0000F5360000}"/>
    <cellStyle name="Normal 51 2 2 2 4 3" xfId="18538" xr:uid="{00000000-0005-0000-0000-0000F6360000}"/>
    <cellStyle name="Normal 51 2 2 2 5" xfId="12309" xr:uid="{00000000-0005-0000-0000-0000F7360000}"/>
    <cellStyle name="Normal 51 2 2 2 6" xfId="18533" xr:uid="{00000000-0005-0000-0000-0000F8360000}"/>
    <cellStyle name="Normal 51 2 2 3" xfId="6178" xr:uid="{00000000-0005-0000-0000-0000F9360000}"/>
    <cellStyle name="Normal 51 2 2 3 2" xfId="6179" xr:uid="{00000000-0005-0000-0000-0000FA360000}"/>
    <cellStyle name="Normal 51 2 2 3 2 2" xfId="12316" xr:uid="{00000000-0005-0000-0000-0000FB360000}"/>
    <cellStyle name="Normal 51 2 2 3 2 3" xfId="18540" xr:uid="{00000000-0005-0000-0000-0000FC360000}"/>
    <cellStyle name="Normal 51 2 2 3 3" xfId="12315" xr:uid="{00000000-0005-0000-0000-0000FD360000}"/>
    <cellStyle name="Normal 51 2 2 3 4" xfId="18539" xr:uid="{00000000-0005-0000-0000-0000FE360000}"/>
    <cellStyle name="Normal 51 2 2 4" xfId="6180" xr:uid="{00000000-0005-0000-0000-0000FF360000}"/>
    <cellStyle name="Normal 51 2 2 4 2" xfId="6181" xr:uid="{00000000-0005-0000-0000-000000370000}"/>
    <cellStyle name="Normal 51 2 2 4 2 2" xfId="12318" xr:uid="{00000000-0005-0000-0000-000001370000}"/>
    <cellStyle name="Normal 51 2 2 4 2 3" xfId="18542" xr:uid="{00000000-0005-0000-0000-000002370000}"/>
    <cellStyle name="Normal 51 2 2 4 3" xfId="12317" xr:uid="{00000000-0005-0000-0000-000003370000}"/>
    <cellStyle name="Normal 51 2 2 4 4" xfId="18541" xr:uid="{00000000-0005-0000-0000-000004370000}"/>
    <cellStyle name="Normal 51 2 2 5" xfId="6182" xr:uid="{00000000-0005-0000-0000-000005370000}"/>
    <cellStyle name="Normal 51 2 2 5 2" xfId="12319" xr:uid="{00000000-0005-0000-0000-000006370000}"/>
    <cellStyle name="Normal 51 2 2 5 3" xfId="18543" xr:uid="{00000000-0005-0000-0000-000007370000}"/>
    <cellStyle name="Normal 51 2 2 6" xfId="12308" xr:uid="{00000000-0005-0000-0000-000008370000}"/>
    <cellStyle name="Normal 51 2 2 7" xfId="18532" xr:uid="{00000000-0005-0000-0000-000009370000}"/>
    <cellStyle name="Normal 51 2 3" xfId="6183" xr:uid="{00000000-0005-0000-0000-00000A370000}"/>
    <cellStyle name="Normal 51 2 3 2" xfId="6184" xr:uid="{00000000-0005-0000-0000-00000B370000}"/>
    <cellStyle name="Normal 51 2 3 2 2" xfId="6185" xr:uid="{00000000-0005-0000-0000-00000C370000}"/>
    <cellStyle name="Normal 51 2 3 2 2 2" xfId="12322" xr:uid="{00000000-0005-0000-0000-00000D370000}"/>
    <cellStyle name="Normal 51 2 3 2 2 3" xfId="18546" xr:uid="{00000000-0005-0000-0000-00000E370000}"/>
    <cellStyle name="Normal 51 2 3 2 3" xfId="12321" xr:uid="{00000000-0005-0000-0000-00000F370000}"/>
    <cellStyle name="Normal 51 2 3 2 4" xfId="18545" xr:uid="{00000000-0005-0000-0000-000010370000}"/>
    <cellStyle name="Normal 51 2 3 3" xfId="6186" xr:uid="{00000000-0005-0000-0000-000011370000}"/>
    <cellStyle name="Normal 51 2 3 3 2" xfId="6187" xr:uid="{00000000-0005-0000-0000-000012370000}"/>
    <cellStyle name="Normal 51 2 3 3 2 2" xfId="12324" xr:uid="{00000000-0005-0000-0000-000013370000}"/>
    <cellStyle name="Normal 51 2 3 3 2 3" xfId="18548" xr:uid="{00000000-0005-0000-0000-000014370000}"/>
    <cellStyle name="Normal 51 2 3 3 3" xfId="12323" xr:uid="{00000000-0005-0000-0000-000015370000}"/>
    <cellStyle name="Normal 51 2 3 3 4" xfId="18547" xr:uid="{00000000-0005-0000-0000-000016370000}"/>
    <cellStyle name="Normal 51 2 3 4" xfId="6188" xr:uid="{00000000-0005-0000-0000-000017370000}"/>
    <cellStyle name="Normal 51 2 3 4 2" xfId="12325" xr:uid="{00000000-0005-0000-0000-000018370000}"/>
    <cellStyle name="Normal 51 2 3 4 3" xfId="18549" xr:uid="{00000000-0005-0000-0000-000019370000}"/>
    <cellStyle name="Normal 51 2 3 5" xfId="12320" xr:uid="{00000000-0005-0000-0000-00001A370000}"/>
    <cellStyle name="Normal 51 2 3 6" xfId="18544" xr:uid="{00000000-0005-0000-0000-00001B370000}"/>
    <cellStyle name="Normal 51 2 4" xfId="6189" xr:uid="{00000000-0005-0000-0000-00001C370000}"/>
    <cellStyle name="Normal 51 2 4 2" xfId="6190" xr:uid="{00000000-0005-0000-0000-00001D370000}"/>
    <cellStyle name="Normal 51 2 4 2 2" xfId="12327" xr:uid="{00000000-0005-0000-0000-00001E370000}"/>
    <cellStyle name="Normal 51 2 4 2 3" xfId="18551" xr:uid="{00000000-0005-0000-0000-00001F370000}"/>
    <cellStyle name="Normal 51 2 4 3" xfId="12326" xr:uid="{00000000-0005-0000-0000-000020370000}"/>
    <cellStyle name="Normal 51 2 4 4" xfId="18550" xr:uid="{00000000-0005-0000-0000-000021370000}"/>
    <cellStyle name="Normal 51 2 5" xfId="6191" xr:uid="{00000000-0005-0000-0000-000022370000}"/>
    <cellStyle name="Normal 51 2 5 2" xfId="6192" xr:uid="{00000000-0005-0000-0000-000023370000}"/>
    <cellStyle name="Normal 51 2 5 2 2" xfId="12329" xr:uid="{00000000-0005-0000-0000-000024370000}"/>
    <cellStyle name="Normal 51 2 5 2 3" xfId="18553" xr:uid="{00000000-0005-0000-0000-000025370000}"/>
    <cellStyle name="Normal 51 2 5 3" xfId="12328" xr:uid="{00000000-0005-0000-0000-000026370000}"/>
    <cellStyle name="Normal 51 2 5 4" xfId="18552" xr:uid="{00000000-0005-0000-0000-000027370000}"/>
    <cellStyle name="Normal 51 2 6" xfId="6193" xr:uid="{00000000-0005-0000-0000-000028370000}"/>
    <cellStyle name="Normal 51 2 6 2" xfId="12330" xr:uid="{00000000-0005-0000-0000-000029370000}"/>
    <cellStyle name="Normal 51 2 6 3" xfId="18554" xr:uid="{00000000-0005-0000-0000-00002A370000}"/>
    <cellStyle name="Normal 51 2 7" xfId="12307" xr:uid="{00000000-0005-0000-0000-00002B370000}"/>
    <cellStyle name="Normal 51 2 8" xfId="18531" xr:uid="{00000000-0005-0000-0000-00002C370000}"/>
    <cellStyle name="Normal 51 3" xfId="6194" xr:uid="{00000000-0005-0000-0000-00002D370000}"/>
    <cellStyle name="Normal 51 3 2" xfId="6195" xr:uid="{00000000-0005-0000-0000-00002E370000}"/>
    <cellStyle name="Normal 51 3 2 2" xfId="6196" xr:uid="{00000000-0005-0000-0000-00002F370000}"/>
    <cellStyle name="Normal 51 3 2 2 2" xfId="6197" xr:uid="{00000000-0005-0000-0000-000030370000}"/>
    <cellStyle name="Normal 51 3 2 2 2 2" xfId="12334" xr:uid="{00000000-0005-0000-0000-000031370000}"/>
    <cellStyle name="Normal 51 3 2 2 2 3" xfId="18558" xr:uid="{00000000-0005-0000-0000-000032370000}"/>
    <cellStyle name="Normal 51 3 2 2 3" xfId="12333" xr:uid="{00000000-0005-0000-0000-000033370000}"/>
    <cellStyle name="Normal 51 3 2 2 4" xfId="18557" xr:uid="{00000000-0005-0000-0000-000034370000}"/>
    <cellStyle name="Normal 51 3 2 3" xfId="6198" xr:uid="{00000000-0005-0000-0000-000035370000}"/>
    <cellStyle name="Normal 51 3 2 3 2" xfId="6199" xr:uid="{00000000-0005-0000-0000-000036370000}"/>
    <cellStyle name="Normal 51 3 2 3 2 2" xfId="12336" xr:uid="{00000000-0005-0000-0000-000037370000}"/>
    <cellStyle name="Normal 51 3 2 3 2 3" xfId="18560" xr:uid="{00000000-0005-0000-0000-000038370000}"/>
    <cellStyle name="Normal 51 3 2 3 3" xfId="12335" xr:uid="{00000000-0005-0000-0000-000039370000}"/>
    <cellStyle name="Normal 51 3 2 3 4" xfId="18559" xr:uid="{00000000-0005-0000-0000-00003A370000}"/>
    <cellStyle name="Normal 51 3 2 4" xfId="6200" xr:uid="{00000000-0005-0000-0000-00003B370000}"/>
    <cellStyle name="Normal 51 3 2 4 2" xfId="12337" xr:uid="{00000000-0005-0000-0000-00003C370000}"/>
    <cellStyle name="Normal 51 3 2 4 3" xfId="18561" xr:uid="{00000000-0005-0000-0000-00003D370000}"/>
    <cellStyle name="Normal 51 3 2 5" xfId="12332" xr:uid="{00000000-0005-0000-0000-00003E370000}"/>
    <cellStyle name="Normal 51 3 2 6" xfId="18556" xr:uid="{00000000-0005-0000-0000-00003F370000}"/>
    <cellStyle name="Normal 51 3 3" xfId="6201" xr:uid="{00000000-0005-0000-0000-000040370000}"/>
    <cellStyle name="Normal 51 3 3 2" xfId="6202" xr:uid="{00000000-0005-0000-0000-000041370000}"/>
    <cellStyle name="Normal 51 3 3 2 2" xfId="12339" xr:uid="{00000000-0005-0000-0000-000042370000}"/>
    <cellStyle name="Normal 51 3 3 2 3" xfId="18563" xr:uid="{00000000-0005-0000-0000-000043370000}"/>
    <cellStyle name="Normal 51 3 3 3" xfId="12338" xr:uid="{00000000-0005-0000-0000-000044370000}"/>
    <cellStyle name="Normal 51 3 3 4" xfId="18562" xr:uid="{00000000-0005-0000-0000-000045370000}"/>
    <cellStyle name="Normal 51 3 4" xfId="6203" xr:uid="{00000000-0005-0000-0000-000046370000}"/>
    <cellStyle name="Normal 51 3 4 2" xfId="6204" xr:uid="{00000000-0005-0000-0000-000047370000}"/>
    <cellStyle name="Normal 51 3 4 2 2" xfId="12341" xr:uid="{00000000-0005-0000-0000-000048370000}"/>
    <cellStyle name="Normal 51 3 4 2 3" xfId="18565" xr:uid="{00000000-0005-0000-0000-000049370000}"/>
    <cellStyle name="Normal 51 3 4 3" xfId="12340" xr:uid="{00000000-0005-0000-0000-00004A370000}"/>
    <cellStyle name="Normal 51 3 4 4" xfId="18564" xr:uid="{00000000-0005-0000-0000-00004B370000}"/>
    <cellStyle name="Normal 51 3 5" xfId="6205" xr:uid="{00000000-0005-0000-0000-00004C370000}"/>
    <cellStyle name="Normal 51 3 5 2" xfId="12342" xr:uid="{00000000-0005-0000-0000-00004D370000}"/>
    <cellStyle name="Normal 51 3 5 3" xfId="18566" xr:uid="{00000000-0005-0000-0000-00004E370000}"/>
    <cellStyle name="Normal 51 3 6" xfId="12331" xr:uid="{00000000-0005-0000-0000-00004F370000}"/>
    <cellStyle name="Normal 51 3 7" xfId="18555" xr:uid="{00000000-0005-0000-0000-000050370000}"/>
    <cellStyle name="Normal 51 4" xfId="6206" xr:uid="{00000000-0005-0000-0000-000051370000}"/>
    <cellStyle name="Normal 51 4 2" xfId="6207" xr:uid="{00000000-0005-0000-0000-000052370000}"/>
    <cellStyle name="Normal 51 4 2 2" xfId="6208" xr:uid="{00000000-0005-0000-0000-000053370000}"/>
    <cellStyle name="Normal 51 4 2 2 2" xfId="12345" xr:uid="{00000000-0005-0000-0000-000054370000}"/>
    <cellStyle name="Normal 51 4 2 2 3" xfId="18569" xr:uid="{00000000-0005-0000-0000-000055370000}"/>
    <cellStyle name="Normal 51 4 2 3" xfId="12344" xr:uid="{00000000-0005-0000-0000-000056370000}"/>
    <cellStyle name="Normal 51 4 2 4" xfId="18568" xr:uid="{00000000-0005-0000-0000-000057370000}"/>
    <cellStyle name="Normal 51 4 3" xfId="6209" xr:uid="{00000000-0005-0000-0000-000058370000}"/>
    <cellStyle name="Normal 51 4 3 2" xfId="6210" xr:uid="{00000000-0005-0000-0000-000059370000}"/>
    <cellStyle name="Normal 51 4 3 2 2" xfId="12347" xr:uid="{00000000-0005-0000-0000-00005A370000}"/>
    <cellStyle name="Normal 51 4 3 2 3" xfId="18571" xr:uid="{00000000-0005-0000-0000-00005B370000}"/>
    <cellStyle name="Normal 51 4 3 3" xfId="12346" xr:uid="{00000000-0005-0000-0000-00005C370000}"/>
    <cellStyle name="Normal 51 4 3 4" xfId="18570" xr:uid="{00000000-0005-0000-0000-00005D370000}"/>
    <cellStyle name="Normal 51 4 4" xfId="6211" xr:uid="{00000000-0005-0000-0000-00005E370000}"/>
    <cellStyle name="Normal 51 4 4 2" xfId="12348" xr:uid="{00000000-0005-0000-0000-00005F370000}"/>
    <cellStyle name="Normal 51 4 4 3" xfId="18572" xr:uid="{00000000-0005-0000-0000-000060370000}"/>
    <cellStyle name="Normal 51 4 5" xfId="12343" xr:uid="{00000000-0005-0000-0000-000061370000}"/>
    <cellStyle name="Normal 51 4 6" xfId="18567" xr:uid="{00000000-0005-0000-0000-000062370000}"/>
    <cellStyle name="Normal 51 5" xfId="6212" xr:uid="{00000000-0005-0000-0000-000063370000}"/>
    <cellStyle name="Normal 51 5 2" xfId="6213" xr:uid="{00000000-0005-0000-0000-000064370000}"/>
    <cellStyle name="Normal 51 5 2 2" xfId="12350" xr:uid="{00000000-0005-0000-0000-000065370000}"/>
    <cellStyle name="Normal 51 5 2 3" xfId="18574" xr:uid="{00000000-0005-0000-0000-000066370000}"/>
    <cellStyle name="Normal 51 5 3" xfId="12349" xr:uid="{00000000-0005-0000-0000-000067370000}"/>
    <cellStyle name="Normal 51 5 4" xfId="18573" xr:uid="{00000000-0005-0000-0000-000068370000}"/>
    <cellStyle name="Normal 51 6" xfId="6214" xr:uid="{00000000-0005-0000-0000-000069370000}"/>
    <cellStyle name="Normal 51 6 2" xfId="6215" xr:uid="{00000000-0005-0000-0000-00006A370000}"/>
    <cellStyle name="Normal 51 6 2 2" xfId="12352" xr:uid="{00000000-0005-0000-0000-00006B370000}"/>
    <cellStyle name="Normal 51 6 2 3" xfId="18576" xr:uid="{00000000-0005-0000-0000-00006C370000}"/>
    <cellStyle name="Normal 51 6 3" xfId="12351" xr:uid="{00000000-0005-0000-0000-00006D370000}"/>
    <cellStyle name="Normal 51 6 4" xfId="18575" xr:uid="{00000000-0005-0000-0000-00006E370000}"/>
    <cellStyle name="Normal 51 7" xfId="6216" xr:uid="{00000000-0005-0000-0000-00006F370000}"/>
    <cellStyle name="Normal 51 7 2" xfId="12353" xr:uid="{00000000-0005-0000-0000-000070370000}"/>
    <cellStyle name="Normal 51 7 3" xfId="18577" xr:uid="{00000000-0005-0000-0000-000071370000}"/>
    <cellStyle name="Normal 51 8" xfId="6217" xr:uid="{00000000-0005-0000-0000-000072370000}"/>
    <cellStyle name="Normal 51 8 2" xfId="18578" xr:uid="{00000000-0005-0000-0000-000073370000}"/>
    <cellStyle name="Normal 51 9" xfId="12306" xr:uid="{00000000-0005-0000-0000-000074370000}"/>
    <cellStyle name="Normal 52" xfId="6218" xr:uid="{00000000-0005-0000-0000-000075370000}"/>
    <cellStyle name="Normal 52 10" xfId="18579" xr:uid="{00000000-0005-0000-0000-000076370000}"/>
    <cellStyle name="Normal 52 2" xfId="6219" xr:uid="{00000000-0005-0000-0000-000077370000}"/>
    <cellStyle name="Normal 52 2 2" xfId="6220" xr:uid="{00000000-0005-0000-0000-000078370000}"/>
    <cellStyle name="Normal 52 2 2 2" xfId="6221" xr:uid="{00000000-0005-0000-0000-000079370000}"/>
    <cellStyle name="Normal 52 2 2 2 2" xfId="6222" xr:uid="{00000000-0005-0000-0000-00007A370000}"/>
    <cellStyle name="Normal 52 2 2 2 2 2" xfId="6223" xr:uid="{00000000-0005-0000-0000-00007B370000}"/>
    <cellStyle name="Normal 52 2 2 2 2 2 2" xfId="12359" xr:uid="{00000000-0005-0000-0000-00007C370000}"/>
    <cellStyle name="Normal 52 2 2 2 2 2 3" xfId="18584" xr:uid="{00000000-0005-0000-0000-00007D370000}"/>
    <cellStyle name="Normal 52 2 2 2 2 3" xfId="12358" xr:uid="{00000000-0005-0000-0000-00007E370000}"/>
    <cellStyle name="Normal 52 2 2 2 2 4" xfId="18583" xr:uid="{00000000-0005-0000-0000-00007F370000}"/>
    <cellStyle name="Normal 52 2 2 2 3" xfId="6224" xr:uid="{00000000-0005-0000-0000-000080370000}"/>
    <cellStyle name="Normal 52 2 2 2 3 2" xfId="6225" xr:uid="{00000000-0005-0000-0000-000081370000}"/>
    <cellStyle name="Normal 52 2 2 2 3 2 2" xfId="12361" xr:uid="{00000000-0005-0000-0000-000082370000}"/>
    <cellStyle name="Normal 52 2 2 2 3 2 3" xfId="18586" xr:uid="{00000000-0005-0000-0000-000083370000}"/>
    <cellStyle name="Normal 52 2 2 2 3 3" xfId="12360" xr:uid="{00000000-0005-0000-0000-000084370000}"/>
    <cellStyle name="Normal 52 2 2 2 3 4" xfId="18585" xr:uid="{00000000-0005-0000-0000-000085370000}"/>
    <cellStyle name="Normal 52 2 2 2 4" xfId="6226" xr:uid="{00000000-0005-0000-0000-000086370000}"/>
    <cellStyle name="Normal 52 2 2 2 4 2" xfId="12362" xr:uid="{00000000-0005-0000-0000-000087370000}"/>
    <cellStyle name="Normal 52 2 2 2 4 3" xfId="18587" xr:uid="{00000000-0005-0000-0000-000088370000}"/>
    <cellStyle name="Normal 52 2 2 2 5" xfId="12357" xr:uid="{00000000-0005-0000-0000-000089370000}"/>
    <cellStyle name="Normal 52 2 2 2 6" xfId="18582" xr:uid="{00000000-0005-0000-0000-00008A370000}"/>
    <cellStyle name="Normal 52 2 2 3" xfId="6227" xr:uid="{00000000-0005-0000-0000-00008B370000}"/>
    <cellStyle name="Normal 52 2 2 3 2" xfId="6228" xr:uid="{00000000-0005-0000-0000-00008C370000}"/>
    <cellStyle name="Normal 52 2 2 3 2 2" xfId="12364" xr:uid="{00000000-0005-0000-0000-00008D370000}"/>
    <cellStyle name="Normal 52 2 2 3 2 3" xfId="18589" xr:uid="{00000000-0005-0000-0000-00008E370000}"/>
    <cellStyle name="Normal 52 2 2 3 3" xfId="12363" xr:uid="{00000000-0005-0000-0000-00008F370000}"/>
    <cellStyle name="Normal 52 2 2 3 4" xfId="18588" xr:uid="{00000000-0005-0000-0000-000090370000}"/>
    <cellStyle name="Normal 52 2 2 4" xfId="6229" xr:uid="{00000000-0005-0000-0000-000091370000}"/>
    <cellStyle name="Normal 52 2 2 4 2" xfId="6230" xr:uid="{00000000-0005-0000-0000-000092370000}"/>
    <cellStyle name="Normal 52 2 2 4 2 2" xfId="12366" xr:uid="{00000000-0005-0000-0000-000093370000}"/>
    <cellStyle name="Normal 52 2 2 4 2 3" xfId="18591" xr:uid="{00000000-0005-0000-0000-000094370000}"/>
    <cellStyle name="Normal 52 2 2 4 3" xfId="12365" xr:uid="{00000000-0005-0000-0000-000095370000}"/>
    <cellStyle name="Normal 52 2 2 4 4" xfId="18590" xr:uid="{00000000-0005-0000-0000-000096370000}"/>
    <cellStyle name="Normal 52 2 2 5" xfId="6231" xr:uid="{00000000-0005-0000-0000-000097370000}"/>
    <cellStyle name="Normal 52 2 2 5 2" xfId="12367" xr:uid="{00000000-0005-0000-0000-000098370000}"/>
    <cellStyle name="Normal 52 2 2 5 3" xfId="18592" xr:uid="{00000000-0005-0000-0000-000099370000}"/>
    <cellStyle name="Normal 52 2 2 6" xfId="12356" xr:uid="{00000000-0005-0000-0000-00009A370000}"/>
    <cellStyle name="Normal 52 2 2 7" xfId="18581" xr:uid="{00000000-0005-0000-0000-00009B370000}"/>
    <cellStyle name="Normal 52 2 3" xfId="6232" xr:uid="{00000000-0005-0000-0000-00009C370000}"/>
    <cellStyle name="Normal 52 2 3 2" xfId="6233" xr:uid="{00000000-0005-0000-0000-00009D370000}"/>
    <cellStyle name="Normal 52 2 3 2 2" xfId="6234" xr:uid="{00000000-0005-0000-0000-00009E370000}"/>
    <cellStyle name="Normal 52 2 3 2 2 2" xfId="12370" xr:uid="{00000000-0005-0000-0000-00009F370000}"/>
    <cellStyle name="Normal 52 2 3 2 2 3" xfId="18595" xr:uid="{00000000-0005-0000-0000-0000A0370000}"/>
    <cellStyle name="Normal 52 2 3 2 3" xfId="12369" xr:uid="{00000000-0005-0000-0000-0000A1370000}"/>
    <cellStyle name="Normal 52 2 3 2 4" xfId="18594" xr:uid="{00000000-0005-0000-0000-0000A2370000}"/>
    <cellStyle name="Normal 52 2 3 3" xfId="6235" xr:uid="{00000000-0005-0000-0000-0000A3370000}"/>
    <cellStyle name="Normal 52 2 3 3 2" xfId="6236" xr:uid="{00000000-0005-0000-0000-0000A4370000}"/>
    <cellStyle name="Normal 52 2 3 3 2 2" xfId="12372" xr:uid="{00000000-0005-0000-0000-0000A5370000}"/>
    <cellStyle name="Normal 52 2 3 3 2 3" xfId="18597" xr:uid="{00000000-0005-0000-0000-0000A6370000}"/>
    <cellStyle name="Normal 52 2 3 3 3" xfId="12371" xr:uid="{00000000-0005-0000-0000-0000A7370000}"/>
    <cellStyle name="Normal 52 2 3 3 4" xfId="18596" xr:uid="{00000000-0005-0000-0000-0000A8370000}"/>
    <cellStyle name="Normal 52 2 3 4" xfId="6237" xr:uid="{00000000-0005-0000-0000-0000A9370000}"/>
    <cellStyle name="Normal 52 2 3 4 2" xfId="12373" xr:uid="{00000000-0005-0000-0000-0000AA370000}"/>
    <cellStyle name="Normal 52 2 3 4 3" xfId="18598" xr:uid="{00000000-0005-0000-0000-0000AB370000}"/>
    <cellStyle name="Normal 52 2 3 5" xfId="12368" xr:uid="{00000000-0005-0000-0000-0000AC370000}"/>
    <cellStyle name="Normal 52 2 3 6" xfId="18593" xr:uid="{00000000-0005-0000-0000-0000AD370000}"/>
    <cellStyle name="Normal 52 2 4" xfId="6238" xr:uid="{00000000-0005-0000-0000-0000AE370000}"/>
    <cellStyle name="Normal 52 2 4 2" xfId="6239" xr:uid="{00000000-0005-0000-0000-0000AF370000}"/>
    <cellStyle name="Normal 52 2 4 2 2" xfId="12375" xr:uid="{00000000-0005-0000-0000-0000B0370000}"/>
    <cellStyle name="Normal 52 2 4 2 3" xfId="18600" xr:uid="{00000000-0005-0000-0000-0000B1370000}"/>
    <cellStyle name="Normal 52 2 4 3" xfId="12374" xr:uid="{00000000-0005-0000-0000-0000B2370000}"/>
    <cellStyle name="Normal 52 2 4 4" xfId="18599" xr:uid="{00000000-0005-0000-0000-0000B3370000}"/>
    <cellStyle name="Normal 52 2 5" xfId="6240" xr:uid="{00000000-0005-0000-0000-0000B4370000}"/>
    <cellStyle name="Normal 52 2 5 2" xfId="6241" xr:uid="{00000000-0005-0000-0000-0000B5370000}"/>
    <cellStyle name="Normal 52 2 5 2 2" xfId="12377" xr:uid="{00000000-0005-0000-0000-0000B6370000}"/>
    <cellStyle name="Normal 52 2 5 2 3" xfId="18602" xr:uid="{00000000-0005-0000-0000-0000B7370000}"/>
    <cellStyle name="Normal 52 2 5 3" xfId="12376" xr:uid="{00000000-0005-0000-0000-0000B8370000}"/>
    <cellStyle name="Normal 52 2 5 4" xfId="18601" xr:uid="{00000000-0005-0000-0000-0000B9370000}"/>
    <cellStyle name="Normal 52 2 6" xfId="6242" xr:uid="{00000000-0005-0000-0000-0000BA370000}"/>
    <cellStyle name="Normal 52 2 6 2" xfId="12378" xr:uid="{00000000-0005-0000-0000-0000BB370000}"/>
    <cellStyle name="Normal 52 2 6 3" xfId="18603" xr:uid="{00000000-0005-0000-0000-0000BC370000}"/>
    <cellStyle name="Normal 52 2 7" xfId="12355" xr:uid="{00000000-0005-0000-0000-0000BD370000}"/>
    <cellStyle name="Normal 52 2 8" xfId="18580" xr:uid="{00000000-0005-0000-0000-0000BE370000}"/>
    <cellStyle name="Normal 52 3" xfId="6243" xr:uid="{00000000-0005-0000-0000-0000BF370000}"/>
    <cellStyle name="Normal 52 3 2" xfId="6244" xr:uid="{00000000-0005-0000-0000-0000C0370000}"/>
    <cellStyle name="Normal 52 3 2 2" xfId="6245" xr:uid="{00000000-0005-0000-0000-0000C1370000}"/>
    <cellStyle name="Normal 52 3 2 2 2" xfId="6246" xr:uid="{00000000-0005-0000-0000-0000C2370000}"/>
    <cellStyle name="Normal 52 3 2 2 2 2" xfId="12382" xr:uid="{00000000-0005-0000-0000-0000C3370000}"/>
    <cellStyle name="Normal 52 3 2 2 2 3" xfId="18607" xr:uid="{00000000-0005-0000-0000-0000C4370000}"/>
    <cellStyle name="Normal 52 3 2 2 3" xfId="12381" xr:uid="{00000000-0005-0000-0000-0000C5370000}"/>
    <cellStyle name="Normal 52 3 2 2 4" xfId="18606" xr:uid="{00000000-0005-0000-0000-0000C6370000}"/>
    <cellStyle name="Normal 52 3 2 3" xfId="6247" xr:uid="{00000000-0005-0000-0000-0000C7370000}"/>
    <cellStyle name="Normal 52 3 2 3 2" xfId="6248" xr:uid="{00000000-0005-0000-0000-0000C8370000}"/>
    <cellStyle name="Normal 52 3 2 3 2 2" xfId="12384" xr:uid="{00000000-0005-0000-0000-0000C9370000}"/>
    <cellStyle name="Normal 52 3 2 3 2 3" xfId="18609" xr:uid="{00000000-0005-0000-0000-0000CA370000}"/>
    <cellStyle name="Normal 52 3 2 3 3" xfId="12383" xr:uid="{00000000-0005-0000-0000-0000CB370000}"/>
    <cellStyle name="Normal 52 3 2 3 4" xfId="18608" xr:uid="{00000000-0005-0000-0000-0000CC370000}"/>
    <cellStyle name="Normal 52 3 2 4" xfId="6249" xr:uid="{00000000-0005-0000-0000-0000CD370000}"/>
    <cellStyle name="Normal 52 3 2 4 2" xfId="12385" xr:uid="{00000000-0005-0000-0000-0000CE370000}"/>
    <cellStyle name="Normal 52 3 2 4 3" xfId="18610" xr:uid="{00000000-0005-0000-0000-0000CF370000}"/>
    <cellStyle name="Normal 52 3 2 5" xfId="12380" xr:uid="{00000000-0005-0000-0000-0000D0370000}"/>
    <cellStyle name="Normal 52 3 2 6" xfId="18605" xr:uid="{00000000-0005-0000-0000-0000D1370000}"/>
    <cellStyle name="Normal 52 3 3" xfId="6250" xr:uid="{00000000-0005-0000-0000-0000D2370000}"/>
    <cellStyle name="Normal 52 3 3 2" xfId="6251" xr:uid="{00000000-0005-0000-0000-0000D3370000}"/>
    <cellStyle name="Normal 52 3 3 2 2" xfId="12387" xr:uid="{00000000-0005-0000-0000-0000D4370000}"/>
    <cellStyle name="Normal 52 3 3 2 3" xfId="18612" xr:uid="{00000000-0005-0000-0000-0000D5370000}"/>
    <cellStyle name="Normal 52 3 3 3" xfId="12386" xr:uid="{00000000-0005-0000-0000-0000D6370000}"/>
    <cellStyle name="Normal 52 3 3 4" xfId="18611" xr:uid="{00000000-0005-0000-0000-0000D7370000}"/>
    <cellStyle name="Normal 52 3 4" xfId="6252" xr:uid="{00000000-0005-0000-0000-0000D8370000}"/>
    <cellStyle name="Normal 52 3 4 2" xfId="6253" xr:uid="{00000000-0005-0000-0000-0000D9370000}"/>
    <cellStyle name="Normal 52 3 4 2 2" xfId="12389" xr:uid="{00000000-0005-0000-0000-0000DA370000}"/>
    <cellStyle name="Normal 52 3 4 2 3" xfId="18614" xr:uid="{00000000-0005-0000-0000-0000DB370000}"/>
    <cellStyle name="Normal 52 3 4 3" xfId="12388" xr:uid="{00000000-0005-0000-0000-0000DC370000}"/>
    <cellStyle name="Normal 52 3 4 4" xfId="18613" xr:uid="{00000000-0005-0000-0000-0000DD370000}"/>
    <cellStyle name="Normal 52 3 5" xfId="6254" xr:uid="{00000000-0005-0000-0000-0000DE370000}"/>
    <cellStyle name="Normal 52 3 5 2" xfId="12390" xr:uid="{00000000-0005-0000-0000-0000DF370000}"/>
    <cellStyle name="Normal 52 3 5 3" xfId="18615" xr:uid="{00000000-0005-0000-0000-0000E0370000}"/>
    <cellStyle name="Normal 52 3 6" xfId="12379" xr:uid="{00000000-0005-0000-0000-0000E1370000}"/>
    <cellStyle name="Normal 52 3 7" xfId="18604" xr:uid="{00000000-0005-0000-0000-0000E2370000}"/>
    <cellStyle name="Normal 52 4" xfId="6255" xr:uid="{00000000-0005-0000-0000-0000E3370000}"/>
    <cellStyle name="Normal 52 4 2" xfId="6256" xr:uid="{00000000-0005-0000-0000-0000E4370000}"/>
    <cellStyle name="Normal 52 4 2 2" xfId="6257" xr:uid="{00000000-0005-0000-0000-0000E5370000}"/>
    <cellStyle name="Normal 52 4 2 2 2" xfId="12393" xr:uid="{00000000-0005-0000-0000-0000E6370000}"/>
    <cellStyle name="Normal 52 4 2 2 3" xfId="18618" xr:uid="{00000000-0005-0000-0000-0000E7370000}"/>
    <cellStyle name="Normal 52 4 2 3" xfId="12392" xr:uid="{00000000-0005-0000-0000-0000E8370000}"/>
    <cellStyle name="Normal 52 4 2 4" xfId="18617" xr:uid="{00000000-0005-0000-0000-0000E9370000}"/>
    <cellStyle name="Normal 52 4 3" xfId="6258" xr:uid="{00000000-0005-0000-0000-0000EA370000}"/>
    <cellStyle name="Normal 52 4 3 2" xfId="6259" xr:uid="{00000000-0005-0000-0000-0000EB370000}"/>
    <cellStyle name="Normal 52 4 3 2 2" xfId="12395" xr:uid="{00000000-0005-0000-0000-0000EC370000}"/>
    <cellStyle name="Normal 52 4 3 2 3" xfId="18620" xr:uid="{00000000-0005-0000-0000-0000ED370000}"/>
    <cellStyle name="Normal 52 4 3 3" xfId="12394" xr:uid="{00000000-0005-0000-0000-0000EE370000}"/>
    <cellStyle name="Normal 52 4 3 4" xfId="18619" xr:uid="{00000000-0005-0000-0000-0000EF370000}"/>
    <cellStyle name="Normal 52 4 4" xfId="6260" xr:uid="{00000000-0005-0000-0000-0000F0370000}"/>
    <cellStyle name="Normal 52 4 4 2" xfId="12396" xr:uid="{00000000-0005-0000-0000-0000F1370000}"/>
    <cellStyle name="Normal 52 4 4 3" xfId="18621" xr:uid="{00000000-0005-0000-0000-0000F2370000}"/>
    <cellStyle name="Normal 52 4 5" xfId="12391" xr:uid="{00000000-0005-0000-0000-0000F3370000}"/>
    <cellStyle name="Normal 52 4 6" xfId="18616" xr:uid="{00000000-0005-0000-0000-0000F4370000}"/>
    <cellStyle name="Normal 52 5" xfId="6261" xr:uid="{00000000-0005-0000-0000-0000F5370000}"/>
    <cellStyle name="Normal 52 5 2" xfId="6262" xr:uid="{00000000-0005-0000-0000-0000F6370000}"/>
    <cellStyle name="Normal 52 5 2 2" xfId="12398" xr:uid="{00000000-0005-0000-0000-0000F7370000}"/>
    <cellStyle name="Normal 52 5 2 3" xfId="18623" xr:uid="{00000000-0005-0000-0000-0000F8370000}"/>
    <cellStyle name="Normal 52 5 3" xfId="12397" xr:uid="{00000000-0005-0000-0000-0000F9370000}"/>
    <cellStyle name="Normal 52 5 4" xfId="18622" xr:uid="{00000000-0005-0000-0000-0000FA370000}"/>
    <cellStyle name="Normal 52 6" xfId="6263" xr:uid="{00000000-0005-0000-0000-0000FB370000}"/>
    <cellStyle name="Normal 52 6 2" xfId="6264" xr:uid="{00000000-0005-0000-0000-0000FC370000}"/>
    <cellStyle name="Normal 52 6 2 2" xfId="12400" xr:uid="{00000000-0005-0000-0000-0000FD370000}"/>
    <cellStyle name="Normal 52 6 2 3" xfId="18625" xr:uid="{00000000-0005-0000-0000-0000FE370000}"/>
    <cellStyle name="Normal 52 6 3" xfId="12399" xr:uid="{00000000-0005-0000-0000-0000FF370000}"/>
    <cellStyle name="Normal 52 6 4" xfId="18624" xr:uid="{00000000-0005-0000-0000-000000380000}"/>
    <cellStyle name="Normal 52 7" xfId="6265" xr:uid="{00000000-0005-0000-0000-000001380000}"/>
    <cellStyle name="Normal 52 7 2" xfId="12401" xr:uid="{00000000-0005-0000-0000-000002380000}"/>
    <cellStyle name="Normal 52 7 3" xfId="18626" xr:uid="{00000000-0005-0000-0000-000003380000}"/>
    <cellStyle name="Normal 52 8" xfId="6266" xr:uid="{00000000-0005-0000-0000-000004380000}"/>
    <cellStyle name="Normal 52 8 2" xfId="18627" xr:uid="{00000000-0005-0000-0000-000005380000}"/>
    <cellStyle name="Normal 52 9" xfId="12354" xr:uid="{00000000-0005-0000-0000-000006380000}"/>
    <cellStyle name="Normal 53" xfId="6267" xr:uid="{00000000-0005-0000-0000-000007380000}"/>
    <cellStyle name="Normal 53 10" xfId="18628" xr:uid="{00000000-0005-0000-0000-000008380000}"/>
    <cellStyle name="Normal 53 2" xfId="6268" xr:uid="{00000000-0005-0000-0000-000009380000}"/>
    <cellStyle name="Normal 53 2 2" xfId="6269" xr:uid="{00000000-0005-0000-0000-00000A380000}"/>
    <cellStyle name="Normal 53 2 2 2" xfId="6270" xr:uid="{00000000-0005-0000-0000-00000B380000}"/>
    <cellStyle name="Normal 53 2 2 2 2" xfId="6271" xr:uid="{00000000-0005-0000-0000-00000C380000}"/>
    <cellStyle name="Normal 53 2 2 2 2 2" xfId="6272" xr:uid="{00000000-0005-0000-0000-00000D380000}"/>
    <cellStyle name="Normal 53 2 2 2 2 2 2" xfId="12407" xr:uid="{00000000-0005-0000-0000-00000E380000}"/>
    <cellStyle name="Normal 53 2 2 2 2 2 3" xfId="18633" xr:uid="{00000000-0005-0000-0000-00000F380000}"/>
    <cellStyle name="Normal 53 2 2 2 2 3" xfId="12406" xr:uid="{00000000-0005-0000-0000-000010380000}"/>
    <cellStyle name="Normal 53 2 2 2 2 4" xfId="18632" xr:uid="{00000000-0005-0000-0000-000011380000}"/>
    <cellStyle name="Normal 53 2 2 2 3" xfId="6273" xr:uid="{00000000-0005-0000-0000-000012380000}"/>
    <cellStyle name="Normal 53 2 2 2 3 2" xfId="6274" xr:uid="{00000000-0005-0000-0000-000013380000}"/>
    <cellStyle name="Normal 53 2 2 2 3 2 2" xfId="12409" xr:uid="{00000000-0005-0000-0000-000014380000}"/>
    <cellStyle name="Normal 53 2 2 2 3 2 3" xfId="18635" xr:uid="{00000000-0005-0000-0000-000015380000}"/>
    <cellStyle name="Normal 53 2 2 2 3 3" xfId="12408" xr:uid="{00000000-0005-0000-0000-000016380000}"/>
    <cellStyle name="Normal 53 2 2 2 3 4" xfId="18634" xr:uid="{00000000-0005-0000-0000-000017380000}"/>
    <cellStyle name="Normal 53 2 2 2 4" xfId="6275" xr:uid="{00000000-0005-0000-0000-000018380000}"/>
    <cellStyle name="Normal 53 2 2 2 4 2" xfId="12410" xr:uid="{00000000-0005-0000-0000-000019380000}"/>
    <cellStyle name="Normal 53 2 2 2 4 3" xfId="18636" xr:uid="{00000000-0005-0000-0000-00001A380000}"/>
    <cellStyle name="Normal 53 2 2 2 5" xfId="12405" xr:uid="{00000000-0005-0000-0000-00001B380000}"/>
    <cellStyle name="Normal 53 2 2 2 6" xfId="18631" xr:uid="{00000000-0005-0000-0000-00001C380000}"/>
    <cellStyle name="Normal 53 2 2 3" xfId="6276" xr:uid="{00000000-0005-0000-0000-00001D380000}"/>
    <cellStyle name="Normal 53 2 2 3 2" xfId="6277" xr:uid="{00000000-0005-0000-0000-00001E380000}"/>
    <cellStyle name="Normal 53 2 2 3 2 2" xfId="12412" xr:uid="{00000000-0005-0000-0000-00001F380000}"/>
    <cellStyle name="Normal 53 2 2 3 2 3" xfId="18638" xr:uid="{00000000-0005-0000-0000-000020380000}"/>
    <cellStyle name="Normal 53 2 2 3 3" xfId="12411" xr:uid="{00000000-0005-0000-0000-000021380000}"/>
    <cellStyle name="Normal 53 2 2 3 4" xfId="18637" xr:uid="{00000000-0005-0000-0000-000022380000}"/>
    <cellStyle name="Normal 53 2 2 4" xfId="6278" xr:uid="{00000000-0005-0000-0000-000023380000}"/>
    <cellStyle name="Normal 53 2 2 4 2" xfId="6279" xr:uid="{00000000-0005-0000-0000-000024380000}"/>
    <cellStyle name="Normal 53 2 2 4 2 2" xfId="12414" xr:uid="{00000000-0005-0000-0000-000025380000}"/>
    <cellStyle name="Normal 53 2 2 4 2 3" xfId="18640" xr:uid="{00000000-0005-0000-0000-000026380000}"/>
    <cellStyle name="Normal 53 2 2 4 3" xfId="12413" xr:uid="{00000000-0005-0000-0000-000027380000}"/>
    <cellStyle name="Normal 53 2 2 4 4" xfId="18639" xr:uid="{00000000-0005-0000-0000-000028380000}"/>
    <cellStyle name="Normal 53 2 2 5" xfId="6280" xr:uid="{00000000-0005-0000-0000-000029380000}"/>
    <cellStyle name="Normal 53 2 2 5 2" xfId="12415" xr:uid="{00000000-0005-0000-0000-00002A380000}"/>
    <cellStyle name="Normal 53 2 2 5 3" xfId="18641" xr:uid="{00000000-0005-0000-0000-00002B380000}"/>
    <cellStyle name="Normal 53 2 2 6" xfId="12404" xr:uid="{00000000-0005-0000-0000-00002C380000}"/>
    <cellStyle name="Normal 53 2 2 7" xfId="18630" xr:uid="{00000000-0005-0000-0000-00002D380000}"/>
    <cellStyle name="Normal 53 2 3" xfId="6281" xr:uid="{00000000-0005-0000-0000-00002E380000}"/>
    <cellStyle name="Normal 53 2 3 2" xfId="6282" xr:uid="{00000000-0005-0000-0000-00002F380000}"/>
    <cellStyle name="Normal 53 2 3 2 2" xfId="6283" xr:uid="{00000000-0005-0000-0000-000030380000}"/>
    <cellStyle name="Normal 53 2 3 2 2 2" xfId="12418" xr:uid="{00000000-0005-0000-0000-000031380000}"/>
    <cellStyle name="Normal 53 2 3 2 2 3" xfId="18644" xr:uid="{00000000-0005-0000-0000-000032380000}"/>
    <cellStyle name="Normal 53 2 3 2 3" xfId="12417" xr:uid="{00000000-0005-0000-0000-000033380000}"/>
    <cellStyle name="Normal 53 2 3 2 4" xfId="18643" xr:uid="{00000000-0005-0000-0000-000034380000}"/>
    <cellStyle name="Normal 53 2 3 3" xfId="6284" xr:uid="{00000000-0005-0000-0000-000035380000}"/>
    <cellStyle name="Normal 53 2 3 3 2" xfId="6285" xr:uid="{00000000-0005-0000-0000-000036380000}"/>
    <cellStyle name="Normal 53 2 3 3 2 2" xfId="12420" xr:uid="{00000000-0005-0000-0000-000037380000}"/>
    <cellStyle name="Normal 53 2 3 3 2 3" xfId="18646" xr:uid="{00000000-0005-0000-0000-000038380000}"/>
    <cellStyle name="Normal 53 2 3 3 3" xfId="12419" xr:uid="{00000000-0005-0000-0000-000039380000}"/>
    <cellStyle name="Normal 53 2 3 3 4" xfId="18645" xr:uid="{00000000-0005-0000-0000-00003A380000}"/>
    <cellStyle name="Normal 53 2 3 4" xfId="6286" xr:uid="{00000000-0005-0000-0000-00003B380000}"/>
    <cellStyle name="Normal 53 2 3 4 2" xfId="12421" xr:uid="{00000000-0005-0000-0000-00003C380000}"/>
    <cellStyle name="Normal 53 2 3 4 3" xfId="18647" xr:uid="{00000000-0005-0000-0000-00003D380000}"/>
    <cellStyle name="Normal 53 2 3 5" xfId="12416" xr:uid="{00000000-0005-0000-0000-00003E380000}"/>
    <cellStyle name="Normal 53 2 3 6" xfId="18642" xr:uid="{00000000-0005-0000-0000-00003F380000}"/>
    <cellStyle name="Normal 53 2 4" xfId="6287" xr:uid="{00000000-0005-0000-0000-000040380000}"/>
    <cellStyle name="Normal 53 2 4 2" xfId="6288" xr:uid="{00000000-0005-0000-0000-000041380000}"/>
    <cellStyle name="Normal 53 2 4 2 2" xfId="12423" xr:uid="{00000000-0005-0000-0000-000042380000}"/>
    <cellStyle name="Normal 53 2 4 2 3" xfId="18649" xr:uid="{00000000-0005-0000-0000-000043380000}"/>
    <cellStyle name="Normal 53 2 4 3" xfId="12422" xr:uid="{00000000-0005-0000-0000-000044380000}"/>
    <cellStyle name="Normal 53 2 4 4" xfId="18648" xr:uid="{00000000-0005-0000-0000-000045380000}"/>
    <cellStyle name="Normal 53 2 5" xfId="6289" xr:uid="{00000000-0005-0000-0000-000046380000}"/>
    <cellStyle name="Normal 53 2 5 2" xfId="6290" xr:uid="{00000000-0005-0000-0000-000047380000}"/>
    <cellStyle name="Normal 53 2 5 2 2" xfId="12425" xr:uid="{00000000-0005-0000-0000-000048380000}"/>
    <cellStyle name="Normal 53 2 5 2 3" xfId="18651" xr:uid="{00000000-0005-0000-0000-000049380000}"/>
    <cellStyle name="Normal 53 2 5 3" xfId="12424" xr:uid="{00000000-0005-0000-0000-00004A380000}"/>
    <cellStyle name="Normal 53 2 5 4" xfId="18650" xr:uid="{00000000-0005-0000-0000-00004B380000}"/>
    <cellStyle name="Normal 53 2 6" xfId="6291" xr:uid="{00000000-0005-0000-0000-00004C380000}"/>
    <cellStyle name="Normal 53 2 6 2" xfId="12426" xr:uid="{00000000-0005-0000-0000-00004D380000}"/>
    <cellStyle name="Normal 53 2 6 3" xfId="18652" xr:uid="{00000000-0005-0000-0000-00004E380000}"/>
    <cellStyle name="Normal 53 2 7" xfId="12403" xr:uid="{00000000-0005-0000-0000-00004F380000}"/>
    <cellStyle name="Normal 53 2 8" xfId="18629" xr:uid="{00000000-0005-0000-0000-000050380000}"/>
    <cellStyle name="Normal 53 3" xfId="6292" xr:uid="{00000000-0005-0000-0000-000051380000}"/>
    <cellStyle name="Normal 53 3 2" xfId="6293" xr:uid="{00000000-0005-0000-0000-000052380000}"/>
    <cellStyle name="Normal 53 3 2 2" xfId="6294" xr:uid="{00000000-0005-0000-0000-000053380000}"/>
    <cellStyle name="Normal 53 3 2 2 2" xfId="6295" xr:uid="{00000000-0005-0000-0000-000054380000}"/>
    <cellStyle name="Normal 53 3 2 2 2 2" xfId="12430" xr:uid="{00000000-0005-0000-0000-000055380000}"/>
    <cellStyle name="Normal 53 3 2 2 2 3" xfId="18656" xr:uid="{00000000-0005-0000-0000-000056380000}"/>
    <cellStyle name="Normal 53 3 2 2 3" xfId="12429" xr:uid="{00000000-0005-0000-0000-000057380000}"/>
    <cellStyle name="Normal 53 3 2 2 4" xfId="18655" xr:uid="{00000000-0005-0000-0000-000058380000}"/>
    <cellStyle name="Normal 53 3 2 3" xfId="6296" xr:uid="{00000000-0005-0000-0000-000059380000}"/>
    <cellStyle name="Normal 53 3 2 3 2" xfId="6297" xr:uid="{00000000-0005-0000-0000-00005A380000}"/>
    <cellStyle name="Normal 53 3 2 3 2 2" xfId="12432" xr:uid="{00000000-0005-0000-0000-00005B380000}"/>
    <cellStyle name="Normal 53 3 2 3 2 3" xfId="18658" xr:uid="{00000000-0005-0000-0000-00005C380000}"/>
    <cellStyle name="Normal 53 3 2 3 3" xfId="12431" xr:uid="{00000000-0005-0000-0000-00005D380000}"/>
    <cellStyle name="Normal 53 3 2 3 4" xfId="18657" xr:uid="{00000000-0005-0000-0000-00005E380000}"/>
    <cellStyle name="Normal 53 3 2 4" xfId="6298" xr:uid="{00000000-0005-0000-0000-00005F380000}"/>
    <cellStyle name="Normal 53 3 2 4 2" xfId="12433" xr:uid="{00000000-0005-0000-0000-000060380000}"/>
    <cellStyle name="Normal 53 3 2 4 3" xfId="18659" xr:uid="{00000000-0005-0000-0000-000061380000}"/>
    <cellStyle name="Normal 53 3 2 5" xfId="12428" xr:uid="{00000000-0005-0000-0000-000062380000}"/>
    <cellStyle name="Normal 53 3 2 6" xfId="18654" xr:uid="{00000000-0005-0000-0000-000063380000}"/>
    <cellStyle name="Normal 53 3 3" xfId="6299" xr:uid="{00000000-0005-0000-0000-000064380000}"/>
    <cellStyle name="Normal 53 3 3 2" xfId="6300" xr:uid="{00000000-0005-0000-0000-000065380000}"/>
    <cellStyle name="Normal 53 3 3 2 2" xfId="12435" xr:uid="{00000000-0005-0000-0000-000066380000}"/>
    <cellStyle name="Normal 53 3 3 2 3" xfId="18661" xr:uid="{00000000-0005-0000-0000-000067380000}"/>
    <cellStyle name="Normal 53 3 3 3" xfId="12434" xr:uid="{00000000-0005-0000-0000-000068380000}"/>
    <cellStyle name="Normal 53 3 3 4" xfId="18660" xr:uid="{00000000-0005-0000-0000-000069380000}"/>
    <cellStyle name="Normal 53 3 4" xfId="6301" xr:uid="{00000000-0005-0000-0000-00006A380000}"/>
    <cellStyle name="Normal 53 3 4 2" xfId="6302" xr:uid="{00000000-0005-0000-0000-00006B380000}"/>
    <cellStyle name="Normal 53 3 4 2 2" xfId="12437" xr:uid="{00000000-0005-0000-0000-00006C380000}"/>
    <cellStyle name="Normal 53 3 4 2 3" xfId="18663" xr:uid="{00000000-0005-0000-0000-00006D380000}"/>
    <cellStyle name="Normal 53 3 4 3" xfId="12436" xr:uid="{00000000-0005-0000-0000-00006E380000}"/>
    <cellStyle name="Normal 53 3 4 4" xfId="18662" xr:uid="{00000000-0005-0000-0000-00006F380000}"/>
    <cellStyle name="Normal 53 3 5" xfId="6303" xr:uid="{00000000-0005-0000-0000-000070380000}"/>
    <cellStyle name="Normal 53 3 5 2" xfId="12438" xr:uid="{00000000-0005-0000-0000-000071380000}"/>
    <cellStyle name="Normal 53 3 5 3" xfId="18664" xr:uid="{00000000-0005-0000-0000-000072380000}"/>
    <cellStyle name="Normal 53 3 6" xfId="12427" xr:uid="{00000000-0005-0000-0000-000073380000}"/>
    <cellStyle name="Normal 53 3 7" xfId="18653" xr:uid="{00000000-0005-0000-0000-000074380000}"/>
    <cellStyle name="Normal 53 4" xfId="6304" xr:uid="{00000000-0005-0000-0000-000075380000}"/>
    <cellStyle name="Normal 53 4 2" xfId="6305" xr:uid="{00000000-0005-0000-0000-000076380000}"/>
    <cellStyle name="Normal 53 4 2 2" xfId="6306" xr:uid="{00000000-0005-0000-0000-000077380000}"/>
    <cellStyle name="Normal 53 4 2 2 2" xfId="12441" xr:uid="{00000000-0005-0000-0000-000078380000}"/>
    <cellStyle name="Normal 53 4 2 2 3" xfId="18667" xr:uid="{00000000-0005-0000-0000-000079380000}"/>
    <cellStyle name="Normal 53 4 2 3" xfId="12440" xr:uid="{00000000-0005-0000-0000-00007A380000}"/>
    <cellStyle name="Normal 53 4 2 4" xfId="18666" xr:uid="{00000000-0005-0000-0000-00007B380000}"/>
    <cellStyle name="Normal 53 4 3" xfId="6307" xr:uid="{00000000-0005-0000-0000-00007C380000}"/>
    <cellStyle name="Normal 53 4 3 2" xfId="6308" xr:uid="{00000000-0005-0000-0000-00007D380000}"/>
    <cellStyle name="Normal 53 4 3 2 2" xfId="12443" xr:uid="{00000000-0005-0000-0000-00007E380000}"/>
    <cellStyle name="Normal 53 4 3 2 3" xfId="18669" xr:uid="{00000000-0005-0000-0000-00007F380000}"/>
    <cellStyle name="Normal 53 4 3 3" xfId="12442" xr:uid="{00000000-0005-0000-0000-000080380000}"/>
    <cellStyle name="Normal 53 4 3 4" xfId="18668" xr:uid="{00000000-0005-0000-0000-000081380000}"/>
    <cellStyle name="Normal 53 4 4" xfId="6309" xr:uid="{00000000-0005-0000-0000-000082380000}"/>
    <cellStyle name="Normal 53 4 4 2" xfId="12444" xr:uid="{00000000-0005-0000-0000-000083380000}"/>
    <cellStyle name="Normal 53 4 4 3" xfId="18670" xr:uid="{00000000-0005-0000-0000-000084380000}"/>
    <cellStyle name="Normal 53 4 5" xfId="12439" xr:uid="{00000000-0005-0000-0000-000085380000}"/>
    <cellStyle name="Normal 53 4 6" xfId="18665" xr:uid="{00000000-0005-0000-0000-000086380000}"/>
    <cellStyle name="Normal 53 5" xfId="6310" xr:uid="{00000000-0005-0000-0000-000087380000}"/>
    <cellStyle name="Normal 53 5 2" xfId="6311" xr:uid="{00000000-0005-0000-0000-000088380000}"/>
    <cellStyle name="Normal 53 5 2 2" xfId="12446" xr:uid="{00000000-0005-0000-0000-000089380000}"/>
    <cellStyle name="Normal 53 5 2 3" xfId="18672" xr:uid="{00000000-0005-0000-0000-00008A380000}"/>
    <cellStyle name="Normal 53 5 3" xfId="12445" xr:uid="{00000000-0005-0000-0000-00008B380000}"/>
    <cellStyle name="Normal 53 5 4" xfId="18671" xr:uid="{00000000-0005-0000-0000-00008C380000}"/>
    <cellStyle name="Normal 53 6" xfId="6312" xr:uid="{00000000-0005-0000-0000-00008D380000}"/>
    <cellStyle name="Normal 53 6 2" xfId="6313" xr:uid="{00000000-0005-0000-0000-00008E380000}"/>
    <cellStyle name="Normal 53 6 2 2" xfId="12448" xr:uid="{00000000-0005-0000-0000-00008F380000}"/>
    <cellStyle name="Normal 53 6 2 3" xfId="18674" xr:uid="{00000000-0005-0000-0000-000090380000}"/>
    <cellStyle name="Normal 53 6 3" xfId="12447" xr:uid="{00000000-0005-0000-0000-000091380000}"/>
    <cellStyle name="Normal 53 6 4" xfId="18673" xr:uid="{00000000-0005-0000-0000-000092380000}"/>
    <cellStyle name="Normal 53 7" xfId="6314" xr:uid="{00000000-0005-0000-0000-000093380000}"/>
    <cellStyle name="Normal 53 7 2" xfId="12449" xr:uid="{00000000-0005-0000-0000-000094380000}"/>
    <cellStyle name="Normal 53 7 3" xfId="18675" xr:uid="{00000000-0005-0000-0000-000095380000}"/>
    <cellStyle name="Normal 53 8" xfId="6315" xr:uid="{00000000-0005-0000-0000-000096380000}"/>
    <cellStyle name="Normal 53 8 2" xfId="18676" xr:uid="{00000000-0005-0000-0000-000097380000}"/>
    <cellStyle name="Normal 53 9" xfId="12402" xr:uid="{00000000-0005-0000-0000-000098380000}"/>
    <cellStyle name="Normal 54" xfId="6316" xr:uid="{00000000-0005-0000-0000-000099380000}"/>
    <cellStyle name="Normal 54 10" xfId="18677" xr:uid="{00000000-0005-0000-0000-00009A380000}"/>
    <cellStyle name="Normal 54 2" xfId="6317" xr:uid="{00000000-0005-0000-0000-00009B380000}"/>
    <cellStyle name="Normal 54 2 2" xfId="6318" xr:uid="{00000000-0005-0000-0000-00009C380000}"/>
    <cellStyle name="Normal 54 2 2 2" xfId="6319" xr:uid="{00000000-0005-0000-0000-00009D380000}"/>
    <cellStyle name="Normal 54 2 2 2 2" xfId="6320" xr:uid="{00000000-0005-0000-0000-00009E380000}"/>
    <cellStyle name="Normal 54 2 2 2 2 2" xfId="6321" xr:uid="{00000000-0005-0000-0000-00009F380000}"/>
    <cellStyle name="Normal 54 2 2 2 2 2 2" xfId="12455" xr:uid="{00000000-0005-0000-0000-0000A0380000}"/>
    <cellStyle name="Normal 54 2 2 2 2 2 3" xfId="18682" xr:uid="{00000000-0005-0000-0000-0000A1380000}"/>
    <cellStyle name="Normal 54 2 2 2 2 3" xfId="12454" xr:uid="{00000000-0005-0000-0000-0000A2380000}"/>
    <cellStyle name="Normal 54 2 2 2 2 4" xfId="18681" xr:uid="{00000000-0005-0000-0000-0000A3380000}"/>
    <cellStyle name="Normal 54 2 2 2 3" xfId="6322" xr:uid="{00000000-0005-0000-0000-0000A4380000}"/>
    <cellStyle name="Normal 54 2 2 2 3 2" xfId="6323" xr:uid="{00000000-0005-0000-0000-0000A5380000}"/>
    <cellStyle name="Normal 54 2 2 2 3 2 2" xfId="12457" xr:uid="{00000000-0005-0000-0000-0000A6380000}"/>
    <cellStyle name="Normal 54 2 2 2 3 2 3" xfId="18684" xr:uid="{00000000-0005-0000-0000-0000A7380000}"/>
    <cellStyle name="Normal 54 2 2 2 3 3" xfId="12456" xr:uid="{00000000-0005-0000-0000-0000A8380000}"/>
    <cellStyle name="Normal 54 2 2 2 3 4" xfId="18683" xr:uid="{00000000-0005-0000-0000-0000A9380000}"/>
    <cellStyle name="Normal 54 2 2 2 4" xfId="6324" xr:uid="{00000000-0005-0000-0000-0000AA380000}"/>
    <cellStyle name="Normal 54 2 2 2 4 2" xfId="12458" xr:uid="{00000000-0005-0000-0000-0000AB380000}"/>
    <cellStyle name="Normal 54 2 2 2 4 3" xfId="18685" xr:uid="{00000000-0005-0000-0000-0000AC380000}"/>
    <cellStyle name="Normal 54 2 2 2 5" xfId="12453" xr:uid="{00000000-0005-0000-0000-0000AD380000}"/>
    <cellStyle name="Normal 54 2 2 2 6" xfId="18680" xr:uid="{00000000-0005-0000-0000-0000AE380000}"/>
    <cellStyle name="Normal 54 2 2 3" xfId="6325" xr:uid="{00000000-0005-0000-0000-0000AF380000}"/>
    <cellStyle name="Normal 54 2 2 3 2" xfId="6326" xr:uid="{00000000-0005-0000-0000-0000B0380000}"/>
    <cellStyle name="Normal 54 2 2 3 2 2" xfId="12460" xr:uid="{00000000-0005-0000-0000-0000B1380000}"/>
    <cellStyle name="Normal 54 2 2 3 2 3" xfId="18687" xr:uid="{00000000-0005-0000-0000-0000B2380000}"/>
    <cellStyle name="Normal 54 2 2 3 3" xfId="12459" xr:uid="{00000000-0005-0000-0000-0000B3380000}"/>
    <cellStyle name="Normal 54 2 2 3 4" xfId="18686" xr:uid="{00000000-0005-0000-0000-0000B4380000}"/>
    <cellStyle name="Normal 54 2 2 4" xfId="6327" xr:uid="{00000000-0005-0000-0000-0000B5380000}"/>
    <cellStyle name="Normal 54 2 2 4 2" xfId="6328" xr:uid="{00000000-0005-0000-0000-0000B6380000}"/>
    <cellStyle name="Normal 54 2 2 4 2 2" xfId="12462" xr:uid="{00000000-0005-0000-0000-0000B7380000}"/>
    <cellStyle name="Normal 54 2 2 4 2 3" xfId="18689" xr:uid="{00000000-0005-0000-0000-0000B8380000}"/>
    <cellStyle name="Normal 54 2 2 4 3" xfId="12461" xr:uid="{00000000-0005-0000-0000-0000B9380000}"/>
    <cellStyle name="Normal 54 2 2 4 4" xfId="18688" xr:uid="{00000000-0005-0000-0000-0000BA380000}"/>
    <cellStyle name="Normal 54 2 2 5" xfId="6329" xr:uid="{00000000-0005-0000-0000-0000BB380000}"/>
    <cellStyle name="Normal 54 2 2 5 2" xfId="12463" xr:uid="{00000000-0005-0000-0000-0000BC380000}"/>
    <cellStyle name="Normal 54 2 2 5 3" xfId="18690" xr:uid="{00000000-0005-0000-0000-0000BD380000}"/>
    <cellStyle name="Normal 54 2 2 6" xfId="12452" xr:uid="{00000000-0005-0000-0000-0000BE380000}"/>
    <cellStyle name="Normal 54 2 2 7" xfId="18679" xr:uid="{00000000-0005-0000-0000-0000BF380000}"/>
    <cellStyle name="Normal 54 2 3" xfId="6330" xr:uid="{00000000-0005-0000-0000-0000C0380000}"/>
    <cellStyle name="Normal 54 2 3 2" xfId="6331" xr:uid="{00000000-0005-0000-0000-0000C1380000}"/>
    <cellStyle name="Normal 54 2 3 2 2" xfId="6332" xr:uid="{00000000-0005-0000-0000-0000C2380000}"/>
    <cellStyle name="Normal 54 2 3 2 2 2" xfId="12466" xr:uid="{00000000-0005-0000-0000-0000C3380000}"/>
    <cellStyle name="Normal 54 2 3 2 2 3" xfId="18693" xr:uid="{00000000-0005-0000-0000-0000C4380000}"/>
    <cellStyle name="Normal 54 2 3 2 3" xfId="12465" xr:uid="{00000000-0005-0000-0000-0000C5380000}"/>
    <cellStyle name="Normal 54 2 3 2 4" xfId="18692" xr:uid="{00000000-0005-0000-0000-0000C6380000}"/>
    <cellStyle name="Normal 54 2 3 3" xfId="6333" xr:uid="{00000000-0005-0000-0000-0000C7380000}"/>
    <cellStyle name="Normal 54 2 3 3 2" xfId="6334" xr:uid="{00000000-0005-0000-0000-0000C8380000}"/>
    <cellStyle name="Normal 54 2 3 3 2 2" xfId="12468" xr:uid="{00000000-0005-0000-0000-0000C9380000}"/>
    <cellStyle name="Normal 54 2 3 3 2 3" xfId="18695" xr:uid="{00000000-0005-0000-0000-0000CA380000}"/>
    <cellStyle name="Normal 54 2 3 3 3" xfId="12467" xr:uid="{00000000-0005-0000-0000-0000CB380000}"/>
    <cellStyle name="Normal 54 2 3 3 4" xfId="18694" xr:uid="{00000000-0005-0000-0000-0000CC380000}"/>
    <cellStyle name="Normal 54 2 3 4" xfId="6335" xr:uid="{00000000-0005-0000-0000-0000CD380000}"/>
    <cellStyle name="Normal 54 2 3 4 2" xfId="12469" xr:uid="{00000000-0005-0000-0000-0000CE380000}"/>
    <cellStyle name="Normal 54 2 3 4 3" xfId="18696" xr:uid="{00000000-0005-0000-0000-0000CF380000}"/>
    <cellStyle name="Normal 54 2 3 5" xfId="12464" xr:uid="{00000000-0005-0000-0000-0000D0380000}"/>
    <cellStyle name="Normal 54 2 3 6" xfId="18691" xr:uid="{00000000-0005-0000-0000-0000D1380000}"/>
    <cellStyle name="Normal 54 2 4" xfId="6336" xr:uid="{00000000-0005-0000-0000-0000D2380000}"/>
    <cellStyle name="Normal 54 2 4 2" xfId="6337" xr:uid="{00000000-0005-0000-0000-0000D3380000}"/>
    <cellStyle name="Normal 54 2 4 2 2" xfId="12471" xr:uid="{00000000-0005-0000-0000-0000D4380000}"/>
    <cellStyle name="Normal 54 2 4 2 3" xfId="18698" xr:uid="{00000000-0005-0000-0000-0000D5380000}"/>
    <cellStyle name="Normal 54 2 4 3" xfId="12470" xr:uid="{00000000-0005-0000-0000-0000D6380000}"/>
    <cellStyle name="Normal 54 2 4 4" xfId="18697" xr:uid="{00000000-0005-0000-0000-0000D7380000}"/>
    <cellStyle name="Normal 54 2 5" xfId="6338" xr:uid="{00000000-0005-0000-0000-0000D8380000}"/>
    <cellStyle name="Normal 54 2 5 2" xfId="6339" xr:uid="{00000000-0005-0000-0000-0000D9380000}"/>
    <cellStyle name="Normal 54 2 5 2 2" xfId="12473" xr:uid="{00000000-0005-0000-0000-0000DA380000}"/>
    <cellStyle name="Normal 54 2 5 2 3" xfId="18700" xr:uid="{00000000-0005-0000-0000-0000DB380000}"/>
    <cellStyle name="Normal 54 2 5 3" xfId="12472" xr:uid="{00000000-0005-0000-0000-0000DC380000}"/>
    <cellStyle name="Normal 54 2 5 4" xfId="18699" xr:uid="{00000000-0005-0000-0000-0000DD380000}"/>
    <cellStyle name="Normal 54 2 6" xfId="6340" xr:uid="{00000000-0005-0000-0000-0000DE380000}"/>
    <cellStyle name="Normal 54 2 6 2" xfId="12474" xr:uid="{00000000-0005-0000-0000-0000DF380000}"/>
    <cellStyle name="Normal 54 2 6 3" xfId="18701" xr:uid="{00000000-0005-0000-0000-0000E0380000}"/>
    <cellStyle name="Normal 54 2 7" xfId="12451" xr:uid="{00000000-0005-0000-0000-0000E1380000}"/>
    <cellStyle name="Normal 54 2 8" xfId="18678" xr:uid="{00000000-0005-0000-0000-0000E2380000}"/>
    <cellStyle name="Normal 54 3" xfId="6341" xr:uid="{00000000-0005-0000-0000-0000E3380000}"/>
    <cellStyle name="Normal 54 3 2" xfId="6342" xr:uid="{00000000-0005-0000-0000-0000E4380000}"/>
    <cellStyle name="Normal 54 3 2 2" xfId="6343" xr:uid="{00000000-0005-0000-0000-0000E5380000}"/>
    <cellStyle name="Normal 54 3 2 2 2" xfId="6344" xr:uid="{00000000-0005-0000-0000-0000E6380000}"/>
    <cellStyle name="Normal 54 3 2 2 2 2" xfId="12478" xr:uid="{00000000-0005-0000-0000-0000E7380000}"/>
    <cellStyle name="Normal 54 3 2 2 2 3" xfId="18705" xr:uid="{00000000-0005-0000-0000-0000E8380000}"/>
    <cellStyle name="Normal 54 3 2 2 3" xfId="12477" xr:uid="{00000000-0005-0000-0000-0000E9380000}"/>
    <cellStyle name="Normal 54 3 2 2 4" xfId="18704" xr:uid="{00000000-0005-0000-0000-0000EA380000}"/>
    <cellStyle name="Normal 54 3 2 3" xfId="6345" xr:uid="{00000000-0005-0000-0000-0000EB380000}"/>
    <cellStyle name="Normal 54 3 2 3 2" xfId="6346" xr:uid="{00000000-0005-0000-0000-0000EC380000}"/>
    <cellStyle name="Normal 54 3 2 3 2 2" xfId="12480" xr:uid="{00000000-0005-0000-0000-0000ED380000}"/>
    <cellStyle name="Normal 54 3 2 3 2 3" xfId="18707" xr:uid="{00000000-0005-0000-0000-0000EE380000}"/>
    <cellStyle name="Normal 54 3 2 3 3" xfId="12479" xr:uid="{00000000-0005-0000-0000-0000EF380000}"/>
    <cellStyle name="Normal 54 3 2 3 4" xfId="18706" xr:uid="{00000000-0005-0000-0000-0000F0380000}"/>
    <cellStyle name="Normal 54 3 2 4" xfId="6347" xr:uid="{00000000-0005-0000-0000-0000F1380000}"/>
    <cellStyle name="Normal 54 3 2 4 2" xfId="12481" xr:uid="{00000000-0005-0000-0000-0000F2380000}"/>
    <cellStyle name="Normal 54 3 2 4 3" xfId="18708" xr:uid="{00000000-0005-0000-0000-0000F3380000}"/>
    <cellStyle name="Normal 54 3 2 5" xfId="12476" xr:uid="{00000000-0005-0000-0000-0000F4380000}"/>
    <cellStyle name="Normal 54 3 2 6" xfId="18703" xr:uid="{00000000-0005-0000-0000-0000F5380000}"/>
    <cellStyle name="Normal 54 3 3" xfId="6348" xr:uid="{00000000-0005-0000-0000-0000F6380000}"/>
    <cellStyle name="Normal 54 3 3 2" xfId="6349" xr:uid="{00000000-0005-0000-0000-0000F7380000}"/>
    <cellStyle name="Normal 54 3 3 2 2" xfId="12483" xr:uid="{00000000-0005-0000-0000-0000F8380000}"/>
    <cellStyle name="Normal 54 3 3 2 3" xfId="18710" xr:uid="{00000000-0005-0000-0000-0000F9380000}"/>
    <cellStyle name="Normal 54 3 3 3" xfId="12482" xr:uid="{00000000-0005-0000-0000-0000FA380000}"/>
    <cellStyle name="Normal 54 3 3 4" xfId="18709" xr:uid="{00000000-0005-0000-0000-0000FB380000}"/>
    <cellStyle name="Normal 54 3 4" xfId="6350" xr:uid="{00000000-0005-0000-0000-0000FC380000}"/>
    <cellStyle name="Normal 54 3 4 2" xfId="6351" xr:uid="{00000000-0005-0000-0000-0000FD380000}"/>
    <cellStyle name="Normal 54 3 4 2 2" xfId="12485" xr:uid="{00000000-0005-0000-0000-0000FE380000}"/>
    <cellStyle name="Normal 54 3 4 2 3" xfId="18712" xr:uid="{00000000-0005-0000-0000-0000FF380000}"/>
    <cellStyle name="Normal 54 3 4 3" xfId="12484" xr:uid="{00000000-0005-0000-0000-000000390000}"/>
    <cellStyle name="Normal 54 3 4 4" xfId="18711" xr:uid="{00000000-0005-0000-0000-000001390000}"/>
    <cellStyle name="Normal 54 3 5" xfId="6352" xr:uid="{00000000-0005-0000-0000-000002390000}"/>
    <cellStyle name="Normal 54 3 5 2" xfId="12486" xr:uid="{00000000-0005-0000-0000-000003390000}"/>
    <cellStyle name="Normal 54 3 5 3" xfId="18713" xr:uid="{00000000-0005-0000-0000-000004390000}"/>
    <cellStyle name="Normal 54 3 6" xfId="12475" xr:uid="{00000000-0005-0000-0000-000005390000}"/>
    <cellStyle name="Normal 54 3 7" xfId="18702" xr:uid="{00000000-0005-0000-0000-000006390000}"/>
    <cellStyle name="Normal 54 4" xfId="6353" xr:uid="{00000000-0005-0000-0000-000007390000}"/>
    <cellStyle name="Normal 54 4 2" xfId="6354" xr:uid="{00000000-0005-0000-0000-000008390000}"/>
    <cellStyle name="Normal 54 4 2 2" xfId="6355" xr:uid="{00000000-0005-0000-0000-000009390000}"/>
    <cellStyle name="Normal 54 4 2 2 2" xfId="12489" xr:uid="{00000000-0005-0000-0000-00000A390000}"/>
    <cellStyle name="Normal 54 4 2 2 3" xfId="18716" xr:uid="{00000000-0005-0000-0000-00000B390000}"/>
    <cellStyle name="Normal 54 4 2 3" xfId="12488" xr:uid="{00000000-0005-0000-0000-00000C390000}"/>
    <cellStyle name="Normal 54 4 2 4" xfId="18715" xr:uid="{00000000-0005-0000-0000-00000D390000}"/>
    <cellStyle name="Normal 54 4 3" xfId="6356" xr:uid="{00000000-0005-0000-0000-00000E390000}"/>
    <cellStyle name="Normal 54 4 3 2" xfId="6357" xr:uid="{00000000-0005-0000-0000-00000F390000}"/>
    <cellStyle name="Normal 54 4 3 2 2" xfId="12491" xr:uid="{00000000-0005-0000-0000-000010390000}"/>
    <cellStyle name="Normal 54 4 3 2 3" xfId="18718" xr:uid="{00000000-0005-0000-0000-000011390000}"/>
    <cellStyle name="Normal 54 4 3 3" xfId="12490" xr:uid="{00000000-0005-0000-0000-000012390000}"/>
    <cellStyle name="Normal 54 4 3 4" xfId="18717" xr:uid="{00000000-0005-0000-0000-000013390000}"/>
    <cellStyle name="Normal 54 4 4" xfId="6358" xr:uid="{00000000-0005-0000-0000-000014390000}"/>
    <cellStyle name="Normal 54 4 4 2" xfId="12492" xr:uid="{00000000-0005-0000-0000-000015390000}"/>
    <cellStyle name="Normal 54 4 4 3" xfId="18719" xr:uid="{00000000-0005-0000-0000-000016390000}"/>
    <cellStyle name="Normal 54 4 5" xfId="12487" xr:uid="{00000000-0005-0000-0000-000017390000}"/>
    <cellStyle name="Normal 54 4 6" xfId="18714" xr:uid="{00000000-0005-0000-0000-000018390000}"/>
    <cellStyle name="Normal 54 5" xfId="6359" xr:uid="{00000000-0005-0000-0000-000019390000}"/>
    <cellStyle name="Normal 54 5 2" xfId="6360" xr:uid="{00000000-0005-0000-0000-00001A390000}"/>
    <cellStyle name="Normal 54 5 2 2" xfId="12494" xr:uid="{00000000-0005-0000-0000-00001B390000}"/>
    <cellStyle name="Normal 54 5 2 3" xfId="18721" xr:uid="{00000000-0005-0000-0000-00001C390000}"/>
    <cellStyle name="Normal 54 5 3" xfId="12493" xr:uid="{00000000-0005-0000-0000-00001D390000}"/>
    <cellStyle name="Normal 54 5 4" xfId="18720" xr:uid="{00000000-0005-0000-0000-00001E390000}"/>
    <cellStyle name="Normal 54 6" xfId="6361" xr:uid="{00000000-0005-0000-0000-00001F390000}"/>
    <cellStyle name="Normal 54 6 2" xfId="6362" xr:uid="{00000000-0005-0000-0000-000020390000}"/>
    <cellStyle name="Normal 54 6 2 2" xfId="12496" xr:uid="{00000000-0005-0000-0000-000021390000}"/>
    <cellStyle name="Normal 54 6 2 3" xfId="18723" xr:uid="{00000000-0005-0000-0000-000022390000}"/>
    <cellStyle name="Normal 54 6 3" xfId="12495" xr:uid="{00000000-0005-0000-0000-000023390000}"/>
    <cellStyle name="Normal 54 6 4" xfId="18722" xr:uid="{00000000-0005-0000-0000-000024390000}"/>
    <cellStyle name="Normal 54 7" xfId="6363" xr:uid="{00000000-0005-0000-0000-000025390000}"/>
    <cellStyle name="Normal 54 7 2" xfId="12497" xr:uid="{00000000-0005-0000-0000-000026390000}"/>
    <cellStyle name="Normal 54 7 3" xfId="18724" xr:uid="{00000000-0005-0000-0000-000027390000}"/>
    <cellStyle name="Normal 54 8" xfId="6364" xr:uid="{00000000-0005-0000-0000-000028390000}"/>
    <cellStyle name="Normal 54 8 2" xfId="18725" xr:uid="{00000000-0005-0000-0000-000029390000}"/>
    <cellStyle name="Normal 54 9" xfId="12450" xr:uid="{00000000-0005-0000-0000-00002A390000}"/>
    <cellStyle name="Normal 55" xfId="6365" xr:uid="{00000000-0005-0000-0000-00002B390000}"/>
    <cellStyle name="Normal 55 10" xfId="18726" xr:uid="{00000000-0005-0000-0000-00002C390000}"/>
    <cellStyle name="Normal 55 2" xfId="6366" xr:uid="{00000000-0005-0000-0000-00002D390000}"/>
    <cellStyle name="Normal 55 2 2" xfId="6367" xr:uid="{00000000-0005-0000-0000-00002E390000}"/>
    <cellStyle name="Normal 55 2 2 2" xfId="6368" xr:uid="{00000000-0005-0000-0000-00002F390000}"/>
    <cellStyle name="Normal 55 2 2 2 2" xfId="6369" xr:uid="{00000000-0005-0000-0000-000030390000}"/>
    <cellStyle name="Normal 55 2 2 2 2 2" xfId="6370" xr:uid="{00000000-0005-0000-0000-000031390000}"/>
    <cellStyle name="Normal 55 2 2 2 2 2 2" xfId="12503" xr:uid="{00000000-0005-0000-0000-000032390000}"/>
    <cellStyle name="Normal 55 2 2 2 2 2 3" xfId="18731" xr:uid="{00000000-0005-0000-0000-000033390000}"/>
    <cellStyle name="Normal 55 2 2 2 2 3" xfId="12502" xr:uid="{00000000-0005-0000-0000-000034390000}"/>
    <cellStyle name="Normal 55 2 2 2 2 4" xfId="18730" xr:uid="{00000000-0005-0000-0000-000035390000}"/>
    <cellStyle name="Normal 55 2 2 2 3" xfId="6371" xr:uid="{00000000-0005-0000-0000-000036390000}"/>
    <cellStyle name="Normal 55 2 2 2 3 2" xfId="6372" xr:uid="{00000000-0005-0000-0000-000037390000}"/>
    <cellStyle name="Normal 55 2 2 2 3 2 2" xfId="12505" xr:uid="{00000000-0005-0000-0000-000038390000}"/>
    <cellStyle name="Normal 55 2 2 2 3 2 3" xfId="18733" xr:uid="{00000000-0005-0000-0000-000039390000}"/>
    <cellStyle name="Normal 55 2 2 2 3 3" xfId="12504" xr:uid="{00000000-0005-0000-0000-00003A390000}"/>
    <cellStyle name="Normal 55 2 2 2 3 4" xfId="18732" xr:uid="{00000000-0005-0000-0000-00003B390000}"/>
    <cellStyle name="Normal 55 2 2 2 4" xfId="6373" xr:uid="{00000000-0005-0000-0000-00003C390000}"/>
    <cellStyle name="Normal 55 2 2 2 4 2" xfId="12506" xr:uid="{00000000-0005-0000-0000-00003D390000}"/>
    <cellStyle name="Normal 55 2 2 2 4 3" xfId="18734" xr:uid="{00000000-0005-0000-0000-00003E390000}"/>
    <cellStyle name="Normal 55 2 2 2 5" xfId="12501" xr:uid="{00000000-0005-0000-0000-00003F390000}"/>
    <cellStyle name="Normal 55 2 2 2 6" xfId="18729" xr:uid="{00000000-0005-0000-0000-000040390000}"/>
    <cellStyle name="Normal 55 2 2 3" xfId="6374" xr:uid="{00000000-0005-0000-0000-000041390000}"/>
    <cellStyle name="Normal 55 2 2 3 2" xfId="6375" xr:uid="{00000000-0005-0000-0000-000042390000}"/>
    <cellStyle name="Normal 55 2 2 3 2 2" xfId="12508" xr:uid="{00000000-0005-0000-0000-000043390000}"/>
    <cellStyle name="Normal 55 2 2 3 2 3" xfId="18736" xr:uid="{00000000-0005-0000-0000-000044390000}"/>
    <cellStyle name="Normal 55 2 2 3 3" xfId="12507" xr:uid="{00000000-0005-0000-0000-000045390000}"/>
    <cellStyle name="Normal 55 2 2 3 4" xfId="18735" xr:uid="{00000000-0005-0000-0000-000046390000}"/>
    <cellStyle name="Normal 55 2 2 4" xfId="6376" xr:uid="{00000000-0005-0000-0000-000047390000}"/>
    <cellStyle name="Normal 55 2 2 4 2" xfId="6377" xr:uid="{00000000-0005-0000-0000-000048390000}"/>
    <cellStyle name="Normal 55 2 2 4 2 2" xfId="12510" xr:uid="{00000000-0005-0000-0000-000049390000}"/>
    <cellStyle name="Normal 55 2 2 4 2 3" xfId="18738" xr:uid="{00000000-0005-0000-0000-00004A390000}"/>
    <cellStyle name="Normal 55 2 2 4 3" xfId="12509" xr:uid="{00000000-0005-0000-0000-00004B390000}"/>
    <cellStyle name="Normal 55 2 2 4 4" xfId="18737" xr:uid="{00000000-0005-0000-0000-00004C390000}"/>
    <cellStyle name="Normal 55 2 2 5" xfId="6378" xr:uid="{00000000-0005-0000-0000-00004D390000}"/>
    <cellStyle name="Normal 55 2 2 5 2" xfId="12511" xr:uid="{00000000-0005-0000-0000-00004E390000}"/>
    <cellStyle name="Normal 55 2 2 5 3" xfId="18739" xr:uid="{00000000-0005-0000-0000-00004F390000}"/>
    <cellStyle name="Normal 55 2 2 6" xfId="12500" xr:uid="{00000000-0005-0000-0000-000050390000}"/>
    <cellStyle name="Normal 55 2 2 7" xfId="18728" xr:uid="{00000000-0005-0000-0000-000051390000}"/>
    <cellStyle name="Normal 55 2 3" xfId="6379" xr:uid="{00000000-0005-0000-0000-000052390000}"/>
    <cellStyle name="Normal 55 2 3 2" xfId="6380" xr:uid="{00000000-0005-0000-0000-000053390000}"/>
    <cellStyle name="Normal 55 2 3 2 2" xfId="6381" xr:uid="{00000000-0005-0000-0000-000054390000}"/>
    <cellStyle name="Normal 55 2 3 2 2 2" xfId="12514" xr:uid="{00000000-0005-0000-0000-000055390000}"/>
    <cellStyle name="Normal 55 2 3 2 2 3" xfId="18742" xr:uid="{00000000-0005-0000-0000-000056390000}"/>
    <cellStyle name="Normal 55 2 3 2 3" xfId="12513" xr:uid="{00000000-0005-0000-0000-000057390000}"/>
    <cellStyle name="Normal 55 2 3 2 4" xfId="18741" xr:uid="{00000000-0005-0000-0000-000058390000}"/>
    <cellStyle name="Normal 55 2 3 3" xfId="6382" xr:uid="{00000000-0005-0000-0000-000059390000}"/>
    <cellStyle name="Normal 55 2 3 3 2" xfId="6383" xr:uid="{00000000-0005-0000-0000-00005A390000}"/>
    <cellStyle name="Normal 55 2 3 3 2 2" xfId="12516" xr:uid="{00000000-0005-0000-0000-00005B390000}"/>
    <cellStyle name="Normal 55 2 3 3 2 3" xfId="18744" xr:uid="{00000000-0005-0000-0000-00005C390000}"/>
    <cellStyle name="Normal 55 2 3 3 3" xfId="12515" xr:uid="{00000000-0005-0000-0000-00005D390000}"/>
    <cellStyle name="Normal 55 2 3 3 4" xfId="18743" xr:uid="{00000000-0005-0000-0000-00005E390000}"/>
    <cellStyle name="Normal 55 2 3 4" xfId="6384" xr:uid="{00000000-0005-0000-0000-00005F390000}"/>
    <cellStyle name="Normal 55 2 3 4 2" xfId="12517" xr:uid="{00000000-0005-0000-0000-000060390000}"/>
    <cellStyle name="Normal 55 2 3 4 3" xfId="18745" xr:uid="{00000000-0005-0000-0000-000061390000}"/>
    <cellStyle name="Normal 55 2 3 5" xfId="12512" xr:uid="{00000000-0005-0000-0000-000062390000}"/>
    <cellStyle name="Normal 55 2 3 6" xfId="18740" xr:uid="{00000000-0005-0000-0000-000063390000}"/>
    <cellStyle name="Normal 55 2 4" xfId="6385" xr:uid="{00000000-0005-0000-0000-000064390000}"/>
    <cellStyle name="Normal 55 2 4 2" xfId="6386" xr:uid="{00000000-0005-0000-0000-000065390000}"/>
    <cellStyle name="Normal 55 2 4 2 2" xfId="12519" xr:uid="{00000000-0005-0000-0000-000066390000}"/>
    <cellStyle name="Normal 55 2 4 2 3" xfId="18747" xr:uid="{00000000-0005-0000-0000-000067390000}"/>
    <cellStyle name="Normal 55 2 4 3" xfId="12518" xr:uid="{00000000-0005-0000-0000-000068390000}"/>
    <cellStyle name="Normal 55 2 4 4" xfId="18746" xr:uid="{00000000-0005-0000-0000-000069390000}"/>
    <cellStyle name="Normal 55 2 5" xfId="6387" xr:uid="{00000000-0005-0000-0000-00006A390000}"/>
    <cellStyle name="Normal 55 2 5 2" xfId="6388" xr:uid="{00000000-0005-0000-0000-00006B390000}"/>
    <cellStyle name="Normal 55 2 5 2 2" xfId="12521" xr:uid="{00000000-0005-0000-0000-00006C390000}"/>
    <cellStyle name="Normal 55 2 5 2 3" xfId="18749" xr:uid="{00000000-0005-0000-0000-00006D390000}"/>
    <cellStyle name="Normal 55 2 5 3" xfId="12520" xr:uid="{00000000-0005-0000-0000-00006E390000}"/>
    <cellStyle name="Normal 55 2 5 4" xfId="18748" xr:uid="{00000000-0005-0000-0000-00006F390000}"/>
    <cellStyle name="Normal 55 2 6" xfId="6389" xr:uid="{00000000-0005-0000-0000-000070390000}"/>
    <cellStyle name="Normal 55 2 6 2" xfId="12522" xr:uid="{00000000-0005-0000-0000-000071390000}"/>
    <cellStyle name="Normal 55 2 6 3" xfId="18750" xr:uid="{00000000-0005-0000-0000-000072390000}"/>
    <cellStyle name="Normal 55 2 7" xfId="12499" xr:uid="{00000000-0005-0000-0000-000073390000}"/>
    <cellStyle name="Normal 55 2 8" xfId="18727" xr:uid="{00000000-0005-0000-0000-000074390000}"/>
    <cellStyle name="Normal 55 3" xfId="6390" xr:uid="{00000000-0005-0000-0000-000075390000}"/>
    <cellStyle name="Normal 55 3 2" xfId="6391" xr:uid="{00000000-0005-0000-0000-000076390000}"/>
    <cellStyle name="Normal 55 3 2 2" xfId="6392" xr:uid="{00000000-0005-0000-0000-000077390000}"/>
    <cellStyle name="Normal 55 3 2 2 2" xfId="6393" xr:uid="{00000000-0005-0000-0000-000078390000}"/>
    <cellStyle name="Normal 55 3 2 2 2 2" xfId="12526" xr:uid="{00000000-0005-0000-0000-000079390000}"/>
    <cellStyle name="Normal 55 3 2 2 2 3" xfId="18754" xr:uid="{00000000-0005-0000-0000-00007A390000}"/>
    <cellStyle name="Normal 55 3 2 2 3" xfId="12525" xr:uid="{00000000-0005-0000-0000-00007B390000}"/>
    <cellStyle name="Normal 55 3 2 2 4" xfId="18753" xr:uid="{00000000-0005-0000-0000-00007C390000}"/>
    <cellStyle name="Normal 55 3 2 3" xfId="6394" xr:uid="{00000000-0005-0000-0000-00007D390000}"/>
    <cellStyle name="Normal 55 3 2 3 2" xfId="6395" xr:uid="{00000000-0005-0000-0000-00007E390000}"/>
    <cellStyle name="Normal 55 3 2 3 2 2" xfId="12528" xr:uid="{00000000-0005-0000-0000-00007F390000}"/>
    <cellStyle name="Normal 55 3 2 3 2 3" xfId="18756" xr:uid="{00000000-0005-0000-0000-000080390000}"/>
    <cellStyle name="Normal 55 3 2 3 3" xfId="12527" xr:uid="{00000000-0005-0000-0000-000081390000}"/>
    <cellStyle name="Normal 55 3 2 3 4" xfId="18755" xr:uid="{00000000-0005-0000-0000-000082390000}"/>
    <cellStyle name="Normal 55 3 2 4" xfId="6396" xr:uid="{00000000-0005-0000-0000-000083390000}"/>
    <cellStyle name="Normal 55 3 2 4 2" xfId="12529" xr:uid="{00000000-0005-0000-0000-000084390000}"/>
    <cellStyle name="Normal 55 3 2 4 3" xfId="18757" xr:uid="{00000000-0005-0000-0000-000085390000}"/>
    <cellStyle name="Normal 55 3 2 5" xfId="12524" xr:uid="{00000000-0005-0000-0000-000086390000}"/>
    <cellStyle name="Normal 55 3 2 6" xfId="18752" xr:uid="{00000000-0005-0000-0000-000087390000}"/>
    <cellStyle name="Normal 55 3 3" xfId="6397" xr:uid="{00000000-0005-0000-0000-000088390000}"/>
    <cellStyle name="Normal 55 3 3 2" xfId="6398" xr:uid="{00000000-0005-0000-0000-000089390000}"/>
    <cellStyle name="Normal 55 3 3 2 2" xfId="12531" xr:uid="{00000000-0005-0000-0000-00008A390000}"/>
    <cellStyle name="Normal 55 3 3 2 3" xfId="18759" xr:uid="{00000000-0005-0000-0000-00008B390000}"/>
    <cellStyle name="Normal 55 3 3 3" xfId="12530" xr:uid="{00000000-0005-0000-0000-00008C390000}"/>
    <cellStyle name="Normal 55 3 3 4" xfId="18758" xr:uid="{00000000-0005-0000-0000-00008D390000}"/>
    <cellStyle name="Normal 55 3 4" xfId="6399" xr:uid="{00000000-0005-0000-0000-00008E390000}"/>
    <cellStyle name="Normal 55 3 4 2" xfId="6400" xr:uid="{00000000-0005-0000-0000-00008F390000}"/>
    <cellStyle name="Normal 55 3 4 2 2" xfId="12533" xr:uid="{00000000-0005-0000-0000-000090390000}"/>
    <cellStyle name="Normal 55 3 4 2 3" xfId="18761" xr:uid="{00000000-0005-0000-0000-000091390000}"/>
    <cellStyle name="Normal 55 3 4 3" xfId="12532" xr:uid="{00000000-0005-0000-0000-000092390000}"/>
    <cellStyle name="Normal 55 3 4 4" xfId="18760" xr:uid="{00000000-0005-0000-0000-000093390000}"/>
    <cellStyle name="Normal 55 3 5" xfId="6401" xr:uid="{00000000-0005-0000-0000-000094390000}"/>
    <cellStyle name="Normal 55 3 5 2" xfId="12534" xr:uid="{00000000-0005-0000-0000-000095390000}"/>
    <cellStyle name="Normal 55 3 5 3" xfId="18762" xr:uid="{00000000-0005-0000-0000-000096390000}"/>
    <cellStyle name="Normal 55 3 6" xfId="12523" xr:uid="{00000000-0005-0000-0000-000097390000}"/>
    <cellStyle name="Normal 55 3 7" xfId="18751" xr:uid="{00000000-0005-0000-0000-000098390000}"/>
    <cellStyle name="Normal 55 4" xfId="6402" xr:uid="{00000000-0005-0000-0000-000099390000}"/>
    <cellStyle name="Normal 55 4 2" xfId="6403" xr:uid="{00000000-0005-0000-0000-00009A390000}"/>
    <cellStyle name="Normal 55 4 2 2" xfId="6404" xr:uid="{00000000-0005-0000-0000-00009B390000}"/>
    <cellStyle name="Normal 55 4 2 2 2" xfId="12537" xr:uid="{00000000-0005-0000-0000-00009C390000}"/>
    <cellStyle name="Normal 55 4 2 2 3" xfId="18765" xr:uid="{00000000-0005-0000-0000-00009D390000}"/>
    <cellStyle name="Normal 55 4 2 3" xfId="12536" xr:uid="{00000000-0005-0000-0000-00009E390000}"/>
    <cellStyle name="Normal 55 4 2 4" xfId="18764" xr:uid="{00000000-0005-0000-0000-00009F390000}"/>
    <cellStyle name="Normal 55 4 3" xfId="6405" xr:uid="{00000000-0005-0000-0000-0000A0390000}"/>
    <cellStyle name="Normal 55 4 3 2" xfId="6406" xr:uid="{00000000-0005-0000-0000-0000A1390000}"/>
    <cellStyle name="Normal 55 4 3 2 2" xfId="12539" xr:uid="{00000000-0005-0000-0000-0000A2390000}"/>
    <cellStyle name="Normal 55 4 3 2 3" xfId="18767" xr:uid="{00000000-0005-0000-0000-0000A3390000}"/>
    <cellStyle name="Normal 55 4 3 3" xfId="12538" xr:uid="{00000000-0005-0000-0000-0000A4390000}"/>
    <cellStyle name="Normal 55 4 3 4" xfId="18766" xr:uid="{00000000-0005-0000-0000-0000A5390000}"/>
    <cellStyle name="Normal 55 4 4" xfId="6407" xr:uid="{00000000-0005-0000-0000-0000A6390000}"/>
    <cellStyle name="Normal 55 4 4 2" xfId="12540" xr:uid="{00000000-0005-0000-0000-0000A7390000}"/>
    <cellStyle name="Normal 55 4 4 3" xfId="18768" xr:uid="{00000000-0005-0000-0000-0000A8390000}"/>
    <cellStyle name="Normal 55 4 5" xfId="12535" xr:uid="{00000000-0005-0000-0000-0000A9390000}"/>
    <cellStyle name="Normal 55 4 6" xfId="18763" xr:uid="{00000000-0005-0000-0000-0000AA390000}"/>
    <cellStyle name="Normal 55 5" xfId="6408" xr:uid="{00000000-0005-0000-0000-0000AB390000}"/>
    <cellStyle name="Normal 55 5 2" xfId="6409" xr:uid="{00000000-0005-0000-0000-0000AC390000}"/>
    <cellStyle name="Normal 55 5 2 2" xfId="12542" xr:uid="{00000000-0005-0000-0000-0000AD390000}"/>
    <cellStyle name="Normal 55 5 2 3" xfId="18770" xr:uid="{00000000-0005-0000-0000-0000AE390000}"/>
    <cellStyle name="Normal 55 5 3" xfId="12541" xr:uid="{00000000-0005-0000-0000-0000AF390000}"/>
    <cellStyle name="Normal 55 5 4" xfId="18769" xr:uid="{00000000-0005-0000-0000-0000B0390000}"/>
    <cellStyle name="Normal 55 6" xfId="6410" xr:uid="{00000000-0005-0000-0000-0000B1390000}"/>
    <cellStyle name="Normal 55 6 2" xfId="6411" xr:uid="{00000000-0005-0000-0000-0000B2390000}"/>
    <cellStyle name="Normal 55 6 2 2" xfId="12544" xr:uid="{00000000-0005-0000-0000-0000B3390000}"/>
    <cellStyle name="Normal 55 6 2 3" xfId="18772" xr:uid="{00000000-0005-0000-0000-0000B4390000}"/>
    <cellStyle name="Normal 55 6 3" xfId="12543" xr:uid="{00000000-0005-0000-0000-0000B5390000}"/>
    <cellStyle name="Normal 55 6 4" xfId="18771" xr:uid="{00000000-0005-0000-0000-0000B6390000}"/>
    <cellStyle name="Normal 55 7" xfId="6412" xr:uid="{00000000-0005-0000-0000-0000B7390000}"/>
    <cellStyle name="Normal 55 7 2" xfId="12545" xr:uid="{00000000-0005-0000-0000-0000B8390000}"/>
    <cellStyle name="Normal 55 7 3" xfId="18773" xr:uid="{00000000-0005-0000-0000-0000B9390000}"/>
    <cellStyle name="Normal 55 8" xfId="6413" xr:uid="{00000000-0005-0000-0000-0000BA390000}"/>
    <cellStyle name="Normal 55 8 2" xfId="18774" xr:uid="{00000000-0005-0000-0000-0000BB390000}"/>
    <cellStyle name="Normal 55 9" xfId="12498" xr:uid="{00000000-0005-0000-0000-0000BC390000}"/>
    <cellStyle name="Normal 56" xfId="6414" xr:uid="{00000000-0005-0000-0000-0000BD390000}"/>
    <cellStyle name="Normal 56 10" xfId="18775" xr:uid="{00000000-0005-0000-0000-0000BE390000}"/>
    <cellStyle name="Normal 56 2" xfId="6415" xr:uid="{00000000-0005-0000-0000-0000BF390000}"/>
    <cellStyle name="Normal 56 2 2" xfId="6416" xr:uid="{00000000-0005-0000-0000-0000C0390000}"/>
    <cellStyle name="Normal 56 2 2 2" xfId="6417" xr:uid="{00000000-0005-0000-0000-0000C1390000}"/>
    <cellStyle name="Normal 56 2 2 2 2" xfId="6418" xr:uid="{00000000-0005-0000-0000-0000C2390000}"/>
    <cellStyle name="Normal 56 2 2 2 2 2" xfId="6419" xr:uid="{00000000-0005-0000-0000-0000C3390000}"/>
    <cellStyle name="Normal 56 2 2 2 2 2 2" xfId="12551" xr:uid="{00000000-0005-0000-0000-0000C4390000}"/>
    <cellStyle name="Normal 56 2 2 2 2 2 3" xfId="18780" xr:uid="{00000000-0005-0000-0000-0000C5390000}"/>
    <cellStyle name="Normal 56 2 2 2 2 3" xfId="12550" xr:uid="{00000000-0005-0000-0000-0000C6390000}"/>
    <cellStyle name="Normal 56 2 2 2 2 4" xfId="18779" xr:uid="{00000000-0005-0000-0000-0000C7390000}"/>
    <cellStyle name="Normal 56 2 2 2 3" xfId="6420" xr:uid="{00000000-0005-0000-0000-0000C8390000}"/>
    <cellStyle name="Normal 56 2 2 2 3 2" xfId="6421" xr:uid="{00000000-0005-0000-0000-0000C9390000}"/>
    <cellStyle name="Normal 56 2 2 2 3 2 2" xfId="12553" xr:uid="{00000000-0005-0000-0000-0000CA390000}"/>
    <cellStyle name="Normal 56 2 2 2 3 2 3" xfId="18782" xr:uid="{00000000-0005-0000-0000-0000CB390000}"/>
    <cellStyle name="Normal 56 2 2 2 3 3" xfId="12552" xr:uid="{00000000-0005-0000-0000-0000CC390000}"/>
    <cellStyle name="Normal 56 2 2 2 3 4" xfId="18781" xr:uid="{00000000-0005-0000-0000-0000CD390000}"/>
    <cellStyle name="Normal 56 2 2 2 4" xfId="6422" xr:uid="{00000000-0005-0000-0000-0000CE390000}"/>
    <cellStyle name="Normal 56 2 2 2 4 2" xfId="12554" xr:uid="{00000000-0005-0000-0000-0000CF390000}"/>
    <cellStyle name="Normal 56 2 2 2 4 3" xfId="18783" xr:uid="{00000000-0005-0000-0000-0000D0390000}"/>
    <cellStyle name="Normal 56 2 2 2 5" xfId="12549" xr:uid="{00000000-0005-0000-0000-0000D1390000}"/>
    <cellStyle name="Normal 56 2 2 2 6" xfId="18778" xr:uid="{00000000-0005-0000-0000-0000D2390000}"/>
    <cellStyle name="Normal 56 2 2 3" xfId="6423" xr:uid="{00000000-0005-0000-0000-0000D3390000}"/>
    <cellStyle name="Normal 56 2 2 3 2" xfId="6424" xr:uid="{00000000-0005-0000-0000-0000D4390000}"/>
    <cellStyle name="Normal 56 2 2 3 2 2" xfId="12556" xr:uid="{00000000-0005-0000-0000-0000D5390000}"/>
    <cellStyle name="Normal 56 2 2 3 2 3" xfId="18785" xr:uid="{00000000-0005-0000-0000-0000D6390000}"/>
    <cellStyle name="Normal 56 2 2 3 3" xfId="12555" xr:uid="{00000000-0005-0000-0000-0000D7390000}"/>
    <cellStyle name="Normal 56 2 2 3 4" xfId="18784" xr:uid="{00000000-0005-0000-0000-0000D8390000}"/>
    <cellStyle name="Normal 56 2 2 4" xfId="6425" xr:uid="{00000000-0005-0000-0000-0000D9390000}"/>
    <cellStyle name="Normal 56 2 2 4 2" xfId="6426" xr:uid="{00000000-0005-0000-0000-0000DA390000}"/>
    <cellStyle name="Normal 56 2 2 4 2 2" xfId="12558" xr:uid="{00000000-0005-0000-0000-0000DB390000}"/>
    <cellStyle name="Normal 56 2 2 4 2 3" xfId="18787" xr:uid="{00000000-0005-0000-0000-0000DC390000}"/>
    <cellStyle name="Normal 56 2 2 4 3" xfId="12557" xr:uid="{00000000-0005-0000-0000-0000DD390000}"/>
    <cellStyle name="Normal 56 2 2 4 4" xfId="18786" xr:uid="{00000000-0005-0000-0000-0000DE390000}"/>
    <cellStyle name="Normal 56 2 2 5" xfId="6427" xr:uid="{00000000-0005-0000-0000-0000DF390000}"/>
    <cellStyle name="Normal 56 2 2 5 2" xfId="12559" xr:uid="{00000000-0005-0000-0000-0000E0390000}"/>
    <cellStyle name="Normal 56 2 2 5 3" xfId="18788" xr:uid="{00000000-0005-0000-0000-0000E1390000}"/>
    <cellStyle name="Normal 56 2 2 6" xfId="12548" xr:uid="{00000000-0005-0000-0000-0000E2390000}"/>
    <cellStyle name="Normal 56 2 2 7" xfId="18777" xr:uid="{00000000-0005-0000-0000-0000E3390000}"/>
    <cellStyle name="Normal 56 2 3" xfId="6428" xr:uid="{00000000-0005-0000-0000-0000E4390000}"/>
    <cellStyle name="Normal 56 2 3 2" xfId="6429" xr:uid="{00000000-0005-0000-0000-0000E5390000}"/>
    <cellStyle name="Normal 56 2 3 2 2" xfId="6430" xr:uid="{00000000-0005-0000-0000-0000E6390000}"/>
    <cellStyle name="Normal 56 2 3 2 2 2" xfId="12562" xr:uid="{00000000-0005-0000-0000-0000E7390000}"/>
    <cellStyle name="Normal 56 2 3 2 2 3" xfId="18791" xr:uid="{00000000-0005-0000-0000-0000E8390000}"/>
    <cellStyle name="Normal 56 2 3 2 3" xfId="12561" xr:uid="{00000000-0005-0000-0000-0000E9390000}"/>
    <cellStyle name="Normal 56 2 3 2 4" xfId="18790" xr:uid="{00000000-0005-0000-0000-0000EA390000}"/>
    <cellStyle name="Normal 56 2 3 3" xfId="6431" xr:uid="{00000000-0005-0000-0000-0000EB390000}"/>
    <cellStyle name="Normal 56 2 3 3 2" xfId="6432" xr:uid="{00000000-0005-0000-0000-0000EC390000}"/>
    <cellStyle name="Normal 56 2 3 3 2 2" xfId="12564" xr:uid="{00000000-0005-0000-0000-0000ED390000}"/>
    <cellStyle name="Normal 56 2 3 3 2 3" xfId="18793" xr:uid="{00000000-0005-0000-0000-0000EE390000}"/>
    <cellStyle name="Normal 56 2 3 3 3" xfId="12563" xr:uid="{00000000-0005-0000-0000-0000EF390000}"/>
    <cellStyle name="Normal 56 2 3 3 4" xfId="18792" xr:uid="{00000000-0005-0000-0000-0000F0390000}"/>
    <cellStyle name="Normal 56 2 3 4" xfId="6433" xr:uid="{00000000-0005-0000-0000-0000F1390000}"/>
    <cellStyle name="Normal 56 2 3 4 2" xfId="12565" xr:uid="{00000000-0005-0000-0000-0000F2390000}"/>
    <cellStyle name="Normal 56 2 3 4 3" xfId="18794" xr:uid="{00000000-0005-0000-0000-0000F3390000}"/>
    <cellStyle name="Normal 56 2 3 5" xfId="12560" xr:uid="{00000000-0005-0000-0000-0000F4390000}"/>
    <cellStyle name="Normal 56 2 3 6" xfId="18789" xr:uid="{00000000-0005-0000-0000-0000F5390000}"/>
    <cellStyle name="Normal 56 2 4" xfId="6434" xr:uid="{00000000-0005-0000-0000-0000F6390000}"/>
    <cellStyle name="Normal 56 2 4 2" xfId="6435" xr:uid="{00000000-0005-0000-0000-0000F7390000}"/>
    <cellStyle name="Normal 56 2 4 2 2" xfId="12567" xr:uid="{00000000-0005-0000-0000-0000F8390000}"/>
    <cellStyle name="Normal 56 2 4 2 3" xfId="18796" xr:uid="{00000000-0005-0000-0000-0000F9390000}"/>
    <cellStyle name="Normal 56 2 4 3" xfId="12566" xr:uid="{00000000-0005-0000-0000-0000FA390000}"/>
    <cellStyle name="Normal 56 2 4 4" xfId="18795" xr:uid="{00000000-0005-0000-0000-0000FB390000}"/>
    <cellStyle name="Normal 56 2 5" xfId="6436" xr:uid="{00000000-0005-0000-0000-0000FC390000}"/>
    <cellStyle name="Normal 56 2 5 2" xfId="6437" xr:uid="{00000000-0005-0000-0000-0000FD390000}"/>
    <cellStyle name="Normal 56 2 5 2 2" xfId="12569" xr:uid="{00000000-0005-0000-0000-0000FE390000}"/>
    <cellStyle name="Normal 56 2 5 2 3" xfId="18798" xr:uid="{00000000-0005-0000-0000-0000FF390000}"/>
    <cellStyle name="Normal 56 2 5 3" xfId="12568" xr:uid="{00000000-0005-0000-0000-0000003A0000}"/>
    <cellStyle name="Normal 56 2 5 4" xfId="18797" xr:uid="{00000000-0005-0000-0000-0000013A0000}"/>
    <cellStyle name="Normal 56 2 6" xfId="6438" xr:uid="{00000000-0005-0000-0000-0000023A0000}"/>
    <cellStyle name="Normal 56 2 6 2" xfId="12570" xr:uid="{00000000-0005-0000-0000-0000033A0000}"/>
    <cellStyle name="Normal 56 2 6 3" xfId="18799" xr:uid="{00000000-0005-0000-0000-0000043A0000}"/>
    <cellStyle name="Normal 56 2 7" xfId="12547" xr:uid="{00000000-0005-0000-0000-0000053A0000}"/>
    <cellStyle name="Normal 56 2 8" xfId="18776" xr:uid="{00000000-0005-0000-0000-0000063A0000}"/>
    <cellStyle name="Normal 56 3" xfId="6439" xr:uid="{00000000-0005-0000-0000-0000073A0000}"/>
    <cellStyle name="Normal 56 3 2" xfId="6440" xr:uid="{00000000-0005-0000-0000-0000083A0000}"/>
    <cellStyle name="Normal 56 3 2 2" xfId="6441" xr:uid="{00000000-0005-0000-0000-0000093A0000}"/>
    <cellStyle name="Normal 56 3 2 2 2" xfId="6442" xr:uid="{00000000-0005-0000-0000-00000A3A0000}"/>
    <cellStyle name="Normal 56 3 2 2 2 2" xfId="12574" xr:uid="{00000000-0005-0000-0000-00000B3A0000}"/>
    <cellStyle name="Normal 56 3 2 2 2 3" xfId="18803" xr:uid="{00000000-0005-0000-0000-00000C3A0000}"/>
    <cellStyle name="Normal 56 3 2 2 3" xfId="12573" xr:uid="{00000000-0005-0000-0000-00000D3A0000}"/>
    <cellStyle name="Normal 56 3 2 2 4" xfId="18802" xr:uid="{00000000-0005-0000-0000-00000E3A0000}"/>
    <cellStyle name="Normal 56 3 2 3" xfId="6443" xr:uid="{00000000-0005-0000-0000-00000F3A0000}"/>
    <cellStyle name="Normal 56 3 2 3 2" xfId="6444" xr:uid="{00000000-0005-0000-0000-0000103A0000}"/>
    <cellStyle name="Normal 56 3 2 3 2 2" xfId="12576" xr:uid="{00000000-0005-0000-0000-0000113A0000}"/>
    <cellStyle name="Normal 56 3 2 3 2 3" xfId="18805" xr:uid="{00000000-0005-0000-0000-0000123A0000}"/>
    <cellStyle name="Normal 56 3 2 3 3" xfId="12575" xr:uid="{00000000-0005-0000-0000-0000133A0000}"/>
    <cellStyle name="Normal 56 3 2 3 4" xfId="18804" xr:uid="{00000000-0005-0000-0000-0000143A0000}"/>
    <cellStyle name="Normal 56 3 2 4" xfId="6445" xr:uid="{00000000-0005-0000-0000-0000153A0000}"/>
    <cellStyle name="Normal 56 3 2 4 2" xfId="12577" xr:uid="{00000000-0005-0000-0000-0000163A0000}"/>
    <cellStyle name="Normal 56 3 2 4 3" xfId="18806" xr:uid="{00000000-0005-0000-0000-0000173A0000}"/>
    <cellStyle name="Normal 56 3 2 5" xfId="12572" xr:uid="{00000000-0005-0000-0000-0000183A0000}"/>
    <cellStyle name="Normal 56 3 2 6" xfId="18801" xr:uid="{00000000-0005-0000-0000-0000193A0000}"/>
    <cellStyle name="Normal 56 3 3" xfId="6446" xr:uid="{00000000-0005-0000-0000-00001A3A0000}"/>
    <cellStyle name="Normal 56 3 3 2" xfId="6447" xr:uid="{00000000-0005-0000-0000-00001B3A0000}"/>
    <cellStyle name="Normal 56 3 3 2 2" xfId="12579" xr:uid="{00000000-0005-0000-0000-00001C3A0000}"/>
    <cellStyle name="Normal 56 3 3 2 3" xfId="18808" xr:uid="{00000000-0005-0000-0000-00001D3A0000}"/>
    <cellStyle name="Normal 56 3 3 3" xfId="12578" xr:uid="{00000000-0005-0000-0000-00001E3A0000}"/>
    <cellStyle name="Normal 56 3 3 4" xfId="18807" xr:uid="{00000000-0005-0000-0000-00001F3A0000}"/>
    <cellStyle name="Normal 56 3 4" xfId="6448" xr:uid="{00000000-0005-0000-0000-0000203A0000}"/>
    <cellStyle name="Normal 56 3 4 2" xfId="6449" xr:uid="{00000000-0005-0000-0000-0000213A0000}"/>
    <cellStyle name="Normal 56 3 4 2 2" xfId="12581" xr:uid="{00000000-0005-0000-0000-0000223A0000}"/>
    <cellStyle name="Normal 56 3 4 2 3" xfId="18810" xr:uid="{00000000-0005-0000-0000-0000233A0000}"/>
    <cellStyle name="Normal 56 3 4 3" xfId="12580" xr:uid="{00000000-0005-0000-0000-0000243A0000}"/>
    <cellStyle name="Normal 56 3 4 4" xfId="18809" xr:uid="{00000000-0005-0000-0000-0000253A0000}"/>
    <cellStyle name="Normal 56 3 5" xfId="6450" xr:uid="{00000000-0005-0000-0000-0000263A0000}"/>
    <cellStyle name="Normal 56 3 5 2" xfId="12582" xr:uid="{00000000-0005-0000-0000-0000273A0000}"/>
    <cellStyle name="Normal 56 3 5 3" xfId="18811" xr:uid="{00000000-0005-0000-0000-0000283A0000}"/>
    <cellStyle name="Normal 56 3 6" xfId="12571" xr:uid="{00000000-0005-0000-0000-0000293A0000}"/>
    <cellStyle name="Normal 56 3 7" xfId="18800" xr:uid="{00000000-0005-0000-0000-00002A3A0000}"/>
    <cellStyle name="Normal 56 4" xfId="6451" xr:uid="{00000000-0005-0000-0000-00002B3A0000}"/>
    <cellStyle name="Normal 56 4 2" xfId="6452" xr:uid="{00000000-0005-0000-0000-00002C3A0000}"/>
    <cellStyle name="Normal 56 4 2 2" xfId="6453" xr:uid="{00000000-0005-0000-0000-00002D3A0000}"/>
    <cellStyle name="Normal 56 4 2 2 2" xfId="12585" xr:uid="{00000000-0005-0000-0000-00002E3A0000}"/>
    <cellStyle name="Normal 56 4 2 2 3" xfId="18814" xr:uid="{00000000-0005-0000-0000-00002F3A0000}"/>
    <cellStyle name="Normal 56 4 2 3" xfId="12584" xr:uid="{00000000-0005-0000-0000-0000303A0000}"/>
    <cellStyle name="Normal 56 4 2 4" xfId="18813" xr:uid="{00000000-0005-0000-0000-0000313A0000}"/>
    <cellStyle name="Normal 56 4 3" xfId="6454" xr:uid="{00000000-0005-0000-0000-0000323A0000}"/>
    <cellStyle name="Normal 56 4 3 2" xfId="6455" xr:uid="{00000000-0005-0000-0000-0000333A0000}"/>
    <cellStyle name="Normal 56 4 3 2 2" xfId="12587" xr:uid="{00000000-0005-0000-0000-0000343A0000}"/>
    <cellStyle name="Normal 56 4 3 2 3" xfId="18816" xr:uid="{00000000-0005-0000-0000-0000353A0000}"/>
    <cellStyle name="Normal 56 4 3 3" xfId="12586" xr:uid="{00000000-0005-0000-0000-0000363A0000}"/>
    <cellStyle name="Normal 56 4 3 4" xfId="18815" xr:uid="{00000000-0005-0000-0000-0000373A0000}"/>
    <cellStyle name="Normal 56 4 4" xfId="6456" xr:uid="{00000000-0005-0000-0000-0000383A0000}"/>
    <cellStyle name="Normal 56 4 4 2" xfId="12588" xr:uid="{00000000-0005-0000-0000-0000393A0000}"/>
    <cellStyle name="Normal 56 4 4 3" xfId="18817" xr:uid="{00000000-0005-0000-0000-00003A3A0000}"/>
    <cellStyle name="Normal 56 4 5" xfId="12583" xr:uid="{00000000-0005-0000-0000-00003B3A0000}"/>
    <cellStyle name="Normal 56 4 6" xfId="18812" xr:uid="{00000000-0005-0000-0000-00003C3A0000}"/>
    <cellStyle name="Normal 56 5" xfId="6457" xr:uid="{00000000-0005-0000-0000-00003D3A0000}"/>
    <cellStyle name="Normal 56 5 2" xfId="6458" xr:uid="{00000000-0005-0000-0000-00003E3A0000}"/>
    <cellStyle name="Normal 56 5 2 2" xfId="12590" xr:uid="{00000000-0005-0000-0000-00003F3A0000}"/>
    <cellStyle name="Normal 56 5 2 3" xfId="18819" xr:uid="{00000000-0005-0000-0000-0000403A0000}"/>
    <cellStyle name="Normal 56 5 3" xfId="12589" xr:uid="{00000000-0005-0000-0000-0000413A0000}"/>
    <cellStyle name="Normal 56 5 4" xfId="18818" xr:uid="{00000000-0005-0000-0000-0000423A0000}"/>
    <cellStyle name="Normal 56 6" xfId="6459" xr:uid="{00000000-0005-0000-0000-0000433A0000}"/>
    <cellStyle name="Normal 56 6 2" xfId="6460" xr:uid="{00000000-0005-0000-0000-0000443A0000}"/>
    <cellStyle name="Normal 56 6 2 2" xfId="12592" xr:uid="{00000000-0005-0000-0000-0000453A0000}"/>
    <cellStyle name="Normal 56 6 2 3" xfId="18821" xr:uid="{00000000-0005-0000-0000-0000463A0000}"/>
    <cellStyle name="Normal 56 6 3" xfId="12591" xr:uid="{00000000-0005-0000-0000-0000473A0000}"/>
    <cellStyle name="Normal 56 6 4" xfId="18820" xr:uid="{00000000-0005-0000-0000-0000483A0000}"/>
    <cellStyle name="Normal 56 7" xfId="6461" xr:uid="{00000000-0005-0000-0000-0000493A0000}"/>
    <cellStyle name="Normal 56 7 2" xfId="12593" xr:uid="{00000000-0005-0000-0000-00004A3A0000}"/>
    <cellStyle name="Normal 56 7 3" xfId="18822" xr:uid="{00000000-0005-0000-0000-00004B3A0000}"/>
    <cellStyle name="Normal 56 8" xfId="6462" xr:uid="{00000000-0005-0000-0000-00004C3A0000}"/>
    <cellStyle name="Normal 56 8 2" xfId="18823" xr:uid="{00000000-0005-0000-0000-00004D3A0000}"/>
    <cellStyle name="Normal 56 9" xfId="12546" xr:uid="{00000000-0005-0000-0000-00004E3A0000}"/>
    <cellStyle name="Normal 57" xfId="6463" xr:uid="{00000000-0005-0000-0000-00004F3A0000}"/>
    <cellStyle name="Normal 57 10" xfId="18824" xr:uid="{00000000-0005-0000-0000-0000503A0000}"/>
    <cellStyle name="Normal 57 2" xfId="6464" xr:uid="{00000000-0005-0000-0000-0000513A0000}"/>
    <cellStyle name="Normal 57 2 2" xfId="6465" xr:uid="{00000000-0005-0000-0000-0000523A0000}"/>
    <cellStyle name="Normal 57 2 2 2" xfId="6466" xr:uid="{00000000-0005-0000-0000-0000533A0000}"/>
    <cellStyle name="Normal 57 2 2 2 2" xfId="6467" xr:uid="{00000000-0005-0000-0000-0000543A0000}"/>
    <cellStyle name="Normal 57 2 2 2 2 2" xfId="6468" xr:uid="{00000000-0005-0000-0000-0000553A0000}"/>
    <cellStyle name="Normal 57 2 2 2 2 2 2" xfId="12599" xr:uid="{00000000-0005-0000-0000-0000563A0000}"/>
    <cellStyle name="Normal 57 2 2 2 2 2 3" xfId="18829" xr:uid="{00000000-0005-0000-0000-0000573A0000}"/>
    <cellStyle name="Normal 57 2 2 2 2 3" xfId="12598" xr:uid="{00000000-0005-0000-0000-0000583A0000}"/>
    <cellStyle name="Normal 57 2 2 2 2 4" xfId="18828" xr:uid="{00000000-0005-0000-0000-0000593A0000}"/>
    <cellStyle name="Normal 57 2 2 2 3" xfId="6469" xr:uid="{00000000-0005-0000-0000-00005A3A0000}"/>
    <cellStyle name="Normal 57 2 2 2 3 2" xfId="6470" xr:uid="{00000000-0005-0000-0000-00005B3A0000}"/>
    <cellStyle name="Normal 57 2 2 2 3 2 2" xfId="12601" xr:uid="{00000000-0005-0000-0000-00005C3A0000}"/>
    <cellStyle name="Normal 57 2 2 2 3 2 3" xfId="18831" xr:uid="{00000000-0005-0000-0000-00005D3A0000}"/>
    <cellStyle name="Normal 57 2 2 2 3 3" xfId="12600" xr:uid="{00000000-0005-0000-0000-00005E3A0000}"/>
    <cellStyle name="Normal 57 2 2 2 3 4" xfId="18830" xr:uid="{00000000-0005-0000-0000-00005F3A0000}"/>
    <cellStyle name="Normal 57 2 2 2 4" xfId="6471" xr:uid="{00000000-0005-0000-0000-0000603A0000}"/>
    <cellStyle name="Normal 57 2 2 2 4 2" xfId="12602" xr:uid="{00000000-0005-0000-0000-0000613A0000}"/>
    <cellStyle name="Normal 57 2 2 2 4 3" xfId="18832" xr:uid="{00000000-0005-0000-0000-0000623A0000}"/>
    <cellStyle name="Normal 57 2 2 2 5" xfId="12597" xr:uid="{00000000-0005-0000-0000-0000633A0000}"/>
    <cellStyle name="Normal 57 2 2 2 6" xfId="18827" xr:uid="{00000000-0005-0000-0000-0000643A0000}"/>
    <cellStyle name="Normal 57 2 2 3" xfId="6472" xr:uid="{00000000-0005-0000-0000-0000653A0000}"/>
    <cellStyle name="Normal 57 2 2 3 2" xfId="6473" xr:uid="{00000000-0005-0000-0000-0000663A0000}"/>
    <cellStyle name="Normal 57 2 2 3 2 2" xfId="12604" xr:uid="{00000000-0005-0000-0000-0000673A0000}"/>
    <cellStyle name="Normal 57 2 2 3 2 3" xfId="18834" xr:uid="{00000000-0005-0000-0000-0000683A0000}"/>
    <cellStyle name="Normal 57 2 2 3 3" xfId="12603" xr:uid="{00000000-0005-0000-0000-0000693A0000}"/>
    <cellStyle name="Normal 57 2 2 3 4" xfId="18833" xr:uid="{00000000-0005-0000-0000-00006A3A0000}"/>
    <cellStyle name="Normal 57 2 2 4" xfId="6474" xr:uid="{00000000-0005-0000-0000-00006B3A0000}"/>
    <cellStyle name="Normal 57 2 2 4 2" xfId="6475" xr:uid="{00000000-0005-0000-0000-00006C3A0000}"/>
    <cellStyle name="Normal 57 2 2 4 2 2" xfId="12606" xr:uid="{00000000-0005-0000-0000-00006D3A0000}"/>
    <cellStyle name="Normal 57 2 2 4 2 3" xfId="18836" xr:uid="{00000000-0005-0000-0000-00006E3A0000}"/>
    <cellStyle name="Normal 57 2 2 4 3" xfId="12605" xr:uid="{00000000-0005-0000-0000-00006F3A0000}"/>
    <cellStyle name="Normal 57 2 2 4 4" xfId="18835" xr:uid="{00000000-0005-0000-0000-0000703A0000}"/>
    <cellStyle name="Normal 57 2 2 5" xfId="6476" xr:uid="{00000000-0005-0000-0000-0000713A0000}"/>
    <cellStyle name="Normal 57 2 2 5 2" xfId="12607" xr:uid="{00000000-0005-0000-0000-0000723A0000}"/>
    <cellStyle name="Normal 57 2 2 5 3" xfId="18837" xr:uid="{00000000-0005-0000-0000-0000733A0000}"/>
    <cellStyle name="Normal 57 2 2 6" xfId="12596" xr:uid="{00000000-0005-0000-0000-0000743A0000}"/>
    <cellStyle name="Normal 57 2 2 7" xfId="18826" xr:uid="{00000000-0005-0000-0000-0000753A0000}"/>
    <cellStyle name="Normal 57 2 3" xfId="6477" xr:uid="{00000000-0005-0000-0000-0000763A0000}"/>
    <cellStyle name="Normal 57 2 3 2" xfId="6478" xr:uid="{00000000-0005-0000-0000-0000773A0000}"/>
    <cellStyle name="Normal 57 2 3 2 2" xfId="6479" xr:uid="{00000000-0005-0000-0000-0000783A0000}"/>
    <cellStyle name="Normal 57 2 3 2 2 2" xfId="12610" xr:uid="{00000000-0005-0000-0000-0000793A0000}"/>
    <cellStyle name="Normal 57 2 3 2 2 3" xfId="18840" xr:uid="{00000000-0005-0000-0000-00007A3A0000}"/>
    <cellStyle name="Normal 57 2 3 2 3" xfId="12609" xr:uid="{00000000-0005-0000-0000-00007B3A0000}"/>
    <cellStyle name="Normal 57 2 3 2 4" xfId="18839" xr:uid="{00000000-0005-0000-0000-00007C3A0000}"/>
    <cellStyle name="Normal 57 2 3 3" xfId="6480" xr:uid="{00000000-0005-0000-0000-00007D3A0000}"/>
    <cellStyle name="Normal 57 2 3 3 2" xfId="6481" xr:uid="{00000000-0005-0000-0000-00007E3A0000}"/>
    <cellStyle name="Normal 57 2 3 3 2 2" xfId="12612" xr:uid="{00000000-0005-0000-0000-00007F3A0000}"/>
    <cellStyle name="Normal 57 2 3 3 2 3" xfId="18842" xr:uid="{00000000-0005-0000-0000-0000803A0000}"/>
    <cellStyle name="Normal 57 2 3 3 3" xfId="12611" xr:uid="{00000000-0005-0000-0000-0000813A0000}"/>
    <cellStyle name="Normal 57 2 3 3 4" xfId="18841" xr:uid="{00000000-0005-0000-0000-0000823A0000}"/>
    <cellStyle name="Normal 57 2 3 4" xfId="6482" xr:uid="{00000000-0005-0000-0000-0000833A0000}"/>
    <cellStyle name="Normal 57 2 3 4 2" xfId="12613" xr:uid="{00000000-0005-0000-0000-0000843A0000}"/>
    <cellStyle name="Normal 57 2 3 4 3" xfId="18843" xr:uid="{00000000-0005-0000-0000-0000853A0000}"/>
    <cellStyle name="Normal 57 2 3 5" xfId="12608" xr:uid="{00000000-0005-0000-0000-0000863A0000}"/>
    <cellStyle name="Normal 57 2 3 6" xfId="18838" xr:uid="{00000000-0005-0000-0000-0000873A0000}"/>
    <cellStyle name="Normal 57 2 4" xfId="6483" xr:uid="{00000000-0005-0000-0000-0000883A0000}"/>
    <cellStyle name="Normal 57 2 4 2" xfId="6484" xr:uid="{00000000-0005-0000-0000-0000893A0000}"/>
    <cellStyle name="Normal 57 2 4 2 2" xfId="12615" xr:uid="{00000000-0005-0000-0000-00008A3A0000}"/>
    <cellStyle name="Normal 57 2 4 2 3" xfId="18845" xr:uid="{00000000-0005-0000-0000-00008B3A0000}"/>
    <cellStyle name="Normal 57 2 4 3" xfId="12614" xr:uid="{00000000-0005-0000-0000-00008C3A0000}"/>
    <cellStyle name="Normal 57 2 4 4" xfId="18844" xr:uid="{00000000-0005-0000-0000-00008D3A0000}"/>
    <cellStyle name="Normal 57 2 5" xfId="6485" xr:uid="{00000000-0005-0000-0000-00008E3A0000}"/>
    <cellStyle name="Normal 57 2 5 2" xfId="6486" xr:uid="{00000000-0005-0000-0000-00008F3A0000}"/>
    <cellStyle name="Normal 57 2 5 2 2" xfId="12617" xr:uid="{00000000-0005-0000-0000-0000903A0000}"/>
    <cellStyle name="Normal 57 2 5 2 3" xfId="18847" xr:uid="{00000000-0005-0000-0000-0000913A0000}"/>
    <cellStyle name="Normal 57 2 5 3" xfId="12616" xr:uid="{00000000-0005-0000-0000-0000923A0000}"/>
    <cellStyle name="Normal 57 2 5 4" xfId="18846" xr:uid="{00000000-0005-0000-0000-0000933A0000}"/>
    <cellStyle name="Normal 57 2 6" xfId="6487" xr:uid="{00000000-0005-0000-0000-0000943A0000}"/>
    <cellStyle name="Normal 57 2 6 2" xfId="12618" xr:uid="{00000000-0005-0000-0000-0000953A0000}"/>
    <cellStyle name="Normal 57 2 6 3" xfId="18848" xr:uid="{00000000-0005-0000-0000-0000963A0000}"/>
    <cellStyle name="Normal 57 2 7" xfId="12595" xr:uid="{00000000-0005-0000-0000-0000973A0000}"/>
    <cellStyle name="Normal 57 2 8" xfId="18825" xr:uid="{00000000-0005-0000-0000-0000983A0000}"/>
    <cellStyle name="Normal 57 3" xfId="6488" xr:uid="{00000000-0005-0000-0000-0000993A0000}"/>
    <cellStyle name="Normal 57 3 2" xfId="6489" xr:uid="{00000000-0005-0000-0000-00009A3A0000}"/>
    <cellStyle name="Normal 57 3 2 2" xfId="6490" xr:uid="{00000000-0005-0000-0000-00009B3A0000}"/>
    <cellStyle name="Normal 57 3 2 2 2" xfId="6491" xr:uid="{00000000-0005-0000-0000-00009C3A0000}"/>
    <cellStyle name="Normal 57 3 2 2 2 2" xfId="12622" xr:uid="{00000000-0005-0000-0000-00009D3A0000}"/>
    <cellStyle name="Normal 57 3 2 2 2 3" xfId="18852" xr:uid="{00000000-0005-0000-0000-00009E3A0000}"/>
    <cellStyle name="Normal 57 3 2 2 3" xfId="12621" xr:uid="{00000000-0005-0000-0000-00009F3A0000}"/>
    <cellStyle name="Normal 57 3 2 2 4" xfId="18851" xr:uid="{00000000-0005-0000-0000-0000A03A0000}"/>
    <cellStyle name="Normal 57 3 2 3" xfId="6492" xr:uid="{00000000-0005-0000-0000-0000A13A0000}"/>
    <cellStyle name="Normal 57 3 2 3 2" xfId="6493" xr:uid="{00000000-0005-0000-0000-0000A23A0000}"/>
    <cellStyle name="Normal 57 3 2 3 2 2" xfId="12624" xr:uid="{00000000-0005-0000-0000-0000A33A0000}"/>
    <cellStyle name="Normal 57 3 2 3 2 3" xfId="18854" xr:uid="{00000000-0005-0000-0000-0000A43A0000}"/>
    <cellStyle name="Normal 57 3 2 3 3" xfId="12623" xr:uid="{00000000-0005-0000-0000-0000A53A0000}"/>
    <cellStyle name="Normal 57 3 2 3 4" xfId="18853" xr:uid="{00000000-0005-0000-0000-0000A63A0000}"/>
    <cellStyle name="Normal 57 3 2 4" xfId="6494" xr:uid="{00000000-0005-0000-0000-0000A73A0000}"/>
    <cellStyle name="Normal 57 3 2 4 2" xfId="12625" xr:uid="{00000000-0005-0000-0000-0000A83A0000}"/>
    <cellStyle name="Normal 57 3 2 4 3" xfId="18855" xr:uid="{00000000-0005-0000-0000-0000A93A0000}"/>
    <cellStyle name="Normal 57 3 2 5" xfId="12620" xr:uid="{00000000-0005-0000-0000-0000AA3A0000}"/>
    <cellStyle name="Normal 57 3 2 6" xfId="18850" xr:uid="{00000000-0005-0000-0000-0000AB3A0000}"/>
    <cellStyle name="Normal 57 3 3" xfId="6495" xr:uid="{00000000-0005-0000-0000-0000AC3A0000}"/>
    <cellStyle name="Normal 57 3 3 2" xfId="6496" xr:uid="{00000000-0005-0000-0000-0000AD3A0000}"/>
    <cellStyle name="Normal 57 3 3 2 2" xfId="12627" xr:uid="{00000000-0005-0000-0000-0000AE3A0000}"/>
    <cellStyle name="Normal 57 3 3 2 3" xfId="18857" xr:uid="{00000000-0005-0000-0000-0000AF3A0000}"/>
    <cellStyle name="Normal 57 3 3 3" xfId="12626" xr:uid="{00000000-0005-0000-0000-0000B03A0000}"/>
    <cellStyle name="Normal 57 3 3 4" xfId="18856" xr:uid="{00000000-0005-0000-0000-0000B13A0000}"/>
    <cellStyle name="Normal 57 3 4" xfId="6497" xr:uid="{00000000-0005-0000-0000-0000B23A0000}"/>
    <cellStyle name="Normal 57 3 4 2" xfId="6498" xr:uid="{00000000-0005-0000-0000-0000B33A0000}"/>
    <cellStyle name="Normal 57 3 4 2 2" xfId="12629" xr:uid="{00000000-0005-0000-0000-0000B43A0000}"/>
    <cellStyle name="Normal 57 3 4 2 3" xfId="18859" xr:uid="{00000000-0005-0000-0000-0000B53A0000}"/>
    <cellStyle name="Normal 57 3 4 3" xfId="12628" xr:uid="{00000000-0005-0000-0000-0000B63A0000}"/>
    <cellStyle name="Normal 57 3 4 4" xfId="18858" xr:uid="{00000000-0005-0000-0000-0000B73A0000}"/>
    <cellStyle name="Normal 57 3 5" xfId="6499" xr:uid="{00000000-0005-0000-0000-0000B83A0000}"/>
    <cellStyle name="Normal 57 3 5 2" xfId="12630" xr:uid="{00000000-0005-0000-0000-0000B93A0000}"/>
    <cellStyle name="Normal 57 3 5 3" xfId="18860" xr:uid="{00000000-0005-0000-0000-0000BA3A0000}"/>
    <cellStyle name="Normal 57 3 6" xfId="12619" xr:uid="{00000000-0005-0000-0000-0000BB3A0000}"/>
    <cellStyle name="Normal 57 3 7" xfId="18849" xr:uid="{00000000-0005-0000-0000-0000BC3A0000}"/>
    <cellStyle name="Normal 57 4" xfId="6500" xr:uid="{00000000-0005-0000-0000-0000BD3A0000}"/>
    <cellStyle name="Normal 57 4 2" xfId="6501" xr:uid="{00000000-0005-0000-0000-0000BE3A0000}"/>
    <cellStyle name="Normal 57 4 2 2" xfId="6502" xr:uid="{00000000-0005-0000-0000-0000BF3A0000}"/>
    <cellStyle name="Normal 57 4 2 2 2" xfId="12633" xr:uid="{00000000-0005-0000-0000-0000C03A0000}"/>
    <cellStyle name="Normal 57 4 2 2 3" xfId="18863" xr:uid="{00000000-0005-0000-0000-0000C13A0000}"/>
    <cellStyle name="Normal 57 4 2 3" xfId="12632" xr:uid="{00000000-0005-0000-0000-0000C23A0000}"/>
    <cellStyle name="Normal 57 4 2 4" xfId="18862" xr:uid="{00000000-0005-0000-0000-0000C33A0000}"/>
    <cellStyle name="Normal 57 4 3" xfId="6503" xr:uid="{00000000-0005-0000-0000-0000C43A0000}"/>
    <cellStyle name="Normal 57 4 3 2" xfId="6504" xr:uid="{00000000-0005-0000-0000-0000C53A0000}"/>
    <cellStyle name="Normal 57 4 3 2 2" xfId="12635" xr:uid="{00000000-0005-0000-0000-0000C63A0000}"/>
    <cellStyle name="Normal 57 4 3 2 3" xfId="18865" xr:uid="{00000000-0005-0000-0000-0000C73A0000}"/>
    <cellStyle name="Normal 57 4 3 3" xfId="12634" xr:uid="{00000000-0005-0000-0000-0000C83A0000}"/>
    <cellStyle name="Normal 57 4 3 4" xfId="18864" xr:uid="{00000000-0005-0000-0000-0000C93A0000}"/>
    <cellStyle name="Normal 57 4 4" xfId="6505" xr:uid="{00000000-0005-0000-0000-0000CA3A0000}"/>
    <cellStyle name="Normal 57 4 4 2" xfId="12636" xr:uid="{00000000-0005-0000-0000-0000CB3A0000}"/>
    <cellStyle name="Normal 57 4 4 3" xfId="18866" xr:uid="{00000000-0005-0000-0000-0000CC3A0000}"/>
    <cellStyle name="Normal 57 4 5" xfId="12631" xr:uid="{00000000-0005-0000-0000-0000CD3A0000}"/>
    <cellStyle name="Normal 57 4 6" xfId="18861" xr:uid="{00000000-0005-0000-0000-0000CE3A0000}"/>
    <cellStyle name="Normal 57 5" xfId="6506" xr:uid="{00000000-0005-0000-0000-0000CF3A0000}"/>
    <cellStyle name="Normal 57 5 2" xfId="6507" xr:uid="{00000000-0005-0000-0000-0000D03A0000}"/>
    <cellStyle name="Normal 57 5 2 2" xfId="12638" xr:uid="{00000000-0005-0000-0000-0000D13A0000}"/>
    <cellStyle name="Normal 57 5 2 3" xfId="18868" xr:uid="{00000000-0005-0000-0000-0000D23A0000}"/>
    <cellStyle name="Normal 57 5 3" xfId="12637" xr:uid="{00000000-0005-0000-0000-0000D33A0000}"/>
    <cellStyle name="Normal 57 5 4" xfId="18867" xr:uid="{00000000-0005-0000-0000-0000D43A0000}"/>
    <cellStyle name="Normal 57 6" xfId="6508" xr:uid="{00000000-0005-0000-0000-0000D53A0000}"/>
    <cellStyle name="Normal 57 6 2" xfId="6509" xr:uid="{00000000-0005-0000-0000-0000D63A0000}"/>
    <cellStyle name="Normal 57 6 2 2" xfId="12640" xr:uid="{00000000-0005-0000-0000-0000D73A0000}"/>
    <cellStyle name="Normal 57 6 2 3" xfId="18870" xr:uid="{00000000-0005-0000-0000-0000D83A0000}"/>
    <cellStyle name="Normal 57 6 3" xfId="12639" xr:uid="{00000000-0005-0000-0000-0000D93A0000}"/>
    <cellStyle name="Normal 57 6 4" xfId="18869" xr:uid="{00000000-0005-0000-0000-0000DA3A0000}"/>
    <cellStyle name="Normal 57 7" xfId="6510" xr:uid="{00000000-0005-0000-0000-0000DB3A0000}"/>
    <cellStyle name="Normal 57 7 2" xfId="12641" xr:uid="{00000000-0005-0000-0000-0000DC3A0000}"/>
    <cellStyle name="Normal 57 7 3" xfId="18871" xr:uid="{00000000-0005-0000-0000-0000DD3A0000}"/>
    <cellStyle name="Normal 57 8" xfId="6511" xr:uid="{00000000-0005-0000-0000-0000DE3A0000}"/>
    <cellStyle name="Normal 57 8 2" xfId="18872" xr:uid="{00000000-0005-0000-0000-0000DF3A0000}"/>
    <cellStyle name="Normal 57 9" xfId="12594" xr:uid="{00000000-0005-0000-0000-0000E03A0000}"/>
    <cellStyle name="Normal 58" xfId="6512" xr:uid="{00000000-0005-0000-0000-0000E13A0000}"/>
    <cellStyle name="Normal 58 10" xfId="18873" xr:uid="{00000000-0005-0000-0000-0000E23A0000}"/>
    <cellStyle name="Normal 58 2" xfId="6513" xr:uid="{00000000-0005-0000-0000-0000E33A0000}"/>
    <cellStyle name="Normal 58 2 2" xfId="6514" xr:uid="{00000000-0005-0000-0000-0000E43A0000}"/>
    <cellStyle name="Normal 58 2 2 2" xfId="6515" xr:uid="{00000000-0005-0000-0000-0000E53A0000}"/>
    <cellStyle name="Normal 58 2 2 2 2" xfId="6516" xr:uid="{00000000-0005-0000-0000-0000E63A0000}"/>
    <cellStyle name="Normal 58 2 2 2 2 2" xfId="6517" xr:uid="{00000000-0005-0000-0000-0000E73A0000}"/>
    <cellStyle name="Normal 58 2 2 2 2 2 2" xfId="12647" xr:uid="{00000000-0005-0000-0000-0000E83A0000}"/>
    <cellStyle name="Normal 58 2 2 2 2 2 3" xfId="18878" xr:uid="{00000000-0005-0000-0000-0000E93A0000}"/>
    <cellStyle name="Normal 58 2 2 2 2 3" xfId="12646" xr:uid="{00000000-0005-0000-0000-0000EA3A0000}"/>
    <cellStyle name="Normal 58 2 2 2 2 4" xfId="18877" xr:uid="{00000000-0005-0000-0000-0000EB3A0000}"/>
    <cellStyle name="Normal 58 2 2 2 3" xfId="6518" xr:uid="{00000000-0005-0000-0000-0000EC3A0000}"/>
    <cellStyle name="Normal 58 2 2 2 3 2" xfId="6519" xr:uid="{00000000-0005-0000-0000-0000ED3A0000}"/>
    <cellStyle name="Normal 58 2 2 2 3 2 2" xfId="12649" xr:uid="{00000000-0005-0000-0000-0000EE3A0000}"/>
    <cellStyle name="Normal 58 2 2 2 3 2 3" xfId="18880" xr:uid="{00000000-0005-0000-0000-0000EF3A0000}"/>
    <cellStyle name="Normal 58 2 2 2 3 3" xfId="12648" xr:uid="{00000000-0005-0000-0000-0000F03A0000}"/>
    <cellStyle name="Normal 58 2 2 2 3 4" xfId="18879" xr:uid="{00000000-0005-0000-0000-0000F13A0000}"/>
    <cellStyle name="Normal 58 2 2 2 4" xfId="6520" xr:uid="{00000000-0005-0000-0000-0000F23A0000}"/>
    <cellStyle name="Normal 58 2 2 2 4 2" xfId="12650" xr:uid="{00000000-0005-0000-0000-0000F33A0000}"/>
    <cellStyle name="Normal 58 2 2 2 4 3" xfId="18881" xr:uid="{00000000-0005-0000-0000-0000F43A0000}"/>
    <cellStyle name="Normal 58 2 2 2 5" xfId="12645" xr:uid="{00000000-0005-0000-0000-0000F53A0000}"/>
    <cellStyle name="Normal 58 2 2 2 6" xfId="18876" xr:uid="{00000000-0005-0000-0000-0000F63A0000}"/>
    <cellStyle name="Normal 58 2 2 3" xfId="6521" xr:uid="{00000000-0005-0000-0000-0000F73A0000}"/>
    <cellStyle name="Normal 58 2 2 3 2" xfId="6522" xr:uid="{00000000-0005-0000-0000-0000F83A0000}"/>
    <cellStyle name="Normal 58 2 2 3 2 2" xfId="12652" xr:uid="{00000000-0005-0000-0000-0000F93A0000}"/>
    <cellStyle name="Normal 58 2 2 3 2 3" xfId="18883" xr:uid="{00000000-0005-0000-0000-0000FA3A0000}"/>
    <cellStyle name="Normal 58 2 2 3 3" xfId="12651" xr:uid="{00000000-0005-0000-0000-0000FB3A0000}"/>
    <cellStyle name="Normal 58 2 2 3 4" xfId="18882" xr:uid="{00000000-0005-0000-0000-0000FC3A0000}"/>
    <cellStyle name="Normal 58 2 2 4" xfId="6523" xr:uid="{00000000-0005-0000-0000-0000FD3A0000}"/>
    <cellStyle name="Normal 58 2 2 4 2" xfId="6524" xr:uid="{00000000-0005-0000-0000-0000FE3A0000}"/>
    <cellStyle name="Normal 58 2 2 4 2 2" xfId="12654" xr:uid="{00000000-0005-0000-0000-0000FF3A0000}"/>
    <cellStyle name="Normal 58 2 2 4 2 3" xfId="18885" xr:uid="{00000000-0005-0000-0000-0000003B0000}"/>
    <cellStyle name="Normal 58 2 2 4 3" xfId="12653" xr:uid="{00000000-0005-0000-0000-0000013B0000}"/>
    <cellStyle name="Normal 58 2 2 4 4" xfId="18884" xr:uid="{00000000-0005-0000-0000-0000023B0000}"/>
    <cellStyle name="Normal 58 2 2 5" xfId="6525" xr:uid="{00000000-0005-0000-0000-0000033B0000}"/>
    <cellStyle name="Normal 58 2 2 5 2" xfId="12655" xr:uid="{00000000-0005-0000-0000-0000043B0000}"/>
    <cellStyle name="Normal 58 2 2 5 3" xfId="18886" xr:uid="{00000000-0005-0000-0000-0000053B0000}"/>
    <cellStyle name="Normal 58 2 2 6" xfId="12644" xr:uid="{00000000-0005-0000-0000-0000063B0000}"/>
    <cellStyle name="Normal 58 2 2 7" xfId="18875" xr:uid="{00000000-0005-0000-0000-0000073B0000}"/>
    <cellStyle name="Normal 58 2 3" xfId="6526" xr:uid="{00000000-0005-0000-0000-0000083B0000}"/>
    <cellStyle name="Normal 58 2 3 2" xfId="6527" xr:uid="{00000000-0005-0000-0000-0000093B0000}"/>
    <cellStyle name="Normal 58 2 3 2 2" xfId="6528" xr:uid="{00000000-0005-0000-0000-00000A3B0000}"/>
    <cellStyle name="Normal 58 2 3 2 2 2" xfId="12658" xr:uid="{00000000-0005-0000-0000-00000B3B0000}"/>
    <cellStyle name="Normal 58 2 3 2 2 3" xfId="18889" xr:uid="{00000000-0005-0000-0000-00000C3B0000}"/>
    <cellStyle name="Normal 58 2 3 2 3" xfId="12657" xr:uid="{00000000-0005-0000-0000-00000D3B0000}"/>
    <cellStyle name="Normal 58 2 3 2 4" xfId="18888" xr:uid="{00000000-0005-0000-0000-00000E3B0000}"/>
    <cellStyle name="Normal 58 2 3 3" xfId="6529" xr:uid="{00000000-0005-0000-0000-00000F3B0000}"/>
    <cellStyle name="Normal 58 2 3 3 2" xfId="6530" xr:uid="{00000000-0005-0000-0000-0000103B0000}"/>
    <cellStyle name="Normal 58 2 3 3 2 2" xfId="12660" xr:uid="{00000000-0005-0000-0000-0000113B0000}"/>
    <cellStyle name="Normal 58 2 3 3 2 3" xfId="18891" xr:uid="{00000000-0005-0000-0000-0000123B0000}"/>
    <cellStyle name="Normal 58 2 3 3 3" xfId="12659" xr:uid="{00000000-0005-0000-0000-0000133B0000}"/>
    <cellStyle name="Normal 58 2 3 3 4" xfId="18890" xr:uid="{00000000-0005-0000-0000-0000143B0000}"/>
    <cellStyle name="Normal 58 2 3 4" xfId="6531" xr:uid="{00000000-0005-0000-0000-0000153B0000}"/>
    <cellStyle name="Normal 58 2 3 4 2" xfId="12661" xr:uid="{00000000-0005-0000-0000-0000163B0000}"/>
    <cellStyle name="Normal 58 2 3 4 3" xfId="18892" xr:uid="{00000000-0005-0000-0000-0000173B0000}"/>
    <cellStyle name="Normal 58 2 3 5" xfId="12656" xr:uid="{00000000-0005-0000-0000-0000183B0000}"/>
    <cellStyle name="Normal 58 2 3 6" xfId="18887" xr:uid="{00000000-0005-0000-0000-0000193B0000}"/>
    <cellStyle name="Normal 58 2 4" xfId="6532" xr:uid="{00000000-0005-0000-0000-00001A3B0000}"/>
    <cellStyle name="Normal 58 2 4 2" xfId="6533" xr:uid="{00000000-0005-0000-0000-00001B3B0000}"/>
    <cellStyle name="Normal 58 2 4 2 2" xfId="12663" xr:uid="{00000000-0005-0000-0000-00001C3B0000}"/>
    <cellStyle name="Normal 58 2 4 2 3" xfId="18894" xr:uid="{00000000-0005-0000-0000-00001D3B0000}"/>
    <cellStyle name="Normal 58 2 4 3" xfId="12662" xr:uid="{00000000-0005-0000-0000-00001E3B0000}"/>
    <cellStyle name="Normal 58 2 4 4" xfId="18893" xr:uid="{00000000-0005-0000-0000-00001F3B0000}"/>
    <cellStyle name="Normal 58 2 5" xfId="6534" xr:uid="{00000000-0005-0000-0000-0000203B0000}"/>
    <cellStyle name="Normal 58 2 5 2" xfId="6535" xr:uid="{00000000-0005-0000-0000-0000213B0000}"/>
    <cellStyle name="Normal 58 2 5 2 2" xfId="12665" xr:uid="{00000000-0005-0000-0000-0000223B0000}"/>
    <cellStyle name="Normal 58 2 5 2 3" xfId="18896" xr:uid="{00000000-0005-0000-0000-0000233B0000}"/>
    <cellStyle name="Normal 58 2 5 3" xfId="12664" xr:uid="{00000000-0005-0000-0000-0000243B0000}"/>
    <cellStyle name="Normal 58 2 5 4" xfId="18895" xr:uid="{00000000-0005-0000-0000-0000253B0000}"/>
    <cellStyle name="Normal 58 2 6" xfId="6536" xr:uid="{00000000-0005-0000-0000-0000263B0000}"/>
    <cellStyle name="Normal 58 2 6 2" xfId="12666" xr:uid="{00000000-0005-0000-0000-0000273B0000}"/>
    <cellStyle name="Normal 58 2 6 3" xfId="18897" xr:uid="{00000000-0005-0000-0000-0000283B0000}"/>
    <cellStyle name="Normal 58 2 7" xfId="12643" xr:uid="{00000000-0005-0000-0000-0000293B0000}"/>
    <cellStyle name="Normal 58 2 8" xfId="18874" xr:uid="{00000000-0005-0000-0000-00002A3B0000}"/>
    <cellStyle name="Normal 58 3" xfId="6537" xr:uid="{00000000-0005-0000-0000-00002B3B0000}"/>
    <cellStyle name="Normal 58 3 2" xfId="6538" xr:uid="{00000000-0005-0000-0000-00002C3B0000}"/>
    <cellStyle name="Normal 58 3 2 2" xfId="6539" xr:uid="{00000000-0005-0000-0000-00002D3B0000}"/>
    <cellStyle name="Normal 58 3 2 2 2" xfId="6540" xr:uid="{00000000-0005-0000-0000-00002E3B0000}"/>
    <cellStyle name="Normal 58 3 2 2 2 2" xfId="12670" xr:uid="{00000000-0005-0000-0000-00002F3B0000}"/>
    <cellStyle name="Normal 58 3 2 2 2 3" xfId="18901" xr:uid="{00000000-0005-0000-0000-0000303B0000}"/>
    <cellStyle name="Normal 58 3 2 2 3" xfId="12669" xr:uid="{00000000-0005-0000-0000-0000313B0000}"/>
    <cellStyle name="Normal 58 3 2 2 4" xfId="18900" xr:uid="{00000000-0005-0000-0000-0000323B0000}"/>
    <cellStyle name="Normal 58 3 2 3" xfId="6541" xr:uid="{00000000-0005-0000-0000-0000333B0000}"/>
    <cellStyle name="Normal 58 3 2 3 2" xfId="6542" xr:uid="{00000000-0005-0000-0000-0000343B0000}"/>
    <cellStyle name="Normal 58 3 2 3 2 2" xfId="12672" xr:uid="{00000000-0005-0000-0000-0000353B0000}"/>
    <cellStyle name="Normal 58 3 2 3 2 3" xfId="18903" xr:uid="{00000000-0005-0000-0000-0000363B0000}"/>
    <cellStyle name="Normal 58 3 2 3 3" xfId="12671" xr:uid="{00000000-0005-0000-0000-0000373B0000}"/>
    <cellStyle name="Normal 58 3 2 3 4" xfId="18902" xr:uid="{00000000-0005-0000-0000-0000383B0000}"/>
    <cellStyle name="Normal 58 3 2 4" xfId="6543" xr:uid="{00000000-0005-0000-0000-0000393B0000}"/>
    <cellStyle name="Normal 58 3 2 4 2" xfId="12673" xr:uid="{00000000-0005-0000-0000-00003A3B0000}"/>
    <cellStyle name="Normal 58 3 2 4 3" xfId="18904" xr:uid="{00000000-0005-0000-0000-00003B3B0000}"/>
    <cellStyle name="Normal 58 3 2 5" xfId="12668" xr:uid="{00000000-0005-0000-0000-00003C3B0000}"/>
    <cellStyle name="Normal 58 3 2 6" xfId="18899" xr:uid="{00000000-0005-0000-0000-00003D3B0000}"/>
    <cellStyle name="Normal 58 3 3" xfId="6544" xr:uid="{00000000-0005-0000-0000-00003E3B0000}"/>
    <cellStyle name="Normal 58 3 3 2" xfId="6545" xr:uid="{00000000-0005-0000-0000-00003F3B0000}"/>
    <cellStyle name="Normal 58 3 3 2 2" xfId="12675" xr:uid="{00000000-0005-0000-0000-0000403B0000}"/>
    <cellStyle name="Normal 58 3 3 2 3" xfId="18906" xr:uid="{00000000-0005-0000-0000-0000413B0000}"/>
    <cellStyle name="Normal 58 3 3 3" xfId="12674" xr:uid="{00000000-0005-0000-0000-0000423B0000}"/>
    <cellStyle name="Normal 58 3 3 4" xfId="18905" xr:uid="{00000000-0005-0000-0000-0000433B0000}"/>
    <cellStyle name="Normal 58 3 4" xfId="6546" xr:uid="{00000000-0005-0000-0000-0000443B0000}"/>
    <cellStyle name="Normal 58 3 4 2" xfId="6547" xr:uid="{00000000-0005-0000-0000-0000453B0000}"/>
    <cellStyle name="Normal 58 3 4 2 2" xfId="12677" xr:uid="{00000000-0005-0000-0000-0000463B0000}"/>
    <cellStyle name="Normal 58 3 4 2 3" xfId="18908" xr:uid="{00000000-0005-0000-0000-0000473B0000}"/>
    <cellStyle name="Normal 58 3 4 3" xfId="12676" xr:uid="{00000000-0005-0000-0000-0000483B0000}"/>
    <cellStyle name="Normal 58 3 4 4" xfId="18907" xr:uid="{00000000-0005-0000-0000-0000493B0000}"/>
    <cellStyle name="Normal 58 3 5" xfId="6548" xr:uid="{00000000-0005-0000-0000-00004A3B0000}"/>
    <cellStyle name="Normal 58 3 5 2" xfId="12678" xr:uid="{00000000-0005-0000-0000-00004B3B0000}"/>
    <cellStyle name="Normal 58 3 5 3" xfId="18909" xr:uid="{00000000-0005-0000-0000-00004C3B0000}"/>
    <cellStyle name="Normal 58 3 6" xfId="12667" xr:uid="{00000000-0005-0000-0000-00004D3B0000}"/>
    <cellStyle name="Normal 58 3 7" xfId="18898" xr:uid="{00000000-0005-0000-0000-00004E3B0000}"/>
    <cellStyle name="Normal 58 4" xfId="6549" xr:uid="{00000000-0005-0000-0000-00004F3B0000}"/>
    <cellStyle name="Normal 58 4 2" xfId="6550" xr:uid="{00000000-0005-0000-0000-0000503B0000}"/>
    <cellStyle name="Normal 58 4 2 2" xfId="6551" xr:uid="{00000000-0005-0000-0000-0000513B0000}"/>
    <cellStyle name="Normal 58 4 2 2 2" xfId="12681" xr:uid="{00000000-0005-0000-0000-0000523B0000}"/>
    <cellStyle name="Normal 58 4 2 2 3" xfId="18912" xr:uid="{00000000-0005-0000-0000-0000533B0000}"/>
    <cellStyle name="Normal 58 4 2 3" xfId="12680" xr:uid="{00000000-0005-0000-0000-0000543B0000}"/>
    <cellStyle name="Normal 58 4 2 4" xfId="18911" xr:uid="{00000000-0005-0000-0000-0000553B0000}"/>
    <cellStyle name="Normal 58 4 3" xfId="6552" xr:uid="{00000000-0005-0000-0000-0000563B0000}"/>
    <cellStyle name="Normal 58 4 3 2" xfId="6553" xr:uid="{00000000-0005-0000-0000-0000573B0000}"/>
    <cellStyle name="Normal 58 4 3 2 2" xfId="12683" xr:uid="{00000000-0005-0000-0000-0000583B0000}"/>
    <cellStyle name="Normal 58 4 3 2 3" xfId="18914" xr:uid="{00000000-0005-0000-0000-0000593B0000}"/>
    <cellStyle name="Normal 58 4 3 3" xfId="12682" xr:uid="{00000000-0005-0000-0000-00005A3B0000}"/>
    <cellStyle name="Normal 58 4 3 4" xfId="18913" xr:uid="{00000000-0005-0000-0000-00005B3B0000}"/>
    <cellStyle name="Normal 58 4 4" xfId="6554" xr:uid="{00000000-0005-0000-0000-00005C3B0000}"/>
    <cellStyle name="Normal 58 4 4 2" xfId="12684" xr:uid="{00000000-0005-0000-0000-00005D3B0000}"/>
    <cellStyle name="Normal 58 4 4 3" xfId="18915" xr:uid="{00000000-0005-0000-0000-00005E3B0000}"/>
    <cellStyle name="Normal 58 4 5" xfId="12679" xr:uid="{00000000-0005-0000-0000-00005F3B0000}"/>
    <cellStyle name="Normal 58 4 6" xfId="18910" xr:uid="{00000000-0005-0000-0000-0000603B0000}"/>
    <cellStyle name="Normal 58 5" xfId="6555" xr:uid="{00000000-0005-0000-0000-0000613B0000}"/>
    <cellStyle name="Normal 58 5 2" xfId="6556" xr:uid="{00000000-0005-0000-0000-0000623B0000}"/>
    <cellStyle name="Normal 58 5 2 2" xfId="12686" xr:uid="{00000000-0005-0000-0000-0000633B0000}"/>
    <cellStyle name="Normal 58 5 2 3" xfId="18917" xr:uid="{00000000-0005-0000-0000-0000643B0000}"/>
    <cellStyle name="Normal 58 5 3" xfId="12685" xr:uid="{00000000-0005-0000-0000-0000653B0000}"/>
    <cellStyle name="Normal 58 5 4" xfId="18916" xr:uid="{00000000-0005-0000-0000-0000663B0000}"/>
    <cellStyle name="Normal 58 6" xfId="6557" xr:uid="{00000000-0005-0000-0000-0000673B0000}"/>
    <cellStyle name="Normal 58 6 2" xfId="6558" xr:uid="{00000000-0005-0000-0000-0000683B0000}"/>
    <cellStyle name="Normal 58 6 2 2" xfId="12688" xr:uid="{00000000-0005-0000-0000-0000693B0000}"/>
    <cellStyle name="Normal 58 6 2 3" xfId="18919" xr:uid="{00000000-0005-0000-0000-00006A3B0000}"/>
    <cellStyle name="Normal 58 6 3" xfId="12687" xr:uid="{00000000-0005-0000-0000-00006B3B0000}"/>
    <cellStyle name="Normal 58 6 4" xfId="18918" xr:uid="{00000000-0005-0000-0000-00006C3B0000}"/>
    <cellStyle name="Normal 58 7" xfId="6559" xr:uid="{00000000-0005-0000-0000-00006D3B0000}"/>
    <cellStyle name="Normal 58 7 2" xfId="12689" xr:uid="{00000000-0005-0000-0000-00006E3B0000}"/>
    <cellStyle name="Normal 58 7 3" xfId="18920" xr:uid="{00000000-0005-0000-0000-00006F3B0000}"/>
    <cellStyle name="Normal 58 8" xfId="6560" xr:uid="{00000000-0005-0000-0000-0000703B0000}"/>
    <cellStyle name="Normal 58 8 2" xfId="18921" xr:uid="{00000000-0005-0000-0000-0000713B0000}"/>
    <cellStyle name="Normal 58 9" xfId="12642" xr:uid="{00000000-0005-0000-0000-0000723B0000}"/>
    <cellStyle name="Normal 59" xfId="6561" xr:uid="{00000000-0005-0000-0000-0000733B0000}"/>
    <cellStyle name="Normal 59 10" xfId="18922" xr:uid="{00000000-0005-0000-0000-0000743B0000}"/>
    <cellStyle name="Normal 59 2" xfId="6562" xr:uid="{00000000-0005-0000-0000-0000753B0000}"/>
    <cellStyle name="Normal 59 2 2" xfId="6563" xr:uid="{00000000-0005-0000-0000-0000763B0000}"/>
    <cellStyle name="Normal 59 2 2 2" xfId="6564" xr:uid="{00000000-0005-0000-0000-0000773B0000}"/>
    <cellStyle name="Normal 59 2 2 2 2" xfId="6565" xr:uid="{00000000-0005-0000-0000-0000783B0000}"/>
    <cellStyle name="Normal 59 2 2 2 2 2" xfId="6566" xr:uid="{00000000-0005-0000-0000-0000793B0000}"/>
    <cellStyle name="Normal 59 2 2 2 2 2 2" xfId="12695" xr:uid="{00000000-0005-0000-0000-00007A3B0000}"/>
    <cellStyle name="Normal 59 2 2 2 2 2 3" xfId="18927" xr:uid="{00000000-0005-0000-0000-00007B3B0000}"/>
    <cellStyle name="Normal 59 2 2 2 2 3" xfId="12694" xr:uid="{00000000-0005-0000-0000-00007C3B0000}"/>
    <cellStyle name="Normal 59 2 2 2 2 4" xfId="18926" xr:uid="{00000000-0005-0000-0000-00007D3B0000}"/>
    <cellStyle name="Normal 59 2 2 2 3" xfId="6567" xr:uid="{00000000-0005-0000-0000-00007E3B0000}"/>
    <cellStyle name="Normal 59 2 2 2 3 2" xfId="6568" xr:uid="{00000000-0005-0000-0000-00007F3B0000}"/>
    <cellStyle name="Normal 59 2 2 2 3 2 2" xfId="12697" xr:uid="{00000000-0005-0000-0000-0000803B0000}"/>
    <cellStyle name="Normal 59 2 2 2 3 2 3" xfId="18929" xr:uid="{00000000-0005-0000-0000-0000813B0000}"/>
    <cellStyle name="Normal 59 2 2 2 3 3" xfId="12696" xr:uid="{00000000-0005-0000-0000-0000823B0000}"/>
    <cellStyle name="Normal 59 2 2 2 3 4" xfId="18928" xr:uid="{00000000-0005-0000-0000-0000833B0000}"/>
    <cellStyle name="Normal 59 2 2 2 4" xfId="6569" xr:uid="{00000000-0005-0000-0000-0000843B0000}"/>
    <cellStyle name="Normal 59 2 2 2 4 2" xfId="12698" xr:uid="{00000000-0005-0000-0000-0000853B0000}"/>
    <cellStyle name="Normal 59 2 2 2 4 3" xfId="18930" xr:uid="{00000000-0005-0000-0000-0000863B0000}"/>
    <cellStyle name="Normal 59 2 2 2 5" xfId="12693" xr:uid="{00000000-0005-0000-0000-0000873B0000}"/>
    <cellStyle name="Normal 59 2 2 2 6" xfId="18925" xr:uid="{00000000-0005-0000-0000-0000883B0000}"/>
    <cellStyle name="Normal 59 2 2 3" xfId="6570" xr:uid="{00000000-0005-0000-0000-0000893B0000}"/>
    <cellStyle name="Normal 59 2 2 3 2" xfId="6571" xr:uid="{00000000-0005-0000-0000-00008A3B0000}"/>
    <cellStyle name="Normal 59 2 2 3 2 2" xfId="12700" xr:uid="{00000000-0005-0000-0000-00008B3B0000}"/>
    <cellStyle name="Normal 59 2 2 3 2 3" xfId="18932" xr:uid="{00000000-0005-0000-0000-00008C3B0000}"/>
    <cellStyle name="Normal 59 2 2 3 3" xfId="12699" xr:uid="{00000000-0005-0000-0000-00008D3B0000}"/>
    <cellStyle name="Normal 59 2 2 3 4" xfId="18931" xr:uid="{00000000-0005-0000-0000-00008E3B0000}"/>
    <cellStyle name="Normal 59 2 2 4" xfId="6572" xr:uid="{00000000-0005-0000-0000-00008F3B0000}"/>
    <cellStyle name="Normal 59 2 2 4 2" xfId="6573" xr:uid="{00000000-0005-0000-0000-0000903B0000}"/>
    <cellStyle name="Normal 59 2 2 4 2 2" xfId="12702" xr:uid="{00000000-0005-0000-0000-0000913B0000}"/>
    <cellStyle name="Normal 59 2 2 4 2 3" xfId="18934" xr:uid="{00000000-0005-0000-0000-0000923B0000}"/>
    <cellStyle name="Normal 59 2 2 4 3" xfId="12701" xr:uid="{00000000-0005-0000-0000-0000933B0000}"/>
    <cellStyle name="Normal 59 2 2 4 4" xfId="18933" xr:uid="{00000000-0005-0000-0000-0000943B0000}"/>
    <cellStyle name="Normal 59 2 2 5" xfId="6574" xr:uid="{00000000-0005-0000-0000-0000953B0000}"/>
    <cellStyle name="Normal 59 2 2 5 2" xfId="12703" xr:uid="{00000000-0005-0000-0000-0000963B0000}"/>
    <cellStyle name="Normal 59 2 2 5 3" xfId="18935" xr:uid="{00000000-0005-0000-0000-0000973B0000}"/>
    <cellStyle name="Normal 59 2 2 6" xfId="12692" xr:uid="{00000000-0005-0000-0000-0000983B0000}"/>
    <cellStyle name="Normal 59 2 2 7" xfId="18924" xr:uid="{00000000-0005-0000-0000-0000993B0000}"/>
    <cellStyle name="Normal 59 2 3" xfId="6575" xr:uid="{00000000-0005-0000-0000-00009A3B0000}"/>
    <cellStyle name="Normal 59 2 3 2" xfId="6576" xr:uid="{00000000-0005-0000-0000-00009B3B0000}"/>
    <cellStyle name="Normal 59 2 3 2 2" xfId="6577" xr:uid="{00000000-0005-0000-0000-00009C3B0000}"/>
    <cellStyle name="Normal 59 2 3 2 2 2" xfId="12706" xr:uid="{00000000-0005-0000-0000-00009D3B0000}"/>
    <cellStyle name="Normal 59 2 3 2 2 3" xfId="18938" xr:uid="{00000000-0005-0000-0000-00009E3B0000}"/>
    <cellStyle name="Normal 59 2 3 2 3" xfId="12705" xr:uid="{00000000-0005-0000-0000-00009F3B0000}"/>
    <cellStyle name="Normal 59 2 3 2 4" xfId="18937" xr:uid="{00000000-0005-0000-0000-0000A03B0000}"/>
    <cellStyle name="Normal 59 2 3 3" xfId="6578" xr:uid="{00000000-0005-0000-0000-0000A13B0000}"/>
    <cellStyle name="Normal 59 2 3 3 2" xfId="6579" xr:uid="{00000000-0005-0000-0000-0000A23B0000}"/>
    <cellStyle name="Normal 59 2 3 3 2 2" xfId="12708" xr:uid="{00000000-0005-0000-0000-0000A33B0000}"/>
    <cellStyle name="Normal 59 2 3 3 2 3" xfId="18940" xr:uid="{00000000-0005-0000-0000-0000A43B0000}"/>
    <cellStyle name="Normal 59 2 3 3 3" xfId="12707" xr:uid="{00000000-0005-0000-0000-0000A53B0000}"/>
    <cellStyle name="Normal 59 2 3 3 4" xfId="18939" xr:uid="{00000000-0005-0000-0000-0000A63B0000}"/>
    <cellStyle name="Normal 59 2 3 4" xfId="6580" xr:uid="{00000000-0005-0000-0000-0000A73B0000}"/>
    <cellStyle name="Normal 59 2 3 4 2" xfId="12709" xr:uid="{00000000-0005-0000-0000-0000A83B0000}"/>
    <cellStyle name="Normal 59 2 3 4 3" xfId="18941" xr:uid="{00000000-0005-0000-0000-0000A93B0000}"/>
    <cellStyle name="Normal 59 2 3 5" xfId="12704" xr:uid="{00000000-0005-0000-0000-0000AA3B0000}"/>
    <cellStyle name="Normal 59 2 3 6" xfId="18936" xr:uid="{00000000-0005-0000-0000-0000AB3B0000}"/>
    <cellStyle name="Normal 59 2 4" xfId="6581" xr:uid="{00000000-0005-0000-0000-0000AC3B0000}"/>
    <cellStyle name="Normal 59 2 4 2" xfId="6582" xr:uid="{00000000-0005-0000-0000-0000AD3B0000}"/>
    <cellStyle name="Normal 59 2 4 2 2" xfId="12711" xr:uid="{00000000-0005-0000-0000-0000AE3B0000}"/>
    <cellStyle name="Normal 59 2 4 2 3" xfId="18943" xr:uid="{00000000-0005-0000-0000-0000AF3B0000}"/>
    <cellStyle name="Normal 59 2 4 3" xfId="12710" xr:uid="{00000000-0005-0000-0000-0000B03B0000}"/>
    <cellStyle name="Normal 59 2 4 4" xfId="18942" xr:uid="{00000000-0005-0000-0000-0000B13B0000}"/>
    <cellStyle name="Normal 59 2 5" xfId="6583" xr:uid="{00000000-0005-0000-0000-0000B23B0000}"/>
    <cellStyle name="Normal 59 2 5 2" xfId="6584" xr:uid="{00000000-0005-0000-0000-0000B33B0000}"/>
    <cellStyle name="Normal 59 2 5 2 2" xfId="12713" xr:uid="{00000000-0005-0000-0000-0000B43B0000}"/>
    <cellStyle name="Normal 59 2 5 2 3" xfId="18945" xr:uid="{00000000-0005-0000-0000-0000B53B0000}"/>
    <cellStyle name="Normal 59 2 5 3" xfId="12712" xr:uid="{00000000-0005-0000-0000-0000B63B0000}"/>
    <cellStyle name="Normal 59 2 5 4" xfId="18944" xr:uid="{00000000-0005-0000-0000-0000B73B0000}"/>
    <cellStyle name="Normal 59 2 6" xfId="6585" xr:uid="{00000000-0005-0000-0000-0000B83B0000}"/>
    <cellStyle name="Normal 59 2 6 2" xfId="12714" xr:uid="{00000000-0005-0000-0000-0000B93B0000}"/>
    <cellStyle name="Normal 59 2 6 3" xfId="18946" xr:uid="{00000000-0005-0000-0000-0000BA3B0000}"/>
    <cellStyle name="Normal 59 2 7" xfId="12691" xr:uid="{00000000-0005-0000-0000-0000BB3B0000}"/>
    <cellStyle name="Normal 59 2 8" xfId="18923" xr:uid="{00000000-0005-0000-0000-0000BC3B0000}"/>
    <cellStyle name="Normal 59 3" xfId="6586" xr:uid="{00000000-0005-0000-0000-0000BD3B0000}"/>
    <cellStyle name="Normal 59 3 2" xfId="6587" xr:uid="{00000000-0005-0000-0000-0000BE3B0000}"/>
    <cellStyle name="Normal 59 3 2 2" xfId="6588" xr:uid="{00000000-0005-0000-0000-0000BF3B0000}"/>
    <cellStyle name="Normal 59 3 2 2 2" xfId="6589" xr:uid="{00000000-0005-0000-0000-0000C03B0000}"/>
    <cellStyle name="Normal 59 3 2 2 2 2" xfId="12718" xr:uid="{00000000-0005-0000-0000-0000C13B0000}"/>
    <cellStyle name="Normal 59 3 2 2 2 3" xfId="18950" xr:uid="{00000000-0005-0000-0000-0000C23B0000}"/>
    <cellStyle name="Normal 59 3 2 2 3" xfId="12717" xr:uid="{00000000-0005-0000-0000-0000C33B0000}"/>
    <cellStyle name="Normal 59 3 2 2 4" xfId="18949" xr:uid="{00000000-0005-0000-0000-0000C43B0000}"/>
    <cellStyle name="Normal 59 3 2 3" xfId="6590" xr:uid="{00000000-0005-0000-0000-0000C53B0000}"/>
    <cellStyle name="Normal 59 3 2 3 2" xfId="6591" xr:uid="{00000000-0005-0000-0000-0000C63B0000}"/>
    <cellStyle name="Normal 59 3 2 3 2 2" xfId="12720" xr:uid="{00000000-0005-0000-0000-0000C73B0000}"/>
    <cellStyle name="Normal 59 3 2 3 2 3" xfId="18952" xr:uid="{00000000-0005-0000-0000-0000C83B0000}"/>
    <cellStyle name="Normal 59 3 2 3 3" xfId="12719" xr:uid="{00000000-0005-0000-0000-0000C93B0000}"/>
    <cellStyle name="Normal 59 3 2 3 4" xfId="18951" xr:uid="{00000000-0005-0000-0000-0000CA3B0000}"/>
    <cellStyle name="Normal 59 3 2 4" xfId="6592" xr:uid="{00000000-0005-0000-0000-0000CB3B0000}"/>
    <cellStyle name="Normal 59 3 2 4 2" xfId="12721" xr:uid="{00000000-0005-0000-0000-0000CC3B0000}"/>
    <cellStyle name="Normal 59 3 2 4 3" xfId="18953" xr:uid="{00000000-0005-0000-0000-0000CD3B0000}"/>
    <cellStyle name="Normal 59 3 2 5" xfId="12716" xr:uid="{00000000-0005-0000-0000-0000CE3B0000}"/>
    <cellStyle name="Normal 59 3 2 6" xfId="18948" xr:uid="{00000000-0005-0000-0000-0000CF3B0000}"/>
    <cellStyle name="Normal 59 3 3" xfId="6593" xr:uid="{00000000-0005-0000-0000-0000D03B0000}"/>
    <cellStyle name="Normal 59 3 3 2" xfId="6594" xr:uid="{00000000-0005-0000-0000-0000D13B0000}"/>
    <cellStyle name="Normal 59 3 3 2 2" xfId="12723" xr:uid="{00000000-0005-0000-0000-0000D23B0000}"/>
    <cellStyle name="Normal 59 3 3 2 3" xfId="18955" xr:uid="{00000000-0005-0000-0000-0000D33B0000}"/>
    <cellStyle name="Normal 59 3 3 3" xfId="12722" xr:uid="{00000000-0005-0000-0000-0000D43B0000}"/>
    <cellStyle name="Normal 59 3 3 4" xfId="18954" xr:uid="{00000000-0005-0000-0000-0000D53B0000}"/>
    <cellStyle name="Normal 59 3 4" xfId="6595" xr:uid="{00000000-0005-0000-0000-0000D63B0000}"/>
    <cellStyle name="Normal 59 3 4 2" xfId="6596" xr:uid="{00000000-0005-0000-0000-0000D73B0000}"/>
    <cellStyle name="Normal 59 3 4 2 2" xfId="12725" xr:uid="{00000000-0005-0000-0000-0000D83B0000}"/>
    <cellStyle name="Normal 59 3 4 2 3" xfId="18957" xr:uid="{00000000-0005-0000-0000-0000D93B0000}"/>
    <cellStyle name="Normal 59 3 4 3" xfId="12724" xr:uid="{00000000-0005-0000-0000-0000DA3B0000}"/>
    <cellStyle name="Normal 59 3 4 4" xfId="18956" xr:uid="{00000000-0005-0000-0000-0000DB3B0000}"/>
    <cellStyle name="Normal 59 3 5" xfId="6597" xr:uid="{00000000-0005-0000-0000-0000DC3B0000}"/>
    <cellStyle name="Normal 59 3 5 2" xfId="12726" xr:uid="{00000000-0005-0000-0000-0000DD3B0000}"/>
    <cellStyle name="Normal 59 3 5 3" xfId="18958" xr:uid="{00000000-0005-0000-0000-0000DE3B0000}"/>
    <cellStyle name="Normal 59 3 6" xfId="12715" xr:uid="{00000000-0005-0000-0000-0000DF3B0000}"/>
    <cellStyle name="Normal 59 3 7" xfId="18947" xr:uid="{00000000-0005-0000-0000-0000E03B0000}"/>
    <cellStyle name="Normal 59 4" xfId="6598" xr:uid="{00000000-0005-0000-0000-0000E13B0000}"/>
    <cellStyle name="Normal 59 4 2" xfId="6599" xr:uid="{00000000-0005-0000-0000-0000E23B0000}"/>
    <cellStyle name="Normal 59 4 2 2" xfId="6600" xr:uid="{00000000-0005-0000-0000-0000E33B0000}"/>
    <cellStyle name="Normal 59 4 2 2 2" xfId="12729" xr:uid="{00000000-0005-0000-0000-0000E43B0000}"/>
    <cellStyle name="Normal 59 4 2 2 3" xfId="18961" xr:uid="{00000000-0005-0000-0000-0000E53B0000}"/>
    <cellStyle name="Normal 59 4 2 3" xfId="12728" xr:uid="{00000000-0005-0000-0000-0000E63B0000}"/>
    <cellStyle name="Normal 59 4 2 4" xfId="18960" xr:uid="{00000000-0005-0000-0000-0000E73B0000}"/>
    <cellStyle name="Normal 59 4 3" xfId="6601" xr:uid="{00000000-0005-0000-0000-0000E83B0000}"/>
    <cellStyle name="Normal 59 4 3 2" xfId="6602" xr:uid="{00000000-0005-0000-0000-0000E93B0000}"/>
    <cellStyle name="Normal 59 4 3 2 2" xfId="12731" xr:uid="{00000000-0005-0000-0000-0000EA3B0000}"/>
    <cellStyle name="Normal 59 4 3 2 3" xfId="18963" xr:uid="{00000000-0005-0000-0000-0000EB3B0000}"/>
    <cellStyle name="Normal 59 4 3 3" xfId="12730" xr:uid="{00000000-0005-0000-0000-0000EC3B0000}"/>
    <cellStyle name="Normal 59 4 3 4" xfId="18962" xr:uid="{00000000-0005-0000-0000-0000ED3B0000}"/>
    <cellStyle name="Normal 59 4 4" xfId="6603" xr:uid="{00000000-0005-0000-0000-0000EE3B0000}"/>
    <cellStyle name="Normal 59 4 4 2" xfId="12732" xr:uid="{00000000-0005-0000-0000-0000EF3B0000}"/>
    <cellStyle name="Normal 59 4 4 3" xfId="18964" xr:uid="{00000000-0005-0000-0000-0000F03B0000}"/>
    <cellStyle name="Normal 59 4 5" xfId="12727" xr:uid="{00000000-0005-0000-0000-0000F13B0000}"/>
    <cellStyle name="Normal 59 4 6" xfId="18959" xr:uid="{00000000-0005-0000-0000-0000F23B0000}"/>
    <cellStyle name="Normal 59 5" xfId="6604" xr:uid="{00000000-0005-0000-0000-0000F33B0000}"/>
    <cellStyle name="Normal 59 5 2" xfId="6605" xr:uid="{00000000-0005-0000-0000-0000F43B0000}"/>
    <cellStyle name="Normal 59 5 2 2" xfId="12734" xr:uid="{00000000-0005-0000-0000-0000F53B0000}"/>
    <cellStyle name="Normal 59 5 2 3" xfId="18966" xr:uid="{00000000-0005-0000-0000-0000F63B0000}"/>
    <cellStyle name="Normal 59 5 3" xfId="12733" xr:uid="{00000000-0005-0000-0000-0000F73B0000}"/>
    <cellStyle name="Normal 59 5 4" xfId="18965" xr:uid="{00000000-0005-0000-0000-0000F83B0000}"/>
    <cellStyle name="Normal 59 6" xfId="6606" xr:uid="{00000000-0005-0000-0000-0000F93B0000}"/>
    <cellStyle name="Normal 59 6 2" xfId="6607" xr:uid="{00000000-0005-0000-0000-0000FA3B0000}"/>
    <cellStyle name="Normal 59 6 2 2" xfId="12736" xr:uid="{00000000-0005-0000-0000-0000FB3B0000}"/>
    <cellStyle name="Normal 59 6 2 3" xfId="18968" xr:uid="{00000000-0005-0000-0000-0000FC3B0000}"/>
    <cellStyle name="Normal 59 6 3" xfId="12735" xr:uid="{00000000-0005-0000-0000-0000FD3B0000}"/>
    <cellStyle name="Normal 59 6 4" xfId="18967" xr:uid="{00000000-0005-0000-0000-0000FE3B0000}"/>
    <cellStyle name="Normal 59 7" xfId="6608" xr:uid="{00000000-0005-0000-0000-0000FF3B0000}"/>
    <cellStyle name="Normal 59 7 2" xfId="12737" xr:uid="{00000000-0005-0000-0000-0000003C0000}"/>
    <cellStyle name="Normal 59 7 3" xfId="18969" xr:uid="{00000000-0005-0000-0000-0000013C0000}"/>
    <cellStyle name="Normal 59 8" xfId="6609" xr:uid="{00000000-0005-0000-0000-0000023C0000}"/>
    <cellStyle name="Normal 59 8 2" xfId="18970" xr:uid="{00000000-0005-0000-0000-0000033C0000}"/>
    <cellStyle name="Normal 59 9" xfId="12690" xr:uid="{00000000-0005-0000-0000-0000043C0000}"/>
    <cellStyle name="Normal 6" xfId="12738" xr:uid="{00000000-0005-0000-0000-0000053C0000}"/>
    <cellStyle name="Normal 6 10" xfId="6610" xr:uid="{00000000-0005-0000-0000-0000063C0000}"/>
    <cellStyle name="Normal 6 10 2" xfId="12739" xr:uid="{00000000-0005-0000-0000-0000073C0000}"/>
    <cellStyle name="Normal 6 10 3" xfId="18971" xr:uid="{00000000-0005-0000-0000-0000083C0000}"/>
    <cellStyle name="Normal 6 11" xfId="6611" xr:uid="{00000000-0005-0000-0000-0000093C0000}"/>
    <cellStyle name="Normal 6 11 2" xfId="18972" xr:uid="{00000000-0005-0000-0000-00000A3C0000}"/>
    <cellStyle name="Normal 6 2" xfId="6612" xr:uid="{00000000-0005-0000-0000-00000B3C0000}"/>
    <cellStyle name="Normal 6 2 10" xfId="12740" xr:uid="{00000000-0005-0000-0000-00000C3C0000}"/>
    <cellStyle name="Normal 6 2 11" xfId="18973" xr:uid="{00000000-0005-0000-0000-00000D3C0000}"/>
    <cellStyle name="Normal 6 2 2" xfId="6613" xr:uid="{00000000-0005-0000-0000-00000E3C0000}"/>
    <cellStyle name="Normal 6 2 2 10" xfId="18974" xr:uid="{00000000-0005-0000-0000-00000F3C0000}"/>
    <cellStyle name="Normal 6 2 2 2" xfId="6614" xr:uid="{00000000-0005-0000-0000-0000103C0000}"/>
    <cellStyle name="Normal 6 2 2 2 2" xfId="6615" xr:uid="{00000000-0005-0000-0000-0000113C0000}"/>
    <cellStyle name="Normal 6 2 2 2 2 2" xfId="6616" xr:uid="{00000000-0005-0000-0000-0000123C0000}"/>
    <cellStyle name="Normal 6 2 2 2 2 2 2" xfId="6617" xr:uid="{00000000-0005-0000-0000-0000133C0000}"/>
    <cellStyle name="Normal 6 2 2 2 2 2 2 2" xfId="6618" xr:uid="{00000000-0005-0000-0000-0000143C0000}"/>
    <cellStyle name="Normal 6 2 2 2 2 2 2 2 2" xfId="12746" xr:uid="{00000000-0005-0000-0000-0000153C0000}"/>
    <cellStyle name="Normal 6 2 2 2 2 2 2 2 3" xfId="18979" xr:uid="{00000000-0005-0000-0000-0000163C0000}"/>
    <cellStyle name="Normal 6 2 2 2 2 2 2 3" xfId="12745" xr:uid="{00000000-0005-0000-0000-0000173C0000}"/>
    <cellStyle name="Normal 6 2 2 2 2 2 2 4" xfId="18978" xr:uid="{00000000-0005-0000-0000-0000183C0000}"/>
    <cellStyle name="Normal 6 2 2 2 2 2 3" xfId="6619" xr:uid="{00000000-0005-0000-0000-0000193C0000}"/>
    <cellStyle name="Normal 6 2 2 2 2 2 3 2" xfId="6620" xr:uid="{00000000-0005-0000-0000-00001A3C0000}"/>
    <cellStyle name="Normal 6 2 2 2 2 2 3 2 2" xfId="12748" xr:uid="{00000000-0005-0000-0000-00001B3C0000}"/>
    <cellStyle name="Normal 6 2 2 2 2 2 3 2 3" xfId="18981" xr:uid="{00000000-0005-0000-0000-00001C3C0000}"/>
    <cellStyle name="Normal 6 2 2 2 2 2 3 3" xfId="12747" xr:uid="{00000000-0005-0000-0000-00001D3C0000}"/>
    <cellStyle name="Normal 6 2 2 2 2 2 3 4" xfId="18980" xr:uid="{00000000-0005-0000-0000-00001E3C0000}"/>
    <cellStyle name="Normal 6 2 2 2 2 2 4" xfId="6621" xr:uid="{00000000-0005-0000-0000-00001F3C0000}"/>
    <cellStyle name="Normal 6 2 2 2 2 2 4 2" xfId="12749" xr:uid="{00000000-0005-0000-0000-0000203C0000}"/>
    <cellStyle name="Normal 6 2 2 2 2 2 4 3" xfId="18982" xr:uid="{00000000-0005-0000-0000-0000213C0000}"/>
    <cellStyle name="Normal 6 2 2 2 2 2 5" xfId="12744" xr:uid="{00000000-0005-0000-0000-0000223C0000}"/>
    <cellStyle name="Normal 6 2 2 2 2 2 6" xfId="18977" xr:uid="{00000000-0005-0000-0000-0000233C0000}"/>
    <cellStyle name="Normal 6 2 2 2 2 3" xfId="6622" xr:uid="{00000000-0005-0000-0000-0000243C0000}"/>
    <cellStyle name="Normal 6 2 2 2 2 3 2" xfId="6623" xr:uid="{00000000-0005-0000-0000-0000253C0000}"/>
    <cellStyle name="Normal 6 2 2 2 2 3 2 2" xfId="12751" xr:uid="{00000000-0005-0000-0000-0000263C0000}"/>
    <cellStyle name="Normal 6 2 2 2 2 3 2 3" xfId="18984" xr:uid="{00000000-0005-0000-0000-0000273C0000}"/>
    <cellStyle name="Normal 6 2 2 2 2 3 3" xfId="12750" xr:uid="{00000000-0005-0000-0000-0000283C0000}"/>
    <cellStyle name="Normal 6 2 2 2 2 3 4" xfId="18983" xr:uid="{00000000-0005-0000-0000-0000293C0000}"/>
    <cellStyle name="Normal 6 2 2 2 2 4" xfId="6624" xr:uid="{00000000-0005-0000-0000-00002A3C0000}"/>
    <cellStyle name="Normal 6 2 2 2 2 4 2" xfId="6625" xr:uid="{00000000-0005-0000-0000-00002B3C0000}"/>
    <cellStyle name="Normal 6 2 2 2 2 4 2 2" xfId="12753" xr:uid="{00000000-0005-0000-0000-00002C3C0000}"/>
    <cellStyle name="Normal 6 2 2 2 2 4 2 3" xfId="18986" xr:uid="{00000000-0005-0000-0000-00002D3C0000}"/>
    <cellStyle name="Normal 6 2 2 2 2 4 3" xfId="12752" xr:uid="{00000000-0005-0000-0000-00002E3C0000}"/>
    <cellStyle name="Normal 6 2 2 2 2 4 4" xfId="18985" xr:uid="{00000000-0005-0000-0000-00002F3C0000}"/>
    <cellStyle name="Normal 6 2 2 2 2 5" xfId="6626" xr:uid="{00000000-0005-0000-0000-0000303C0000}"/>
    <cellStyle name="Normal 6 2 2 2 2 5 2" xfId="12754" xr:uid="{00000000-0005-0000-0000-0000313C0000}"/>
    <cellStyle name="Normal 6 2 2 2 2 5 3" xfId="18987" xr:uid="{00000000-0005-0000-0000-0000323C0000}"/>
    <cellStyle name="Normal 6 2 2 2 2 6" xfId="12743" xr:uid="{00000000-0005-0000-0000-0000333C0000}"/>
    <cellStyle name="Normal 6 2 2 2 2 7" xfId="18976" xr:uid="{00000000-0005-0000-0000-0000343C0000}"/>
    <cellStyle name="Normal 6 2 2 2 3" xfId="6627" xr:uid="{00000000-0005-0000-0000-0000353C0000}"/>
    <cellStyle name="Normal 6 2 2 2 3 2" xfId="6628" xr:uid="{00000000-0005-0000-0000-0000363C0000}"/>
    <cellStyle name="Normal 6 2 2 2 3 2 2" xfId="6629" xr:uid="{00000000-0005-0000-0000-0000373C0000}"/>
    <cellStyle name="Normal 6 2 2 2 3 2 2 2" xfId="12757" xr:uid="{00000000-0005-0000-0000-0000383C0000}"/>
    <cellStyle name="Normal 6 2 2 2 3 2 2 3" xfId="18990" xr:uid="{00000000-0005-0000-0000-0000393C0000}"/>
    <cellStyle name="Normal 6 2 2 2 3 2 3" xfId="12756" xr:uid="{00000000-0005-0000-0000-00003A3C0000}"/>
    <cellStyle name="Normal 6 2 2 2 3 2 4" xfId="18989" xr:uid="{00000000-0005-0000-0000-00003B3C0000}"/>
    <cellStyle name="Normal 6 2 2 2 3 3" xfId="6630" xr:uid="{00000000-0005-0000-0000-00003C3C0000}"/>
    <cellStyle name="Normal 6 2 2 2 3 3 2" xfId="6631" xr:uid="{00000000-0005-0000-0000-00003D3C0000}"/>
    <cellStyle name="Normal 6 2 2 2 3 3 2 2" xfId="12759" xr:uid="{00000000-0005-0000-0000-00003E3C0000}"/>
    <cellStyle name="Normal 6 2 2 2 3 3 2 3" xfId="18992" xr:uid="{00000000-0005-0000-0000-00003F3C0000}"/>
    <cellStyle name="Normal 6 2 2 2 3 3 3" xfId="12758" xr:uid="{00000000-0005-0000-0000-0000403C0000}"/>
    <cellStyle name="Normal 6 2 2 2 3 3 4" xfId="18991" xr:uid="{00000000-0005-0000-0000-0000413C0000}"/>
    <cellStyle name="Normal 6 2 2 2 3 4" xfId="6632" xr:uid="{00000000-0005-0000-0000-0000423C0000}"/>
    <cellStyle name="Normal 6 2 2 2 3 4 2" xfId="12760" xr:uid="{00000000-0005-0000-0000-0000433C0000}"/>
    <cellStyle name="Normal 6 2 2 2 3 4 3" xfId="18993" xr:uid="{00000000-0005-0000-0000-0000443C0000}"/>
    <cellStyle name="Normal 6 2 2 2 3 5" xfId="12755" xr:uid="{00000000-0005-0000-0000-0000453C0000}"/>
    <cellStyle name="Normal 6 2 2 2 3 6" xfId="18988" xr:uid="{00000000-0005-0000-0000-0000463C0000}"/>
    <cellStyle name="Normal 6 2 2 2 4" xfId="6633" xr:uid="{00000000-0005-0000-0000-0000473C0000}"/>
    <cellStyle name="Normal 6 2 2 2 4 2" xfId="6634" xr:uid="{00000000-0005-0000-0000-0000483C0000}"/>
    <cellStyle name="Normal 6 2 2 2 4 2 2" xfId="12762" xr:uid="{00000000-0005-0000-0000-0000493C0000}"/>
    <cellStyle name="Normal 6 2 2 2 4 2 3" xfId="18995" xr:uid="{00000000-0005-0000-0000-00004A3C0000}"/>
    <cellStyle name="Normal 6 2 2 2 4 3" xfId="12761" xr:uid="{00000000-0005-0000-0000-00004B3C0000}"/>
    <cellStyle name="Normal 6 2 2 2 4 4" xfId="18994" xr:uid="{00000000-0005-0000-0000-00004C3C0000}"/>
    <cellStyle name="Normal 6 2 2 2 5" xfId="6635" xr:uid="{00000000-0005-0000-0000-00004D3C0000}"/>
    <cellStyle name="Normal 6 2 2 2 5 2" xfId="6636" xr:uid="{00000000-0005-0000-0000-00004E3C0000}"/>
    <cellStyle name="Normal 6 2 2 2 5 2 2" xfId="12764" xr:uid="{00000000-0005-0000-0000-00004F3C0000}"/>
    <cellStyle name="Normal 6 2 2 2 5 2 3" xfId="18997" xr:uid="{00000000-0005-0000-0000-0000503C0000}"/>
    <cellStyle name="Normal 6 2 2 2 5 3" xfId="12763" xr:uid="{00000000-0005-0000-0000-0000513C0000}"/>
    <cellStyle name="Normal 6 2 2 2 5 4" xfId="18996" xr:uid="{00000000-0005-0000-0000-0000523C0000}"/>
    <cellStyle name="Normal 6 2 2 2 6" xfId="6637" xr:uid="{00000000-0005-0000-0000-0000533C0000}"/>
    <cellStyle name="Normal 6 2 2 2 6 2" xfId="12765" xr:uid="{00000000-0005-0000-0000-0000543C0000}"/>
    <cellStyle name="Normal 6 2 2 2 6 3" xfId="18998" xr:uid="{00000000-0005-0000-0000-0000553C0000}"/>
    <cellStyle name="Normal 6 2 2 2 7" xfId="12742" xr:uid="{00000000-0005-0000-0000-0000563C0000}"/>
    <cellStyle name="Normal 6 2 2 2 8" xfId="18975" xr:uid="{00000000-0005-0000-0000-0000573C0000}"/>
    <cellStyle name="Normal 6 2 2 3" xfId="6638" xr:uid="{00000000-0005-0000-0000-0000583C0000}"/>
    <cellStyle name="Normal 6 2 2 3 2" xfId="6639" xr:uid="{00000000-0005-0000-0000-0000593C0000}"/>
    <cellStyle name="Normal 6 2 2 3 2 2" xfId="6640" xr:uid="{00000000-0005-0000-0000-00005A3C0000}"/>
    <cellStyle name="Normal 6 2 2 3 2 2 2" xfId="6641" xr:uid="{00000000-0005-0000-0000-00005B3C0000}"/>
    <cellStyle name="Normal 6 2 2 3 2 2 2 2" xfId="12769" xr:uid="{00000000-0005-0000-0000-00005C3C0000}"/>
    <cellStyle name="Normal 6 2 2 3 2 2 2 3" xfId="19002" xr:uid="{00000000-0005-0000-0000-00005D3C0000}"/>
    <cellStyle name="Normal 6 2 2 3 2 2 3" xfId="12768" xr:uid="{00000000-0005-0000-0000-00005E3C0000}"/>
    <cellStyle name="Normal 6 2 2 3 2 2 4" xfId="19001" xr:uid="{00000000-0005-0000-0000-00005F3C0000}"/>
    <cellStyle name="Normal 6 2 2 3 2 3" xfId="6642" xr:uid="{00000000-0005-0000-0000-0000603C0000}"/>
    <cellStyle name="Normal 6 2 2 3 2 3 2" xfId="6643" xr:uid="{00000000-0005-0000-0000-0000613C0000}"/>
    <cellStyle name="Normal 6 2 2 3 2 3 2 2" xfId="12771" xr:uid="{00000000-0005-0000-0000-0000623C0000}"/>
    <cellStyle name="Normal 6 2 2 3 2 3 2 3" xfId="19004" xr:uid="{00000000-0005-0000-0000-0000633C0000}"/>
    <cellStyle name="Normal 6 2 2 3 2 3 3" xfId="12770" xr:uid="{00000000-0005-0000-0000-0000643C0000}"/>
    <cellStyle name="Normal 6 2 2 3 2 3 4" xfId="19003" xr:uid="{00000000-0005-0000-0000-0000653C0000}"/>
    <cellStyle name="Normal 6 2 2 3 2 4" xfId="6644" xr:uid="{00000000-0005-0000-0000-0000663C0000}"/>
    <cellStyle name="Normal 6 2 2 3 2 4 2" xfId="12772" xr:uid="{00000000-0005-0000-0000-0000673C0000}"/>
    <cellStyle name="Normal 6 2 2 3 2 4 3" xfId="19005" xr:uid="{00000000-0005-0000-0000-0000683C0000}"/>
    <cellStyle name="Normal 6 2 2 3 2 5" xfId="12767" xr:uid="{00000000-0005-0000-0000-0000693C0000}"/>
    <cellStyle name="Normal 6 2 2 3 2 6" xfId="19000" xr:uid="{00000000-0005-0000-0000-00006A3C0000}"/>
    <cellStyle name="Normal 6 2 2 3 3" xfId="6645" xr:uid="{00000000-0005-0000-0000-00006B3C0000}"/>
    <cellStyle name="Normal 6 2 2 3 3 2" xfId="6646" xr:uid="{00000000-0005-0000-0000-00006C3C0000}"/>
    <cellStyle name="Normal 6 2 2 3 3 2 2" xfId="12774" xr:uid="{00000000-0005-0000-0000-00006D3C0000}"/>
    <cellStyle name="Normal 6 2 2 3 3 2 3" xfId="19007" xr:uid="{00000000-0005-0000-0000-00006E3C0000}"/>
    <cellStyle name="Normal 6 2 2 3 3 3" xfId="12773" xr:uid="{00000000-0005-0000-0000-00006F3C0000}"/>
    <cellStyle name="Normal 6 2 2 3 3 4" xfId="19006" xr:uid="{00000000-0005-0000-0000-0000703C0000}"/>
    <cellStyle name="Normal 6 2 2 3 4" xfId="6647" xr:uid="{00000000-0005-0000-0000-0000713C0000}"/>
    <cellStyle name="Normal 6 2 2 3 4 2" xfId="6648" xr:uid="{00000000-0005-0000-0000-0000723C0000}"/>
    <cellStyle name="Normal 6 2 2 3 4 2 2" xfId="12776" xr:uid="{00000000-0005-0000-0000-0000733C0000}"/>
    <cellStyle name="Normal 6 2 2 3 4 2 3" xfId="19009" xr:uid="{00000000-0005-0000-0000-0000743C0000}"/>
    <cellStyle name="Normal 6 2 2 3 4 3" xfId="12775" xr:uid="{00000000-0005-0000-0000-0000753C0000}"/>
    <cellStyle name="Normal 6 2 2 3 4 4" xfId="19008" xr:uid="{00000000-0005-0000-0000-0000763C0000}"/>
    <cellStyle name="Normal 6 2 2 3 5" xfId="6649" xr:uid="{00000000-0005-0000-0000-0000773C0000}"/>
    <cellStyle name="Normal 6 2 2 3 5 2" xfId="12777" xr:uid="{00000000-0005-0000-0000-0000783C0000}"/>
    <cellStyle name="Normal 6 2 2 3 5 3" xfId="19010" xr:uid="{00000000-0005-0000-0000-0000793C0000}"/>
    <cellStyle name="Normal 6 2 2 3 6" xfId="12766" xr:uid="{00000000-0005-0000-0000-00007A3C0000}"/>
    <cellStyle name="Normal 6 2 2 3 7" xfId="18999" xr:uid="{00000000-0005-0000-0000-00007B3C0000}"/>
    <cellStyle name="Normal 6 2 2 4" xfId="6650" xr:uid="{00000000-0005-0000-0000-00007C3C0000}"/>
    <cellStyle name="Normal 6 2 2 4 2" xfId="6651" xr:uid="{00000000-0005-0000-0000-00007D3C0000}"/>
    <cellStyle name="Normal 6 2 2 4 2 2" xfId="6652" xr:uid="{00000000-0005-0000-0000-00007E3C0000}"/>
    <cellStyle name="Normal 6 2 2 4 2 2 2" xfId="12780" xr:uid="{00000000-0005-0000-0000-00007F3C0000}"/>
    <cellStyle name="Normal 6 2 2 4 2 2 3" xfId="19013" xr:uid="{00000000-0005-0000-0000-0000803C0000}"/>
    <cellStyle name="Normal 6 2 2 4 2 3" xfId="12779" xr:uid="{00000000-0005-0000-0000-0000813C0000}"/>
    <cellStyle name="Normal 6 2 2 4 2 4" xfId="19012" xr:uid="{00000000-0005-0000-0000-0000823C0000}"/>
    <cellStyle name="Normal 6 2 2 4 3" xfId="6653" xr:uid="{00000000-0005-0000-0000-0000833C0000}"/>
    <cellStyle name="Normal 6 2 2 4 3 2" xfId="6654" xr:uid="{00000000-0005-0000-0000-0000843C0000}"/>
    <cellStyle name="Normal 6 2 2 4 3 2 2" xfId="12782" xr:uid="{00000000-0005-0000-0000-0000853C0000}"/>
    <cellStyle name="Normal 6 2 2 4 3 2 3" xfId="19015" xr:uid="{00000000-0005-0000-0000-0000863C0000}"/>
    <cellStyle name="Normal 6 2 2 4 3 3" xfId="12781" xr:uid="{00000000-0005-0000-0000-0000873C0000}"/>
    <cellStyle name="Normal 6 2 2 4 3 4" xfId="19014" xr:uid="{00000000-0005-0000-0000-0000883C0000}"/>
    <cellStyle name="Normal 6 2 2 4 4" xfId="6655" xr:uid="{00000000-0005-0000-0000-0000893C0000}"/>
    <cellStyle name="Normal 6 2 2 4 4 2" xfId="12783" xr:uid="{00000000-0005-0000-0000-00008A3C0000}"/>
    <cellStyle name="Normal 6 2 2 4 4 3" xfId="19016" xr:uid="{00000000-0005-0000-0000-00008B3C0000}"/>
    <cellStyle name="Normal 6 2 2 4 5" xfId="12778" xr:uid="{00000000-0005-0000-0000-00008C3C0000}"/>
    <cellStyle name="Normal 6 2 2 4 6" xfId="19011" xr:uid="{00000000-0005-0000-0000-00008D3C0000}"/>
    <cellStyle name="Normal 6 2 2 5" xfId="6656" xr:uid="{00000000-0005-0000-0000-00008E3C0000}"/>
    <cellStyle name="Normal 6 2 2 5 2" xfId="6657" xr:uid="{00000000-0005-0000-0000-00008F3C0000}"/>
    <cellStyle name="Normal 6 2 2 5 2 2" xfId="12785" xr:uid="{00000000-0005-0000-0000-0000903C0000}"/>
    <cellStyle name="Normal 6 2 2 5 2 3" xfId="19018" xr:uid="{00000000-0005-0000-0000-0000913C0000}"/>
    <cellStyle name="Normal 6 2 2 5 3" xfId="12784" xr:uid="{00000000-0005-0000-0000-0000923C0000}"/>
    <cellStyle name="Normal 6 2 2 5 4" xfId="19017" xr:uid="{00000000-0005-0000-0000-0000933C0000}"/>
    <cellStyle name="Normal 6 2 2 6" xfId="6658" xr:uid="{00000000-0005-0000-0000-0000943C0000}"/>
    <cellStyle name="Normal 6 2 2 6 2" xfId="6659" xr:uid="{00000000-0005-0000-0000-0000953C0000}"/>
    <cellStyle name="Normal 6 2 2 6 2 2" xfId="12787" xr:uid="{00000000-0005-0000-0000-0000963C0000}"/>
    <cellStyle name="Normal 6 2 2 6 2 3" xfId="19020" xr:uid="{00000000-0005-0000-0000-0000973C0000}"/>
    <cellStyle name="Normal 6 2 2 6 3" xfId="12786" xr:uid="{00000000-0005-0000-0000-0000983C0000}"/>
    <cellStyle name="Normal 6 2 2 6 4" xfId="19019" xr:uid="{00000000-0005-0000-0000-0000993C0000}"/>
    <cellStyle name="Normal 6 2 2 7" xfId="6660" xr:uid="{00000000-0005-0000-0000-00009A3C0000}"/>
    <cellStyle name="Normal 6 2 2 7 2" xfId="12788" xr:uid="{00000000-0005-0000-0000-00009B3C0000}"/>
    <cellStyle name="Normal 6 2 2 7 3" xfId="19021" xr:uid="{00000000-0005-0000-0000-00009C3C0000}"/>
    <cellStyle name="Normal 6 2 2 8" xfId="6661" xr:uid="{00000000-0005-0000-0000-00009D3C0000}"/>
    <cellStyle name="Normal 6 2 2 8 2" xfId="19022" xr:uid="{00000000-0005-0000-0000-00009E3C0000}"/>
    <cellStyle name="Normal 6 2 2 9" xfId="12741" xr:uid="{00000000-0005-0000-0000-00009F3C0000}"/>
    <cellStyle name="Normal 6 2 3" xfId="6662" xr:uid="{00000000-0005-0000-0000-0000A03C0000}"/>
    <cellStyle name="Normal 6 2 3 2" xfId="6663" xr:uid="{00000000-0005-0000-0000-0000A13C0000}"/>
    <cellStyle name="Normal 6 2 3 2 2" xfId="6664" xr:uid="{00000000-0005-0000-0000-0000A23C0000}"/>
    <cellStyle name="Normal 6 2 3 2 2 2" xfId="6665" xr:uid="{00000000-0005-0000-0000-0000A33C0000}"/>
    <cellStyle name="Normal 6 2 3 2 2 2 2" xfId="6666" xr:uid="{00000000-0005-0000-0000-0000A43C0000}"/>
    <cellStyle name="Normal 6 2 3 2 2 2 2 2" xfId="12793" xr:uid="{00000000-0005-0000-0000-0000A53C0000}"/>
    <cellStyle name="Normal 6 2 3 2 2 2 2 3" xfId="19027" xr:uid="{00000000-0005-0000-0000-0000A63C0000}"/>
    <cellStyle name="Normal 6 2 3 2 2 2 3" xfId="12792" xr:uid="{00000000-0005-0000-0000-0000A73C0000}"/>
    <cellStyle name="Normal 6 2 3 2 2 2 4" xfId="19026" xr:uid="{00000000-0005-0000-0000-0000A83C0000}"/>
    <cellStyle name="Normal 6 2 3 2 2 3" xfId="6667" xr:uid="{00000000-0005-0000-0000-0000A93C0000}"/>
    <cellStyle name="Normal 6 2 3 2 2 3 2" xfId="6668" xr:uid="{00000000-0005-0000-0000-0000AA3C0000}"/>
    <cellStyle name="Normal 6 2 3 2 2 3 2 2" xfId="12795" xr:uid="{00000000-0005-0000-0000-0000AB3C0000}"/>
    <cellStyle name="Normal 6 2 3 2 2 3 2 3" xfId="19029" xr:uid="{00000000-0005-0000-0000-0000AC3C0000}"/>
    <cellStyle name="Normal 6 2 3 2 2 3 3" xfId="12794" xr:uid="{00000000-0005-0000-0000-0000AD3C0000}"/>
    <cellStyle name="Normal 6 2 3 2 2 3 4" xfId="19028" xr:uid="{00000000-0005-0000-0000-0000AE3C0000}"/>
    <cellStyle name="Normal 6 2 3 2 2 4" xfId="6669" xr:uid="{00000000-0005-0000-0000-0000AF3C0000}"/>
    <cellStyle name="Normal 6 2 3 2 2 4 2" xfId="12796" xr:uid="{00000000-0005-0000-0000-0000B03C0000}"/>
    <cellStyle name="Normal 6 2 3 2 2 4 3" xfId="19030" xr:uid="{00000000-0005-0000-0000-0000B13C0000}"/>
    <cellStyle name="Normal 6 2 3 2 2 5" xfId="12791" xr:uid="{00000000-0005-0000-0000-0000B23C0000}"/>
    <cellStyle name="Normal 6 2 3 2 2 6" xfId="19025" xr:uid="{00000000-0005-0000-0000-0000B33C0000}"/>
    <cellStyle name="Normal 6 2 3 2 3" xfId="6670" xr:uid="{00000000-0005-0000-0000-0000B43C0000}"/>
    <cellStyle name="Normal 6 2 3 2 3 2" xfId="6671" xr:uid="{00000000-0005-0000-0000-0000B53C0000}"/>
    <cellStyle name="Normal 6 2 3 2 3 2 2" xfId="12798" xr:uid="{00000000-0005-0000-0000-0000B63C0000}"/>
    <cellStyle name="Normal 6 2 3 2 3 2 3" xfId="19032" xr:uid="{00000000-0005-0000-0000-0000B73C0000}"/>
    <cellStyle name="Normal 6 2 3 2 3 3" xfId="12797" xr:uid="{00000000-0005-0000-0000-0000B83C0000}"/>
    <cellStyle name="Normal 6 2 3 2 3 4" xfId="19031" xr:uid="{00000000-0005-0000-0000-0000B93C0000}"/>
    <cellStyle name="Normal 6 2 3 2 4" xfId="6672" xr:uid="{00000000-0005-0000-0000-0000BA3C0000}"/>
    <cellStyle name="Normal 6 2 3 2 4 2" xfId="6673" xr:uid="{00000000-0005-0000-0000-0000BB3C0000}"/>
    <cellStyle name="Normal 6 2 3 2 4 2 2" xfId="12800" xr:uid="{00000000-0005-0000-0000-0000BC3C0000}"/>
    <cellStyle name="Normal 6 2 3 2 4 2 3" xfId="19034" xr:uid="{00000000-0005-0000-0000-0000BD3C0000}"/>
    <cellStyle name="Normal 6 2 3 2 4 3" xfId="12799" xr:uid="{00000000-0005-0000-0000-0000BE3C0000}"/>
    <cellStyle name="Normal 6 2 3 2 4 4" xfId="19033" xr:uid="{00000000-0005-0000-0000-0000BF3C0000}"/>
    <cellStyle name="Normal 6 2 3 2 5" xfId="6674" xr:uid="{00000000-0005-0000-0000-0000C03C0000}"/>
    <cellStyle name="Normal 6 2 3 2 5 2" xfId="12801" xr:uid="{00000000-0005-0000-0000-0000C13C0000}"/>
    <cellStyle name="Normal 6 2 3 2 5 3" xfId="19035" xr:uid="{00000000-0005-0000-0000-0000C23C0000}"/>
    <cellStyle name="Normal 6 2 3 2 6" xfId="12790" xr:uid="{00000000-0005-0000-0000-0000C33C0000}"/>
    <cellStyle name="Normal 6 2 3 2 7" xfId="19024" xr:uid="{00000000-0005-0000-0000-0000C43C0000}"/>
    <cellStyle name="Normal 6 2 3 3" xfId="6675" xr:uid="{00000000-0005-0000-0000-0000C53C0000}"/>
    <cellStyle name="Normal 6 2 3 3 2" xfId="6676" xr:uid="{00000000-0005-0000-0000-0000C63C0000}"/>
    <cellStyle name="Normal 6 2 3 3 2 2" xfId="6677" xr:uid="{00000000-0005-0000-0000-0000C73C0000}"/>
    <cellStyle name="Normal 6 2 3 3 2 2 2" xfId="12804" xr:uid="{00000000-0005-0000-0000-0000C83C0000}"/>
    <cellStyle name="Normal 6 2 3 3 2 2 3" xfId="19038" xr:uid="{00000000-0005-0000-0000-0000C93C0000}"/>
    <cellStyle name="Normal 6 2 3 3 2 3" xfId="12803" xr:uid="{00000000-0005-0000-0000-0000CA3C0000}"/>
    <cellStyle name="Normal 6 2 3 3 2 4" xfId="19037" xr:uid="{00000000-0005-0000-0000-0000CB3C0000}"/>
    <cellStyle name="Normal 6 2 3 3 3" xfId="6678" xr:uid="{00000000-0005-0000-0000-0000CC3C0000}"/>
    <cellStyle name="Normal 6 2 3 3 3 2" xfId="6679" xr:uid="{00000000-0005-0000-0000-0000CD3C0000}"/>
    <cellStyle name="Normal 6 2 3 3 3 2 2" xfId="12806" xr:uid="{00000000-0005-0000-0000-0000CE3C0000}"/>
    <cellStyle name="Normal 6 2 3 3 3 2 3" xfId="19040" xr:uid="{00000000-0005-0000-0000-0000CF3C0000}"/>
    <cellStyle name="Normal 6 2 3 3 3 3" xfId="12805" xr:uid="{00000000-0005-0000-0000-0000D03C0000}"/>
    <cellStyle name="Normal 6 2 3 3 3 4" xfId="19039" xr:uid="{00000000-0005-0000-0000-0000D13C0000}"/>
    <cellStyle name="Normal 6 2 3 3 4" xfId="6680" xr:uid="{00000000-0005-0000-0000-0000D23C0000}"/>
    <cellStyle name="Normal 6 2 3 3 4 2" xfId="12807" xr:uid="{00000000-0005-0000-0000-0000D33C0000}"/>
    <cellStyle name="Normal 6 2 3 3 4 3" xfId="19041" xr:uid="{00000000-0005-0000-0000-0000D43C0000}"/>
    <cellStyle name="Normal 6 2 3 3 5" xfId="12802" xr:uid="{00000000-0005-0000-0000-0000D53C0000}"/>
    <cellStyle name="Normal 6 2 3 3 6" xfId="19036" xr:uid="{00000000-0005-0000-0000-0000D63C0000}"/>
    <cellStyle name="Normal 6 2 3 4" xfId="6681" xr:uid="{00000000-0005-0000-0000-0000D73C0000}"/>
    <cellStyle name="Normal 6 2 3 4 2" xfId="6682" xr:uid="{00000000-0005-0000-0000-0000D83C0000}"/>
    <cellStyle name="Normal 6 2 3 4 2 2" xfId="12809" xr:uid="{00000000-0005-0000-0000-0000D93C0000}"/>
    <cellStyle name="Normal 6 2 3 4 2 3" xfId="19043" xr:uid="{00000000-0005-0000-0000-0000DA3C0000}"/>
    <cellStyle name="Normal 6 2 3 4 3" xfId="12808" xr:uid="{00000000-0005-0000-0000-0000DB3C0000}"/>
    <cellStyle name="Normal 6 2 3 4 4" xfId="19042" xr:uid="{00000000-0005-0000-0000-0000DC3C0000}"/>
    <cellStyle name="Normal 6 2 3 5" xfId="6683" xr:uid="{00000000-0005-0000-0000-0000DD3C0000}"/>
    <cellStyle name="Normal 6 2 3 5 2" xfId="6684" xr:uid="{00000000-0005-0000-0000-0000DE3C0000}"/>
    <cellStyle name="Normal 6 2 3 5 2 2" xfId="12811" xr:uid="{00000000-0005-0000-0000-0000DF3C0000}"/>
    <cellStyle name="Normal 6 2 3 5 2 3" xfId="19045" xr:uid="{00000000-0005-0000-0000-0000E03C0000}"/>
    <cellStyle name="Normal 6 2 3 5 3" xfId="12810" xr:uid="{00000000-0005-0000-0000-0000E13C0000}"/>
    <cellStyle name="Normal 6 2 3 5 4" xfId="19044" xr:uid="{00000000-0005-0000-0000-0000E23C0000}"/>
    <cellStyle name="Normal 6 2 3 6" xfId="6685" xr:uid="{00000000-0005-0000-0000-0000E33C0000}"/>
    <cellStyle name="Normal 6 2 3 6 2" xfId="12812" xr:uid="{00000000-0005-0000-0000-0000E43C0000}"/>
    <cellStyle name="Normal 6 2 3 6 3" xfId="19046" xr:uid="{00000000-0005-0000-0000-0000E53C0000}"/>
    <cellStyle name="Normal 6 2 3 7" xfId="12789" xr:uid="{00000000-0005-0000-0000-0000E63C0000}"/>
    <cellStyle name="Normal 6 2 3 8" xfId="19023" xr:uid="{00000000-0005-0000-0000-0000E73C0000}"/>
    <cellStyle name="Normal 6 2 4" xfId="6686" xr:uid="{00000000-0005-0000-0000-0000E83C0000}"/>
    <cellStyle name="Normal 6 2 4 2" xfId="6687" xr:uid="{00000000-0005-0000-0000-0000E93C0000}"/>
    <cellStyle name="Normal 6 2 4 2 2" xfId="6688" xr:uid="{00000000-0005-0000-0000-0000EA3C0000}"/>
    <cellStyle name="Normal 6 2 4 2 2 2" xfId="6689" xr:uid="{00000000-0005-0000-0000-0000EB3C0000}"/>
    <cellStyle name="Normal 6 2 4 2 2 2 2" xfId="12816" xr:uid="{00000000-0005-0000-0000-0000EC3C0000}"/>
    <cellStyle name="Normal 6 2 4 2 2 2 3" xfId="19050" xr:uid="{00000000-0005-0000-0000-0000ED3C0000}"/>
    <cellStyle name="Normal 6 2 4 2 2 3" xfId="12815" xr:uid="{00000000-0005-0000-0000-0000EE3C0000}"/>
    <cellStyle name="Normal 6 2 4 2 2 4" xfId="19049" xr:uid="{00000000-0005-0000-0000-0000EF3C0000}"/>
    <cellStyle name="Normal 6 2 4 2 3" xfId="6690" xr:uid="{00000000-0005-0000-0000-0000F03C0000}"/>
    <cellStyle name="Normal 6 2 4 2 3 2" xfId="6691" xr:uid="{00000000-0005-0000-0000-0000F13C0000}"/>
    <cellStyle name="Normal 6 2 4 2 3 2 2" xfId="12818" xr:uid="{00000000-0005-0000-0000-0000F23C0000}"/>
    <cellStyle name="Normal 6 2 4 2 3 2 3" xfId="19052" xr:uid="{00000000-0005-0000-0000-0000F33C0000}"/>
    <cellStyle name="Normal 6 2 4 2 3 3" xfId="12817" xr:uid="{00000000-0005-0000-0000-0000F43C0000}"/>
    <cellStyle name="Normal 6 2 4 2 3 4" xfId="19051" xr:uid="{00000000-0005-0000-0000-0000F53C0000}"/>
    <cellStyle name="Normal 6 2 4 2 4" xfId="6692" xr:uid="{00000000-0005-0000-0000-0000F63C0000}"/>
    <cellStyle name="Normal 6 2 4 2 4 2" xfId="12819" xr:uid="{00000000-0005-0000-0000-0000F73C0000}"/>
    <cellStyle name="Normal 6 2 4 2 4 3" xfId="19053" xr:uid="{00000000-0005-0000-0000-0000F83C0000}"/>
    <cellStyle name="Normal 6 2 4 2 5" xfId="12814" xr:uid="{00000000-0005-0000-0000-0000F93C0000}"/>
    <cellStyle name="Normal 6 2 4 2 6" xfId="19048" xr:uid="{00000000-0005-0000-0000-0000FA3C0000}"/>
    <cellStyle name="Normal 6 2 4 3" xfId="6693" xr:uid="{00000000-0005-0000-0000-0000FB3C0000}"/>
    <cellStyle name="Normal 6 2 4 3 2" xfId="6694" xr:uid="{00000000-0005-0000-0000-0000FC3C0000}"/>
    <cellStyle name="Normal 6 2 4 3 2 2" xfId="12821" xr:uid="{00000000-0005-0000-0000-0000FD3C0000}"/>
    <cellStyle name="Normal 6 2 4 3 2 3" xfId="19055" xr:uid="{00000000-0005-0000-0000-0000FE3C0000}"/>
    <cellStyle name="Normal 6 2 4 3 3" xfId="12820" xr:uid="{00000000-0005-0000-0000-0000FF3C0000}"/>
    <cellStyle name="Normal 6 2 4 3 4" xfId="19054" xr:uid="{00000000-0005-0000-0000-0000003D0000}"/>
    <cellStyle name="Normal 6 2 4 4" xfId="6695" xr:uid="{00000000-0005-0000-0000-0000013D0000}"/>
    <cellStyle name="Normal 6 2 4 4 2" xfId="6696" xr:uid="{00000000-0005-0000-0000-0000023D0000}"/>
    <cellStyle name="Normal 6 2 4 4 2 2" xfId="12823" xr:uid="{00000000-0005-0000-0000-0000033D0000}"/>
    <cellStyle name="Normal 6 2 4 4 2 3" xfId="19057" xr:uid="{00000000-0005-0000-0000-0000043D0000}"/>
    <cellStyle name="Normal 6 2 4 4 3" xfId="12822" xr:uid="{00000000-0005-0000-0000-0000053D0000}"/>
    <cellStyle name="Normal 6 2 4 4 4" xfId="19056" xr:uid="{00000000-0005-0000-0000-0000063D0000}"/>
    <cellStyle name="Normal 6 2 4 5" xfId="6697" xr:uid="{00000000-0005-0000-0000-0000073D0000}"/>
    <cellStyle name="Normal 6 2 4 5 2" xfId="12824" xr:uid="{00000000-0005-0000-0000-0000083D0000}"/>
    <cellStyle name="Normal 6 2 4 5 3" xfId="19058" xr:uid="{00000000-0005-0000-0000-0000093D0000}"/>
    <cellStyle name="Normal 6 2 4 6" xfId="12813" xr:uid="{00000000-0005-0000-0000-00000A3D0000}"/>
    <cellStyle name="Normal 6 2 4 7" xfId="19047" xr:uid="{00000000-0005-0000-0000-00000B3D0000}"/>
    <cellStyle name="Normal 6 2 5" xfId="6698" xr:uid="{00000000-0005-0000-0000-00000C3D0000}"/>
    <cellStyle name="Normal 6 2 5 2" xfId="6699" xr:uid="{00000000-0005-0000-0000-00000D3D0000}"/>
    <cellStyle name="Normal 6 2 5 2 2" xfId="6700" xr:uid="{00000000-0005-0000-0000-00000E3D0000}"/>
    <cellStyle name="Normal 6 2 5 2 2 2" xfId="12827" xr:uid="{00000000-0005-0000-0000-00000F3D0000}"/>
    <cellStyle name="Normal 6 2 5 2 2 3" xfId="19061" xr:uid="{00000000-0005-0000-0000-0000103D0000}"/>
    <cellStyle name="Normal 6 2 5 2 3" xfId="12826" xr:uid="{00000000-0005-0000-0000-0000113D0000}"/>
    <cellStyle name="Normal 6 2 5 2 4" xfId="19060" xr:uid="{00000000-0005-0000-0000-0000123D0000}"/>
    <cellStyle name="Normal 6 2 5 3" xfId="6701" xr:uid="{00000000-0005-0000-0000-0000133D0000}"/>
    <cellStyle name="Normal 6 2 5 3 2" xfId="6702" xr:uid="{00000000-0005-0000-0000-0000143D0000}"/>
    <cellStyle name="Normal 6 2 5 3 2 2" xfId="12829" xr:uid="{00000000-0005-0000-0000-0000153D0000}"/>
    <cellStyle name="Normal 6 2 5 3 2 3" xfId="19063" xr:uid="{00000000-0005-0000-0000-0000163D0000}"/>
    <cellStyle name="Normal 6 2 5 3 3" xfId="12828" xr:uid="{00000000-0005-0000-0000-0000173D0000}"/>
    <cellStyle name="Normal 6 2 5 3 4" xfId="19062" xr:uid="{00000000-0005-0000-0000-0000183D0000}"/>
    <cellStyle name="Normal 6 2 5 4" xfId="6703" xr:uid="{00000000-0005-0000-0000-0000193D0000}"/>
    <cellStyle name="Normal 6 2 5 4 2" xfId="12830" xr:uid="{00000000-0005-0000-0000-00001A3D0000}"/>
    <cellStyle name="Normal 6 2 5 4 3" xfId="19064" xr:uid="{00000000-0005-0000-0000-00001B3D0000}"/>
    <cellStyle name="Normal 6 2 5 5" xfId="12825" xr:uid="{00000000-0005-0000-0000-00001C3D0000}"/>
    <cellStyle name="Normal 6 2 5 6" xfId="19059" xr:uid="{00000000-0005-0000-0000-00001D3D0000}"/>
    <cellStyle name="Normal 6 2 6" xfId="6704" xr:uid="{00000000-0005-0000-0000-00001E3D0000}"/>
    <cellStyle name="Normal 6 2 6 2" xfId="6705" xr:uid="{00000000-0005-0000-0000-00001F3D0000}"/>
    <cellStyle name="Normal 6 2 6 2 2" xfId="12832" xr:uid="{00000000-0005-0000-0000-0000203D0000}"/>
    <cellStyle name="Normal 6 2 6 2 3" xfId="19066" xr:uid="{00000000-0005-0000-0000-0000213D0000}"/>
    <cellStyle name="Normal 6 2 6 3" xfId="12831" xr:uid="{00000000-0005-0000-0000-0000223D0000}"/>
    <cellStyle name="Normal 6 2 6 4" xfId="19065" xr:uid="{00000000-0005-0000-0000-0000233D0000}"/>
    <cellStyle name="Normal 6 2 7" xfId="6706" xr:uid="{00000000-0005-0000-0000-0000243D0000}"/>
    <cellStyle name="Normal 6 2 7 2" xfId="6707" xr:uid="{00000000-0005-0000-0000-0000253D0000}"/>
    <cellStyle name="Normal 6 2 7 2 2" xfId="12834" xr:uid="{00000000-0005-0000-0000-0000263D0000}"/>
    <cellStyle name="Normal 6 2 7 2 3" xfId="19068" xr:uid="{00000000-0005-0000-0000-0000273D0000}"/>
    <cellStyle name="Normal 6 2 7 3" xfId="12833" xr:uid="{00000000-0005-0000-0000-0000283D0000}"/>
    <cellStyle name="Normal 6 2 7 4" xfId="19067" xr:uid="{00000000-0005-0000-0000-0000293D0000}"/>
    <cellStyle name="Normal 6 2 8" xfId="6708" xr:uid="{00000000-0005-0000-0000-00002A3D0000}"/>
    <cellStyle name="Normal 6 2 8 2" xfId="12835" xr:uid="{00000000-0005-0000-0000-00002B3D0000}"/>
    <cellStyle name="Normal 6 2 8 3" xfId="19069" xr:uid="{00000000-0005-0000-0000-00002C3D0000}"/>
    <cellStyle name="Normal 6 2 9" xfId="6709" xr:uid="{00000000-0005-0000-0000-00002D3D0000}"/>
    <cellStyle name="Normal 6 2 9 2" xfId="19070" xr:uid="{00000000-0005-0000-0000-00002E3D0000}"/>
    <cellStyle name="Normal 6 3" xfId="6710" xr:uid="{00000000-0005-0000-0000-00002F3D0000}"/>
    <cellStyle name="Normal 6 3 10" xfId="12836" xr:uid="{00000000-0005-0000-0000-0000303D0000}"/>
    <cellStyle name="Normal 6 3 11" xfId="19071" xr:uid="{00000000-0005-0000-0000-0000313D0000}"/>
    <cellStyle name="Normal 6 3 2" xfId="6711" xr:uid="{00000000-0005-0000-0000-0000323D0000}"/>
    <cellStyle name="Normal 6 3 2 2" xfId="6712" xr:uid="{00000000-0005-0000-0000-0000333D0000}"/>
    <cellStyle name="Normal 6 3 2 2 2" xfId="6713" xr:uid="{00000000-0005-0000-0000-0000343D0000}"/>
    <cellStyle name="Normal 6 3 2 2 2 2" xfId="6714" xr:uid="{00000000-0005-0000-0000-0000353D0000}"/>
    <cellStyle name="Normal 6 3 2 2 2 2 2" xfId="6715" xr:uid="{00000000-0005-0000-0000-0000363D0000}"/>
    <cellStyle name="Normal 6 3 2 2 2 2 2 2" xfId="12841" xr:uid="{00000000-0005-0000-0000-0000373D0000}"/>
    <cellStyle name="Normal 6 3 2 2 2 2 2 3" xfId="19076" xr:uid="{00000000-0005-0000-0000-0000383D0000}"/>
    <cellStyle name="Normal 6 3 2 2 2 2 3" xfId="12840" xr:uid="{00000000-0005-0000-0000-0000393D0000}"/>
    <cellStyle name="Normal 6 3 2 2 2 2 4" xfId="19075" xr:uid="{00000000-0005-0000-0000-00003A3D0000}"/>
    <cellStyle name="Normal 6 3 2 2 2 3" xfId="6716" xr:uid="{00000000-0005-0000-0000-00003B3D0000}"/>
    <cellStyle name="Normal 6 3 2 2 2 3 2" xfId="6717" xr:uid="{00000000-0005-0000-0000-00003C3D0000}"/>
    <cellStyle name="Normal 6 3 2 2 2 3 2 2" xfId="12843" xr:uid="{00000000-0005-0000-0000-00003D3D0000}"/>
    <cellStyle name="Normal 6 3 2 2 2 3 2 3" xfId="19078" xr:uid="{00000000-0005-0000-0000-00003E3D0000}"/>
    <cellStyle name="Normal 6 3 2 2 2 3 3" xfId="12842" xr:uid="{00000000-0005-0000-0000-00003F3D0000}"/>
    <cellStyle name="Normal 6 3 2 2 2 3 4" xfId="19077" xr:uid="{00000000-0005-0000-0000-0000403D0000}"/>
    <cellStyle name="Normal 6 3 2 2 2 4" xfId="6718" xr:uid="{00000000-0005-0000-0000-0000413D0000}"/>
    <cellStyle name="Normal 6 3 2 2 2 4 2" xfId="12844" xr:uid="{00000000-0005-0000-0000-0000423D0000}"/>
    <cellStyle name="Normal 6 3 2 2 2 4 3" xfId="19079" xr:uid="{00000000-0005-0000-0000-0000433D0000}"/>
    <cellStyle name="Normal 6 3 2 2 2 5" xfId="12839" xr:uid="{00000000-0005-0000-0000-0000443D0000}"/>
    <cellStyle name="Normal 6 3 2 2 2 6" xfId="19074" xr:uid="{00000000-0005-0000-0000-0000453D0000}"/>
    <cellStyle name="Normal 6 3 2 2 3" xfId="6719" xr:uid="{00000000-0005-0000-0000-0000463D0000}"/>
    <cellStyle name="Normal 6 3 2 2 3 2" xfId="6720" xr:uid="{00000000-0005-0000-0000-0000473D0000}"/>
    <cellStyle name="Normal 6 3 2 2 3 2 2" xfId="12846" xr:uid="{00000000-0005-0000-0000-0000483D0000}"/>
    <cellStyle name="Normal 6 3 2 2 3 2 3" xfId="19081" xr:uid="{00000000-0005-0000-0000-0000493D0000}"/>
    <cellStyle name="Normal 6 3 2 2 3 3" xfId="12845" xr:uid="{00000000-0005-0000-0000-00004A3D0000}"/>
    <cellStyle name="Normal 6 3 2 2 3 4" xfId="19080" xr:uid="{00000000-0005-0000-0000-00004B3D0000}"/>
    <cellStyle name="Normal 6 3 2 2 4" xfId="6721" xr:uid="{00000000-0005-0000-0000-00004C3D0000}"/>
    <cellStyle name="Normal 6 3 2 2 4 2" xfId="6722" xr:uid="{00000000-0005-0000-0000-00004D3D0000}"/>
    <cellStyle name="Normal 6 3 2 2 4 2 2" xfId="12848" xr:uid="{00000000-0005-0000-0000-00004E3D0000}"/>
    <cellStyle name="Normal 6 3 2 2 4 2 3" xfId="19083" xr:uid="{00000000-0005-0000-0000-00004F3D0000}"/>
    <cellStyle name="Normal 6 3 2 2 4 3" xfId="12847" xr:uid="{00000000-0005-0000-0000-0000503D0000}"/>
    <cellStyle name="Normal 6 3 2 2 4 4" xfId="19082" xr:uid="{00000000-0005-0000-0000-0000513D0000}"/>
    <cellStyle name="Normal 6 3 2 2 5" xfId="6723" xr:uid="{00000000-0005-0000-0000-0000523D0000}"/>
    <cellStyle name="Normal 6 3 2 2 5 2" xfId="12849" xr:uid="{00000000-0005-0000-0000-0000533D0000}"/>
    <cellStyle name="Normal 6 3 2 2 5 3" xfId="19084" xr:uid="{00000000-0005-0000-0000-0000543D0000}"/>
    <cellStyle name="Normal 6 3 2 2 6" xfId="12838" xr:uid="{00000000-0005-0000-0000-0000553D0000}"/>
    <cellStyle name="Normal 6 3 2 2 7" xfId="19073" xr:uid="{00000000-0005-0000-0000-0000563D0000}"/>
    <cellStyle name="Normal 6 3 2 3" xfId="6724" xr:uid="{00000000-0005-0000-0000-0000573D0000}"/>
    <cellStyle name="Normal 6 3 2 3 2" xfId="6725" xr:uid="{00000000-0005-0000-0000-0000583D0000}"/>
    <cellStyle name="Normal 6 3 2 3 2 2" xfId="6726" xr:uid="{00000000-0005-0000-0000-0000593D0000}"/>
    <cellStyle name="Normal 6 3 2 3 2 2 2" xfId="12852" xr:uid="{00000000-0005-0000-0000-00005A3D0000}"/>
    <cellStyle name="Normal 6 3 2 3 2 2 3" xfId="19087" xr:uid="{00000000-0005-0000-0000-00005B3D0000}"/>
    <cellStyle name="Normal 6 3 2 3 2 3" xfId="12851" xr:uid="{00000000-0005-0000-0000-00005C3D0000}"/>
    <cellStyle name="Normal 6 3 2 3 2 4" xfId="19086" xr:uid="{00000000-0005-0000-0000-00005D3D0000}"/>
    <cellStyle name="Normal 6 3 2 3 3" xfId="6727" xr:uid="{00000000-0005-0000-0000-00005E3D0000}"/>
    <cellStyle name="Normal 6 3 2 3 3 2" xfId="6728" xr:uid="{00000000-0005-0000-0000-00005F3D0000}"/>
    <cellStyle name="Normal 6 3 2 3 3 2 2" xfId="12854" xr:uid="{00000000-0005-0000-0000-0000603D0000}"/>
    <cellStyle name="Normal 6 3 2 3 3 2 3" xfId="19089" xr:uid="{00000000-0005-0000-0000-0000613D0000}"/>
    <cellStyle name="Normal 6 3 2 3 3 3" xfId="12853" xr:uid="{00000000-0005-0000-0000-0000623D0000}"/>
    <cellStyle name="Normal 6 3 2 3 3 4" xfId="19088" xr:uid="{00000000-0005-0000-0000-0000633D0000}"/>
    <cellStyle name="Normal 6 3 2 3 4" xfId="6729" xr:uid="{00000000-0005-0000-0000-0000643D0000}"/>
    <cellStyle name="Normal 6 3 2 3 4 2" xfId="12855" xr:uid="{00000000-0005-0000-0000-0000653D0000}"/>
    <cellStyle name="Normal 6 3 2 3 4 3" xfId="19090" xr:uid="{00000000-0005-0000-0000-0000663D0000}"/>
    <cellStyle name="Normal 6 3 2 3 5" xfId="12850" xr:uid="{00000000-0005-0000-0000-0000673D0000}"/>
    <cellStyle name="Normal 6 3 2 3 6" xfId="19085" xr:uid="{00000000-0005-0000-0000-0000683D0000}"/>
    <cellStyle name="Normal 6 3 2 4" xfId="6730" xr:uid="{00000000-0005-0000-0000-0000693D0000}"/>
    <cellStyle name="Normal 6 3 2 4 2" xfId="6731" xr:uid="{00000000-0005-0000-0000-00006A3D0000}"/>
    <cellStyle name="Normal 6 3 2 4 2 2" xfId="12857" xr:uid="{00000000-0005-0000-0000-00006B3D0000}"/>
    <cellStyle name="Normal 6 3 2 4 2 3" xfId="19092" xr:uid="{00000000-0005-0000-0000-00006C3D0000}"/>
    <cellStyle name="Normal 6 3 2 4 3" xfId="12856" xr:uid="{00000000-0005-0000-0000-00006D3D0000}"/>
    <cellStyle name="Normal 6 3 2 4 4" xfId="19091" xr:uid="{00000000-0005-0000-0000-00006E3D0000}"/>
    <cellStyle name="Normal 6 3 2 5" xfId="6732" xr:uid="{00000000-0005-0000-0000-00006F3D0000}"/>
    <cellStyle name="Normal 6 3 2 5 2" xfId="6733" xr:uid="{00000000-0005-0000-0000-0000703D0000}"/>
    <cellStyle name="Normal 6 3 2 5 2 2" xfId="12859" xr:uid="{00000000-0005-0000-0000-0000713D0000}"/>
    <cellStyle name="Normal 6 3 2 5 2 3" xfId="19094" xr:uid="{00000000-0005-0000-0000-0000723D0000}"/>
    <cellStyle name="Normal 6 3 2 5 3" xfId="12858" xr:uid="{00000000-0005-0000-0000-0000733D0000}"/>
    <cellStyle name="Normal 6 3 2 5 4" xfId="19093" xr:uid="{00000000-0005-0000-0000-0000743D0000}"/>
    <cellStyle name="Normal 6 3 2 6" xfId="6734" xr:uid="{00000000-0005-0000-0000-0000753D0000}"/>
    <cellStyle name="Normal 6 3 2 6 2" xfId="12860" xr:uid="{00000000-0005-0000-0000-0000763D0000}"/>
    <cellStyle name="Normal 6 3 2 6 3" xfId="19095" xr:uid="{00000000-0005-0000-0000-0000773D0000}"/>
    <cellStyle name="Normal 6 3 2 7" xfId="6735" xr:uid="{00000000-0005-0000-0000-0000783D0000}"/>
    <cellStyle name="Normal 6 3 2 7 2" xfId="19096" xr:uid="{00000000-0005-0000-0000-0000793D0000}"/>
    <cellStyle name="Normal 6 3 2 8" xfId="12837" xr:uid="{00000000-0005-0000-0000-00007A3D0000}"/>
    <cellStyle name="Normal 6 3 2 9" xfId="19072" xr:uid="{00000000-0005-0000-0000-00007B3D0000}"/>
    <cellStyle name="Normal 6 3 3" xfId="6736" xr:uid="{00000000-0005-0000-0000-00007C3D0000}"/>
    <cellStyle name="Normal 6 3 3 2" xfId="6737" xr:uid="{00000000-0005-0000-0000-00007D3D0000}"/>
    <cellStyle name="Normal 6 3 3 2 2" xfId="6738" xr:uid="{00000000-0005-0000-0000-00007E3D0000}"/>
    <cellStyle name="Normal 6 3 3 2 2 2" xfId="6739" xr:uid="{00000000-0005-0000-0000-00007F3D0000}"/>
    <cellStyle name="Normal 6 3 3 2 2 2 2" xfId="12864" xr:uid="{00000000-0005-0000-0000-0000803D0000}"/>
    <cellStyle name="Normal 6 3 3 2 2 2 3" xfId="19100" xr:uid="{00000000-0005-0000-0000-0000813D0000}"/>
    <cellStyle name="Normal 6 3 3 2 2 3" xfId="12863" xr:uid="{00000000-0005-0000-0000-0000823D0000}"/>
    <cellStyle name="Normal 6 3 3 2 2 4" xfId="19099" xr:uid="{00000000-0005-0000-0000-0000833D0000}"/>
    <cellStyle name="Normal 6 3 3 2 3" xfId="6740" xr:uid="{00000000-0005-0000-0000-0000843D0000}"/>
    <cellStyle name="Normal 6 3 3 2 3 2" xfId="6741" xr:uid="{00000000-0005-0000-0000-0000853D0000}"/>
    <cellStyle name="Normal 6 3 3 2 3 2 2" xfId="12866" xr:uid="{00000000-0005-0000-0000-0000863D0000}"/>
    <cellStyle name="Normal 6 3 3 2 3 2 3" xfId="19102" xr:uid="{00000000-0005-0000-0000-0000873D0000}"/>
    <cellStyle name="Normal 6 3 3 2 3 3" xfId="12865" xr:uid="{00000000-0005-0000-0000-0000883D0000}"/>
    <cellStyle name="Normal 6 3 3 2 3 4" xfId="19101" xr:uid="{00000000-0005-0000-0000-0000893D0000}"/>
    <cellStyle name="Normal 6 3 3 2 4" xfId="6742" xr:uid="{00000000-0005-0000-0000-00008A3D0000}"/>
    <cellStyle name="Normal 6 3 3 2 4 2" xfId="12867" xr:uid="{00000000-0005-0000-0000-00008B3D0000}"/>
    <cellStyle name="Normal 6 3 3 2 4 3" xfId="19103" xr:uid="{00000000-0005-0000-0000-00008C3D0000}"/>
    <cellStyle name="Normal 6 3 3 2 5" xfId="12862" xr:uid="{00000000-0005-0000-0000-00008D3D0000}"/>
    <cellStyle name="Normal 6 3 3 2 6" xfId="19098" xr:uid="{00000000-0005-0000-0000-00008E3D0000}"/>
    <cellStyle name="Normal 6 3 3 3" xfId="6743" xr:uid="{00000000-0005-0000-0000-00008F3D0000}"/>
    <cellStyle name="Normal 6 3 3 3 2" xfId="6744" xr:uid="{00000000-0005-0000-0000-0000903D0000}"/>
    <cellStyle name="Normal 6 3 3 3 2 2" xfId="12869" xr:uid="{00000000-0005-0000-0000-0000913D0000}"/>
    <cellStyle name="Normal 6 3 3 3 2 3" xfId="19105" xr:uid="{00000000-0005-0000-0000-0000923D0000}"/>
    <cellStyle name="Normal 6 3 3 3 3" xfId="12868" xr:uid="{00000000-0005-0000-0000-0000933D0000}"/>
    <cellStyle name="Normal 6 3 3 3 4" xfId="19104" xr:uid="{00000000-0005-0000-0000-0000943D0000}"/>
    <cellStyle name="Normal 6 3 3 4" xfId="6745" xr:uid="{00000000-0005-0000-0000-0000953D0000}"/>
    <cellStyle name="Normal 6 3 3 4 2" xfId="6746" xr:uid="{00000000-0005-0000-0000-0000963D0000}"/>
    <cellStyle name="Normal 6 3 3 4 2 2" xfId="12871" xr:uid="{00000000-0005-0000-0000-0000973D0000}"/>
    <cellStyle name="Normal 6 3 3 4 2 3" xfId="19107" xr:uid="{00000000-0005-0000-0000-0000983D0000}"/>
    <cellStyle name="Normal 6 3 3 4 3" xfId="12870" xr:uid="{00000000-0005-0000-0000-0000993D0000}"/>
    <cellStyle name="Normal 6 3 3 4 4" xfId="19106" xr:uid="{00000000-0005-0000-0000-00009A3D0000}"/>
    <cellStyle name="Normal 6 3 3 5" xfId="6747" xr:uid="{00000000-0005-0000-0000-00009B3D0000}"/>
    <cellStyle name="Normal 6 3 3 5 2" xfId="12872" xr:uid="{00000000-0005-0000-0000-00009C3D0000}"/>
    <cellStyle name="Normal 6 3 3 5 3" xfId="19108" xr:uid="{00000000-0005-0000-0000-00009D3D0000}"/>
    <cellStyle name="Normal 6 3 3 6" xfId="12861" xr:uid="{00000000-0005-0000-0000-00009E3D0000}"/>
    <cellStyle name="Normal 6 3 3 7" xfId="19097" xr:uid="{00000000-0005-0000-0000-00009F3D0000}"/>
    <cellStyle name="Normal 6 3 4" xfId="6748" xr:uid="{00000000-0005-0000-0000-0000A03D0000}"/>
    <cellStyle name="Normal 6 3 4 2" xfId="6749" xr:uid="{00000000-0005-0000-0000-0000A13D0000}"/>
    <cellStyle name="Normal 6 3 4 2 2" xfId="6750" xr:uid="{00000000-0005-0000-0000-0000A23D0000}"/>
    <cellStyle name="Normal 6 3 4 2 2 2" xfId="12875" xr:uid="{00000000-0005-0000-0000-0000A33D0000}"/>
    <cellStyle name="Normal 6 3 4 2 2 3" xfId="19111" xr:uid="{00000000-0005-0000-0000-0000A43D0000}"/>
    <cellStyle name="Normal 6 3 4 2 3" xfId="12874" xr:uid="{00000000-0005-0000-0000-0000A53D0000}"/>
    <cellStyle name="Normal 6 3 4 2 4" xfId="19110" xr:uid="{00000000-0005-0000-0000-0000A63D0000}"/>
    <cellStyle name="Normal 6 3 4 3" xfId="6751" xr:uid="{00000000-0005-0000-0000-0000A73D0000}"/>
    <cellStyle name="Normal 6 3 4 3 2" xfId="6752" xr:uid="{00000000-0005-0000-0000-0000A83D0000}"/>
    <cellStyle name="Normal 6 3 4 3 2 2" xfId="12877" xr:uid="{00000000-0005-0000-0000-0000A93D0000}"/>
    <cellStyle name="Normal 6 3 4 3 2 3" xfId="19113" xr:uid="{00000000-0005-0000-0000-0000AA3D0000}"/>
    <cellStyle name="Normal 6 3 4 3 3" xfId="12876" xr:uid="{00000000-0005-0000-0000-0000AB3D0000}"/>
    <cellStyle name="Normal 6 3 4 3 4" xfId="19112" xr:uid="{00000000-0005-0000-0000-0000AC3D0000}"/>
    <cellStyle name="Normal 6 3 4 4" xfId="6753" xr:uid="{00000000-0005-0000-0000-0000AD3D0000}"/>
    <cellStyle name="Normal 6 3 4 4 2" xfId="12878" xr:uid="{00000000-0005-0000-0000-0000AE3D0000}"/>
    <cellStyle name="Normal 6 3 4 4 3" xfId="19114" xr:uid="{00000000-0005-0000-0000-0000AF3D0000}"/>
    <cellStyle name="Normal 6 3 4 5" xfId="12873" xr:uid="{00000000-0005-0000-0000-0000B03D0000}"/>
    <cellStyle name="Normal 6 3 4 6" xfId="19109" xr:uid="{00000000-0005-0000-0000-0000B13D0000}"/>
    <cellStyle name="Normal 6 3 5" xfId="6754" xr:uid="{00000000-0005-0000-0000-0000B23D0000}"/>
    <cellStyle name="Normal 6 3 5 2" xfId="6755" xr:uid="{00000000-0005-0000-0000-0000B33D0000}"/>
    <cellStyle name="Normal 6 3 5 2 2" xfId="12880" xr:uid="{00000000-0005-0000-0000-0000B43D0000}"/>
    <cellStyle name="Normal 6 3 5 2 3" xfId="19116" xr:uid="{00000000-0005-0000-0000-0000B53D0000}"/>
    <cellStyle name="Normal 6 3 5 3" xfId="12879" xr:uid="{00000000-0005-0000-0000-0000B63D0000}"/>
    <cellStyle name="Normal 6 3 5 4" xfId="19115" xr:uid="{00000000-0005-0000-0000-0000B73D0000}"/>
    <cellStyle name="Normal 6 3 6" xfId="6756" xr:uid="{00000000-0005-0000-0000-0000B83D0000}"/>
    <cellStyle name="Normal 6 3 6 2" xfId="6757" xr:uid="{00000000-0005-0000-0000-0000B93D0000}"/>
    <cellStyle name="Normal 6 3 6 2 2" xfId="12882" xr:uid="{00000000-0005-0000-0000-0000BA3D0000}"/>
    <cellStyle name="Normal 6 3 6 2 3" xfId="19118" xr:uid="{00000000-0005-0000-0000-0000BB3D0000}"/>
    <cellStyle name="Normal 6 3 6 3" xfId="12881" xr:uid="{00000000-0005-0000-0000-0000BC3D0000}"/>
    <cellStyle name="Normal 6 3 6 4" xfId="19117" xr:uid="{00000000-0005-0000-0000-0000BD3D0000}"/>
    <cellStyle name="Normal 6 3 7" xfId="6758" xr:uid="{00000000-0005-0000-0000-0000BE3D0000}"/>
    <cellStyle name="Normal 6 3 7 2" xfId="12883" xr:uid="{00000000-0005-0000-0000-0000BF3D0000}"/>
    <cellStyle name="Normal 6 3 7 3" xfId="19119" xr:uid="{00000000-0005-0000-0000-0000C03D0000}"/>
    <cellStyle name="Normal 6 3 8" xfId="6759" xr:uid="{00000000-0005-0000-0000-0000C13D0000}"/>
    <cellStyle name="Normal 6 3 8 2" xfId="12884" xr:uid="{00000000-0005-0000-0000-0000C23D0000}"/>
    <cellStyle name="Normal 6 3 8 3" xfId="19120" xr:uid="{00000000-0005-0000-0000-0000C33D0000}"/>
    <cellStyle name="Normal 6 3 9" xfId="6760" xr:uid="{00000000-0005-0000-0000-0000C43D0000}"/>
    <cellStyle name="Normal 6 3 9 2" xfId="19121" xr:uid="{00000000-0005-0000-0000-0000C53D0000}"/>
    <cellStyle name="Normal 6 4" xfId="6761" xr:uid="{00000000-0005-0000-0000-0000C63D0000}"/>
    <cellStyle name="Normal 6 4 10" xfId="19122" xr:uid="{00000000-0005-0000-0000-0000C73D0000}"/>
    <cellStyle name="Normal 6 4 2" xfId="6762" xr:uid="{00000000-0005-0000-0000-0000C83D0000}"/>
    <cellStyle name="Normal 6 4 2 2" xfId="6763" xr:uid="{00000000-0005-0000-0000-0000C93D0000}"/>
    <cellStyle name="Normal 6 4 2 2 2" xfId="6764" xr:uid="{00000000-0005-0000-0000-0000CA3D0000}"/>
    <cellStyle name="Normal 6 4 2 2 2 2" xfId="6765" xr:uid="{00000000-0005-0000-0000-0000CB3D0000}"/>
    <cellStyle name="Normal 6 4 2 2 2 2 2" xfId="6766" xr:uid="{00000000-0005-0000-0000-0000CC3D0000}"/>
    <cellStyle name="Normal 6 4 2 2 2 2 2 2" xfId="12890" xr:uid="{00000000-0005-0000-0000-0000CD3D0000}"/>
    <cellStyle name="Normal 6 4 2 2 2 2 2 3" xfId="19127" xr:uid="{00000000-0005-0000-0000-0000CE3D0000}"/>
    <cellStyle name="Normal 6 4 2 2 2 2 3" xfId="12889" xr:uid="{00000000-0005-0000-0000-0000CF3D0000}"/>
    <cellStyle name="Normal 6 4 2 2 2 2 4" xfId="19126" xr:uid="{00000000-0005-0000-0000-0000D03D0000}"/>
    <cellStyle name="Normal 6 4 2 2 2 3" xfId="6767" xr:uid="{00000000-0005-0000-0000-0000D13D0000}"/>
    <cellStyle name="Normal 6 4 2 2 2 3 2" xfId="6768" xr:uid="{00000000-0005-0000-0000-0000D23D0000}"/>
    <cellStyle name="Normal 6 4 2 2 2 3 2 2" xfId="12892" xr:uid="{00000000-0005-0000-0000-0000D33D0000}"/>
    <cellStyle name="Normal 6 4 2 2 2 3 2 3" xfId="19129" xr:uid="{00000000-0005-0000-0000-0000D43D0000}"/>
    <cellStyle name="Normal 6 4 2 2 2 3 3" xfId="12891" xr:uid="{00000000-0005-0000-0000-0000D53D0000}"/>
    <cellStyle name="Normal 6 4 2 2 2 3 4" xfId="19128" xr:uid="{00000000-0005-0000-0000-0000D63D0000}"/>
    <cellStyle name="Normal 6 4 2 2 2 4" xfId="6769" xr:uid="{00000000-0005-0000-0000-0000D73D0000}"/>
    <cellStyle name="Normal 6 4 2 2 2 4 2" xfId="12893" xr:uid="{00000000-0005-0000-0000-0000D83D0000}"/>
    <cellStyle name="Normal 6 4 2 2 2 4 3" xfId="19130" xr:uid="{00000000-0005-0000-0000-0000D93D0000}"/>
    <cellStyle name="Normal 6 4 2 2 2 5" xfId="12888" xr:uid="{00000000-0005-0000-0000-0000DA3D0000}"/>
    <cellStyle name="Normal 6 4 2 2 2 6" xfId="19125" xr:uid="{00000000-0005-0000-0000-0000DB3D0000}"/>
    <cellStyle name="Normal 6 4 2 2 3" xfId="6770" xr:uid="{00000000-0005-0000-0000-0000DC3D0000}"/>
    <cellStyle name="Normal 6 4 2 2 3 2" xfId="6771" xr:uid="{00000000-0005-0000-0000-0000DD3D0000}"/>
    <cellStyle name="Normal 6 4 2 2 3 2 2" xfId="12895" xr:uid="{00000000-0005-0000-0000-0000DE3D0000}"/>
    <cellStyle name="Normal 6 4 2 2 3 2 3" xfId="19132" xr:uid="{00000000-0005-0000-0000-0000DF3D0000}"/>
    <cellStyle name="Normal 6 4 2 2 3 3" xfId="12894" xr:uid="{00000000-0005-0000-0000-0000E03D0000}"/>
    <cellStyle name="Normal 6 4 2 2 3 4" xfId="19131" xr:uid="{00000000-0005-0000-0000-0000E13D0000}"/>
    <cellStyle name="Normal 6 4 2 2 4" xfId="6772" xr:uid="{00000000-0005-0000-0000-0000E23D0000}"/>
    <cellStyle name="Normal 6 4 2 2 4 2" xfId="6773" xr:uid="{00000000-0005-0000-0000-0000E33D0000}"/>
    <cellStyle name="Normal 6 4 2 2 4 2 2" xfId="12897" xr:uid="{00000000-0005-0000-0000-0000E43D0000}"/>
    <cellStyle name="Normal 6 4 2 2 4 2 3" xfId="19134" xr:uid="{00000000-0005-0000-0000-0000E53D0000}"/>
    <cellStyle name="Normal 6 4 2 2 4 3" xfId="12896" xr:uid="{00000000-0005-0000-0000-0000E63D0000}"/>
    <cellStyle name="Normal 6 4 2 2 4 4" xfId="19133" xr:uid="{00000000-0005-0000-0000-0000E73D0000}"/>
    <cellStyle name="Normal 6 4 2 2 5" xfId="6774" xr:uid="{00000000-0005-0000-0000-0000E83D0000}"/>
    <cellStyle name="Normal 6 4 2 2 5 2" xfId="12898" xr:uid="{00000000-0005-0000-0000-0000E93D0000}"/>
    <cellStyle name="Normal 6 4 2 2 5 3" xfId="19135" xr:uid="{00000000-0005-0000-0000-0000EA3D0000}"/>
    <cellStyle name="Normal 6 4 2 2 6" xfId="12887" xr:uid="{00000000-0005-0000-0000-0000EB3D0000}"/>
    <cellStyle name="Normal 6 4 2 2 7" xfId="19124" xr:uid="{00000000-0005-0000-0000-0000EC3D0000}"/>
    <cellStyle name="Normal 6 4 2 3" xfId="6775" xr:uid="{00000000-0005-0000-0000-0000ED3D0000}"/>
    <cellStyle name="Normal 6 4 2 3 2" xfId="6776" xr:uid="{00000000-0005-0000-0000-0000EE3D0000}"/>
    <cellStyle name="Normal 6 4 2 3 2 2" xfId="6777" xr:uid="{00000000-0005-0000-0000-0000EF3D0000}"/>
    <cellStyle name="Normal 6 4 2 3 2 2 2" xfId="12901" xr:uid="{00000000-0005-0000-0000-0000F03D0000}"/>
    <cellStyle name="Normal 6 4 2 3 2 2 3" xfId="19138" xr:uid="{00000000-0005-0000-0000-0000F13D0000}"/>
    <cellStyle name="Normal 6 4 2 3 2 3" xfId="12900" xr:uid="{00000000-0005-0000-0000-0000F23D0000}"/>
    <cellStyle name="Normal 6 4 2 3 2 4" xfId="19137" xr:uid="{00000000-0005-0000-0000-0000F33D0000}"/>
    <cellStyle name="Normal 6 4 2 3 3" xfId="6778" xr:uid="{00000000-0005-0000-0000-0000F43D0000}"/>
    <cellStyle name="Normal 6 4 2 3 3 2" xfId="6779" xr:uid="{00000000-0005-0000-0000-0000F53D0000}"/>
    <cellStyle name="Normal 6 4 2 3 3 2 2" xfId="12903" xr:uid="{00000000-0005-0000-0000-0000F63D0000}"/>
    <cellStyle name="Normal 6 4 2 3 3 2 3" xfId="19140" xr:uid="{00000000-0005-0000-0000-0000F73D0000}"/>
    <cellStyle name="Normal 6 4 2 3 3 3" xfId="12902" xr:uid="{00000000-0005-0000-0000-0000F83D0000}"/>
    <cellStyle name="Normal 6 4 2 3 3 4" xfId="19139" xr:uid="{00000000-0005-0000-0000-0000F93D0000}"/>
    <cellStyle name="Normal 6 4 2 3 4" xfId="6780" xr:uid="{00000000-0005-0000-0000-0000FA3D0000}"/>
    <cellStyle name="Normal 6 4 2 3 4 2" xfId="12904" xr:uid="{00000000-0005-0000-0000-0000FB3D0000}"/>
    <cellStyle name="Normal 6 4 2 3 4 3" xfId="19141" xr:uid="{00000000-0005-0000-0000-0000FC3D0000}"/>
    <cellStyle name="Normal 6 4 2 3 5" xfId="12899" xr:uid="{00000000-0005-0000-0000-0000FD3D0000}"/>
    <cellStyle name="Normal 6 4 2 3 6" xfId="19136" xr:uid="{00000000-0005-0000-0000-0000FE3D0000}"/>
    <cellStyle name="Normal 6 4 2 4" xfId="6781" xr:uid="{00000000-0005-0000-0000-0000FF3D0000}"/>
    <cellStyle name="Normal 6 4 2 4 2" xfId="6782" xr:uid="{00000000-0005-0000-0000-0000003E0000}"/>
    <cellStyle name="Normal 6 4 2 4 2 2" xfId="12906" xr:uid="{00000000-0005-0000-0000-0000013E0000}"/>
    <cellStyle name="Normal 6 4 2 4 2 3" xfId="19143" xr:uid="{00000000-0005-0000-0000-0000023E0000}"/>
    <cellStyle name="Normal 6 4 2 4 3" xfId="12905" xr:uid="{00000000-0005-0000-0000-0000033E0000}"/>
    <cellStyle name="Normal 6 4 2 4 4" xfId="19142" xr:uid="{00000000-0005-0000-0000-0000043E0000}"/>
    <cellStyle name="Normal 6 4 2 5" xfId="6783" xr:uid="{00000000-0005-0000-0000-0000053E0000}"/>
    <cellStyle name="Normal 6 4 2 5 2" xfId="6784" xr:uid="{00000000-0005-0000-0000-0000063E0000}"/>
    <cellStyle name="Normal 6 4 2 5 2 2" xfId="12908" xr:uid="{00000000-0005-0000-0000-0000073E0000}"/>
    <cellStyle name="Normal 6 4 2 5 2 3" xfId="19145" xr:uid="{00000000-0005-0000-0000-0000083E0000}"/>
    <cellStyle name="Normal 6 4 2 5 3" xfId="12907" xr:uid="{00000000-0005-0000-0000-0000093E0000}"/>
    <cellStyle name="Normal 6 4 2 5 4" xfId="19144" xr:uid="{00000000-0005-0000-0000-00000A3E0000}"/>
    <cellStyle name="Normal 6 4 2 6" xfId="6785" xr:uid="{00000000-0005-0000-0000-00000B3E0000}"/>
    <cellStyle name="Normal 6 4 2 6 2" xfId="12909" xr:uid="{00000000-0005-0000-0000-00000C3E0000}"/>
    <cellStyle name="Normal 6 4 2 6 3" xfId="19146" xr:uid="{00000000-0005-0000-0000-00000D3E0000}"/>
    <cellStyle name="Normal 6 4 2 7" xfId="12886" xr:uid="{00000000-0005-0000-0000-00000E3E0000}"/>
    <cellStyle name="Normal 6 4 2 8" xfId="19123" xr:uid="{00000000-0005-0000-0000-00000F3E0000}"/>
    <cellStyle name="Normal 6 4 3" xfId="6786" xr:uid="{00000000-0005-0000-0000-0000103E0000}"/>
    <cellStyle name="Normal 6 4 3 2" xfId="6787" xr:uid="{00000000-0005-0000-0000-0000113E0000}"/>
    <cellStyle name="Normal 6 4 3 2 2" xfId="6788" xr:uid="{00000000-0005-0000-0000-0000123E0000}"/>
    <cellStyle name="Normal 6 4 3 2 2 2" xfId="6789" xr:uid="{00000000-0005-0000-0000-0000133E0000}"/>
    <cellStyle name="Normal 6 4 3 2 2 2 2" xfId="12913" xr:uid="{00000000-0005-0000-0000-0000143E0000}"/>
    <cellStyle name="Normal 6 4 3 2 2 2 3" xfId="19150" xr:uid="{00000000-0005-0000-0000-0000153E0000}"/>
    <cellStyle name="Normal 6 4 3 2 2 3" xfId="12912" xr:uid="{00000000-0005-0000-0000-0000163E0000}"/>
    <cellStyle name="Normal 6 4 3 2 2 4" xfId="19149" xr:uid="{00000000-0005-0000-0000-0000173E0000}"/>
    <cellStyle name="Normal 6 4 3 2 3" xfId="6790" xr:uid="{00000000-0005-0000-0000-0000183E0000}"/>
    <cellStyle name="Normal 6 4 3 2 3 2" xfId="6791" xr:uid="{00000000-0005-0000-0000-0000193E0000}"/>
    <cellStyle name="Normal 6 4 3 2 3 2 2" xfId="12915" xr:uid="{00000000-0005-0000-0000-00001A3E0000}"/>
    <cellStyle name="Normal 6 4 3 2 3 2 3" xfId="19152" xr:uid="{00000000-0005-0000-0000-00001B3E0000}"/>
    <cellStyle name="Normal 6 4 3 2 3 3" xfId="12914" xr:uid="{00000000-0005-0000-0000-00001C3E0000}"/>
    <cellStyle name="Normal 6 4 3 2 3 4" xfId="19151" xr:uid="{00000000-0005-0000-0000-00001D3E0000}"/>
    <cellStyle name="Normal 6 4 3 2 4" xfId="6792" xr:uid="{00000000-0005-0000-0000-00001E3E0000}"/>
    <cellStyle name="Normal 6 4 3 2 4 2" xfId="12916" xr:uid="{00000000-0005-0000-0000-00001F3E0000}"/>
    <cellStyle name="Normal 6 4 3 2 4 3" xfId="19153" xr:uid="{00000000-0005-0000-0000-0000203E0000}"/>
    <cellStyle name="Normal 6 4 3 2 5" xfId="12911" xr:uid="{00000000-0005-0000-0000-0000213E0000}"/>
    <cellStyle name="Normal 6 4 3 2 6" xfId="19148" xr:uid="{00000000-0005-0000-0000-0000223E0000}"/>
    <cellStyle name="Normal 6 4 3 3" xfId="6793" xr:uid="{00000000-0005-0000-0000-0000233E0000}"/>
    <cellStyle name="Normal 6 4 3 3 2" xfId="6794" xr:uid="{00000000-0005-0000-0000-0000243E0000}"/>
    <cellStyle name="Normal 6 4 3 3 2 2" xfId="12918" xr:uid="{00000000-0005-0000-0000-0000253E0000}"/>
    <cellStyle name="Normal 6 4 3 3 2 3" xfId="19155" xr:uid="{00000000-0005-0000-0000-0000263E0000}"/>
    <cellStyle name="Normal 6 4 3 3 3" xfId="12917" xr:uid="{00000000-0005-0000-0000-0000273E0000}"/>
    <cellStyle name="Normal 6 4 3 3 4" xfId="19154" xr:uid="{00000000-0005-0000-0000-0000283E0000}"/>
    <cellStyle name="Normal 6 4 3 4" xfId="6795" xr:uid="{00000000-0005-0000-0000-0000293E0000}"/>
    <cellStyle name="Normal 6 4 3 4 2" xfId="6796" xr:uid="{00000000-0005-0000-0000-00002A3E0000}"/>
    <cellStyle name="Normal 6 4 3 4 2 2" xfId="12920" xr:uid="{00000000-0005-0000-0000-00002B3E0000}"/>
    <cellStyle name="Normal 6 4 3 4 2 3" xfId="19157" xr:uid="{00000000-0005-0000-0000-00002C3E0000}"/>
    <cellStyle name="Normal 6 4 3 4 3" xfId="12919" xr:uid="{00000000-0005-0000-0000-00002D3E0000}"/>
    <cellStyle name="Normal 6 4 3 4 4" xfId="19156" xr:uid="{00000000-0005-0000-0000-00002E3E0000}"/>
    <cellStyle name="Normal 6 4 3 5" xfId="6797" xr:uid="{00000000-0005-0000-0000-00002F3E0000}"/>
    <cellStyle name="Normal 6 4 3 5 2" xfId="12921" xr:uid="{00000000-0005-0000-0000-0000303E0000}"/>
    <cellStyle name="Normal 6 4 3 5 3" xfId="19158" xr:uid="{00000000-0005-0000-0000-0000313E0000}"/>
    <cellStyle name="Normal 6 4 3 6" xfId="12910" xr:uid="{00000000-0005-0000-0000-0000323E0000}"/>
    <cellStyle name="Normal 6 4 3 7" xfId="19147" xr:uid="{00000000-0005-0000-0000-0000333E0000}"/>
    <cellStyle name="Normal 6 4 4" xfId="6798" xr:uid="{00000000-0005-0000-0000-0000343E0000}"/>
    <cellStyle name="Normal 6 4 4 2" xfId="6799" xr:uid="{00000000-0005-0000-0000-0000353E0000}"/>
    <cellStyle name="Normal 6 4 4 2 2" xfId="6800" xr:uid="{00000000-0005-0000-0000-0000363E0000}"/>
    <cellStyle name="Normal 6 4 4 2 2 2" xfId="12924" xr:uid="{00000000-0005-0000-0000-0000373E0000}"/>
    <cellStyle name="Normal 6 4 4 2 2 3" xfId="19161" xr:uid="{00000000-0005-0000-0000-0000383E0000}"/>
    <cellStyle name="Normal 6 4 4 2 3" xfId="12923" xr:uid="{00000000-0005-0000-0000-0000393E0000}"/>
    <cellStyle name="Normal 6 4 4 2 4" xfId="19160" xr:uid="{00000000-0005-0000-0000-00003A3E0000}"/>
    <cellStyle name="Normal 6 4 4 3" xfId="6801" xr:uid="{00000000-0005-0000-0000-00003B3E0000}"/>
    <cellStyle name="Normal 6 4 4 3 2" xfId="6802" xr:uid="{00000000-0005-0000-0000-00003C3E0000}"/>
    <cellStyle name="Normal 6 4 4 3 2 2" xfId="12926" xr:uid="{00000000-0005-0000-0000-00003D3E0000}"/>
    <cellStyle name="Normal 6 4 4 3 2 3" xfId="19163" xr:uid="{00000000-0005-0000-0000-00003E3E0000}"/>
    <cellStyle name="Normal 6 4 4 3 3" xfId="12925" xr:uid="{00000000-0005-0000-0000-00003F3E0000}"/>
    <cellStyle name="Normal 6 4 4 3 4" xfId="19162" xr:uid="{00000000-0005-0000-0000-0000403E0000}"/>
    <cellStyle name="Normal 6 4 4 4" xfId="6803" xr:uid="{00000000-0005-0000-0000-0000413E0000}"/>
    <cellStyle name="Normal 6 4 4 4 2" xfId="12927" xr:uid="{00000000-0005-0000-0000-0000423E0000}"/>
    <cellStyle name="Normal 6 4 4 4 3" xfId="19164" xr:uid="{00000000-0005-0000-0000-0000433E0000}"/>
    <cellStyle name="Normal 6 4 4 5" xfId="12922" xr:uid="{00000000-0005-0000-0000-0000443E0000}"/>
    <cellStyle name="Normal 6 4 4 6" xfId="19159" xr:uid="{00000000-0005-0000-0000-0000453E0000}"/>
    <cellStyle name="Normal 6 4 5" xfId="6804" xr:uid="{00000000-0005-0000-0000-0000463E0000}"/>
    <cellStyle name="Normal 6 4 5 2" xfId="6805" xr:uid="{00000000-0005-0000-0000-0000473E0000}"/>
    <cellStyle name="Normal 6 4 5 2 2" xfId="12929" xr:uid="{00000000-0005-0000-0000-0000483E0000}"/>
    <cellStyle name="Normal 6 4 5 2 3" xfId="19166" xr:uid="{00000000-0005-0000-0000-0000493E0000}"/>
    <cellStyle name="Normal 6 4 5 3" xfId="12928" xr:uid="{00000000-0005-0000-0000-00004A3E0000}"/>
    <cellStyle name="Normal 6 4 5 4" xfId="19165" xr:uid="{00000000-0005-0000-0000-00004B3E0000}"/>
    <cellStyle name="Normal 6 4 6" xfId="6806" xr:uid="{00000000-0005-0000-0000-00004C3E0000}"/>
    <cellStyle name="Normal 6 4 6 2" xfId="6807" xr:uid="{00000000-0005-0000-0000-00004D3E0000}"/>
    <cellStyle name="Normal 6 4 6 2 2" xfId="12931" xr:uid="{00000000-0005-0000-0000-00004E3E0000}"/>
    <cellStyle name="Normal 6 4 6 2 3" xfId="19168" xr:uid="{00000000-0005-0000-0000-00004F3E0000}"/>
    <cellStyle name="Normal 6 4 6 3" xfId="12930" xr:uid="{00000000-0005-0000-0000-0000503E0000}"/>
    <cellStyle name="Normal 6 4 6 4" xfId="19167" xr:uid="{00000000-0005-0000-0000-0000513E0000}"/>
    <cellStyle name="Normal 6 4 7" xfId="6808" xr:uid="{00000000-0005-0000-0000-0000523E0000}"/>
    <cellStyle name="Normal 6 4 7 2" xfId="12932" xr:uid="{00000000-0005-0000-0000-0000533E0000}"/>
    <cellStyle name="Normal 6 4 7 3" xfId="19169" xr:uid="{00000000-0005-0000-0000-0000543E0000}"/>
    <cellStyle name="Normal 6 4 8" xfId="6809" xr:uid="{00000000-0005-0000-0000-0000553E0000}"/>
    <cellStyle name="Normal 6 4 8 2" xfId="19170" xr:uid="{00000000-0005-0000-0000-0000563E0000}"/>
    <cellStyle name="Normal 6 4 9" xfId="12885" xr:uid="{00000000-0005-0000-0000-0000573E0000}"/>
    <cellStyle name="Normal 6 5" xfId="6810" xr:uid="{00000000-0005-0000-0000-0000583E0000}"/>
    <cellStyle name="Normal 6 5 2" xfId="6811" xr:uid="{00000000-0005-0000-0000-0000593E0000}"/>
    <cellStyle name="Normal 6 5 2 2" xfId="6812" xr:uid="{00000000-0005-0000-0000-00005A3E0000}"/>
    <cellStyle name="Normal 6 5 2 2 2" xfId="6813" xr:uid="{00000000-0005-0000-0000-00005B3E0000}"/>
    <cellStyle name="Normal 6 5 2 2 2 2" xfId="6814" xr:uid="{00000000-0005-0000-0000-00005C3E0000}"/>
    <cellStyle name="Normal 6 5 2 2 2 2 2" xfId="12937" xr:uid="{00000000-0005-0000-0000-00005D3E0000}"/>
    <cellStyle name="Normal 6 5 2 2 2 2 3" xfId="19175" xr:uid="{00000000-0005-0000-0000-00005E3E0000}"/>
    <cellStyle name="Normal 6 5 2 2 2 3" xfId="12936" xr:uid="{00000000-0005-0000-0000-00005F3E0000}"/>
    <cellStyle name="Normal 6 5 2 2 2 4" xfId="19174" xr:uid="{00000000-0005-0000-0000-0000603E0000}"/>
    <cellStyle name="Normal 6 5 2 2 3" xfId="6815" xr:uid="{00000000-0005-0000-0000-0000613E0000}"/>
    <cellStyle name="Normal 6 5 2 2 3 2" xfId="6816" xr:uid="{00000000-0005-0000-0000-0000623E0000}"/>
    <cellStyle name="Normal 6 5 2 2 3 2 2" xfId="12939" xr:uid="{00000000-0005-0000-0000-0000633E0000}"/>
    <cellStyle name="Normal 6 5 2 2 3 2 3" xfId="19177" xr:uid="{00000000-0005-0000-0000-0000643E0000}"/>
    <cellStyle name="Normal 6 5 2 2 3 3" xfId="12938" xr:uid="{00000000-0005-0000-0000-0000653E0000}"/>
    <cellStyle name="Normal 6 5 2 2 3 4" xfId="19176" xr:uid="{00000000-0005-0000-0000-0000663E0000}"/>
    <cellStyle name="Normal 6 5 2 2 4" xfId="6817" xr:uid="{00000000-0005-0000-0000-0000673E0000}"/>
    <cellStyle name="Normal 6 5 2 2 4 2" xfId="12940" xr:uid="{00000000-0005-0000-0000-0000683E0000}"/>
    <cellStyle name="Normal 6 5 2 2 4 3" xfId="19178" xr:uid="{00000000-0005-0000-0000-0000693E0000}"/>
    <cellStyle name="Normal 6 5 2 2 5" xfId="12935" xr:uid="{00000000-0005-0000-0000-00006A3E0000}"/>
    <cellStyle name="Normal 6 5 2 2 6" xfId="19173" xr:uid="{00000000-0005-0000-0000-00006B3E0000}"/>
    <cellStyle name="Normal 6 5 2 3" xfId="6818" xr:uid="{00000000-0005-0000-0000-00006C3E0000}"/>
    <cellStyle name="Normal 6 5 2 3 2" xfId="6819" xr:uid="{00000000-0005-0000-0000-00006D3E0000}"/>
    <cellStyle name="Normal 6 5 2 3 2 2" xfId="12942" xr:uid="{00000000-0005-0000-0000-00006E3E0000}"/>
    <cellStyle name="Normal 6 5 2 3 2 3" xfId="19180" xr:uid="{00000000-0005-0000-0000-00006F3E0000}"/>
    <cellStyle name="Normal 6 5 2 3 3" xfId="12941" xr:uid="{00000000-0005-0000-0000-0000703E0000}"/>
    <cellStyle name="Normal 6 5 2 3 4" xfId="19179" xr:uid="{00000000-0005-0000-0000-0000713E0000}"/>
    <cellStyle name="Normal 6 5 2 4" xfId="6820" xr:uid="{00000000-0005-0000-0000-0000723E0000}"/>
    <cellStyle name="Normal 6 5 2 4 2" xfId="6821" xr:uid="{00000000-0005-0000-0000-0000733E0000}"/>
    <cellStyle name="Normal 6 5 2 4 2 2" xfId="12944" xr:uid="{00000000-0005-0000-0000-0000743E0000}"/>
    <cellStyle name="Normal 6 5 2 4 2 3" xfId="19182" xr:uid="{00000000-0005-0000-0000-0000753E0000}"/>
    <cellStyle name="Normal 6 5 2 4 3" xfId="12943" xr:uid="{00000000-0005-0000-0000-0000763E0000}"/>
    <cellStyle name="Normal 6 5 2 4 4" xfId="19181" xr:uid="{00000000-0005-0000-0000-0000773E0000}"/>
    <cellStyle name="Normal 6 5 2 5" xfId="6822" xr:uid="{00000000-0005-0000-0000-0000783E0000}"/>
    <cellStyle name="Normal 6 5 2 5 2" xfId="12945" xr:uid="{00000000-0005-0000-0000-0000793E0000}"/>
    <cellStyle name="Normal 6 5 2 5 3" xfId="19183" xr:uid="{00000000-0005-0000-0000-00007A3E0000}"/>
    <cellStyle name="Normal 6 5 2 6" xfId="12934" xr:uid="{00000000-0005-0000-0000-00007B3E0000}"/>
    <cellStyle name="Normal 6 5 2 7" xfId="19172" xr:uid="{00000000-0005-0000-0000-00007C3E0000}"/>
    <cellStyle name="Normal 6 5 3" xfId="6823" xr:uid="{00000000-0005-0000-0000-00007D3E0000}"/>
    <cellStyle name="Normal 6 5 3 2" xfId="6824" xr:uid="{00000000-0005-0000-0000-00007E3E0000}"/>
    <cellStyle name="Normal 6 5 3 2 2" xfId="6825" xr:uid="{00000000-0005-0000-0000-00007F3E0000}"/>
    <cellStyle name="Normal 6 5 3 2 2 2" xfId="12948" xr:uid="{00000000-0005-0000-0000-0000803E0000}"/>
    <cellStyle name="Normal 6 5 3 2 2 3" xfId="19186" xr:uid="{00000000-0005-0000-0000-0000813E0000}"/>
    <cellStyle name="Normal 6 5 3 2 3" xfId="12947" xr:uid="{00000000-0005-0000-0000-0000823E0000}"/>
    <cellStyle name="Normal 6 5 3 2 4" xfId="19185" xr:uid="{00000000-0005-0000-0000-0000833E0000}"/>
    <cellStyle name="Normal 6 5 3 3" xfId="6826" xr:uid="{00000000-0005-0000-0000-0000843E0000}"/>
    <cellStyle name="Normal 6 5 3 3 2" xfId="6827" xr:uid="{00000000-0005-0000-0000-0000853E0000}"/>
    <cellStyle name="Normal 6 5 3 3 2 2" xfId="12950" xr:uid="{00000000-0005-0000-0000-0000863E0000}"/>
    <cellStyle name="Normal 6 5 3 3 2 3" xfId="19188" xr:uid="{00000000-0005-0000-0000-0000873E0000}"/>
    <cellStyle name="Normal 6 5 3 3 3" xfId="12949" xr:uid="{00000000-0005-0000-0000-0000883E0000}"/>
    <cellStyle name="Normal 6 5 3 3 4" xfId="19187" xr:uid="{00000000-0005-0000-0000-0000893E0000}"/>
    <cellStyle name="Normal 6 5 3 4" xfId="6828" xr:uid="{00000000-0005-0000-0000-00008A3E0000}"/>
    <cellStyle name="Normal 6 5 3 4 2" xfId="12951" xr:uid="{00000000-0005-0000-0000-00008B3E0000}"/>
    <cellStyle name="Normal 6 5 3 4 3" xfId="19189" xr:uid="{00000000-0005-0000-0000-00008C3E0000}"/>
    <cellStyle name="Normal 6 5 3 5" xfId="12946" xr:uid="{00000000-0005-0000-0000-00008D3E0000}"/>
    <cellStyle name="Normal 6 5 3 6" xfId="19184" xr:uid="{00000000-0005-0000-0000-00008E3E0000}"/>
    <cellStyle name="Normal 6 5 4" xfId="6829" xr:uid="{00000000-0005-0000-0000-00008F3E0000}"/>
    <cellStyle name="Normal 6 5 4 2" xfId="6830" xr:uid="{00000000-0005-0000-0000-0000903E0000}"/>
    <cellStyle name="Normal 6 5 4 2 2" xfId="12953" xr:uid="{00000000-0005-0000-0000-0000913E0000}"/>
    <cellStyle name="Normal 6 5 4 2 3" xfId="19191" xr:uid="{00000000-0005-0000-0000-0000923E0000}"/>
    <cellStyle name="Normal 6 5 4 3" xfId="12952" xr:uid="{00000000-0005-0000-0000-0000933E0000}"/>
    <cellStyle name="Normal 6 5 4 4" xfId="19190" xr:uid="{00000000-0005-0000-0000-0000943E0000}"/>
    <cellStyle name="Normal 6 5 5" xfId="6831" xr:uid="{00000000-0005-0000-0000-0000953E0000}"/>
    <cellStyle name="Normal 6 5 5 2" xfId="6832" xr:uid="{00000000-0005-0000-0000-0000963E0000}"/>
    <cellStyle name="Normal 6 5 5 2 2" xfId="12955" xr:uid="{00000000-0005-0000-0000-0000973E0000}"/>
    <cellStyle name="Normal 6 5 5 2 3" xfId="19193" xr:uid="{00000000-0005-0000-0000-0000983E0000}"/>
    <cellStyle name="Normal 6 5 5 3" xfId="12954" xr:uid="{00000000-0005-0000-0000-0000993E0000}"/>
    <cellStyle name="Normal 6 5 5 4" xfId="19192" xr:uid="{00000000-0005-0000-0000-00009A3E0000}"/>
    <cellStyle name="Normal 6 5 6" xfId="6833" xr:uid="{00000000-0005-0000-0000-00009B3E0000}"/>
    <cellStyle name="Normal 6 5 6 2" xfId="12956" xr:uid="{00000000-0005-0000-0000-00009C3E0000}"/>
    <cellStyle name="Normal 6 5 6 3" xfId="19194" xr:uid="{00000000-0005-0000-0000-00009D3E0000}"/>
    <cellStyle name="Normal 6 5 7" xfId="12933" xr:uid="{00000000-0005-0000-0000-00009E3E0000}"/>
    <cellStyle name="Normal 6 5 8" xfId="19171" xr:uid="{00000000-0005-0000-0000-00009F3E0000}"/>
    <cellStyle name="Normal 6 6" xfId="6834" xr:uid="{00000000-0005-0000-0000-0000A03E0000}"/>
    <cellStyle name="Normal 6 6 2" xfId="6835" xr:uid="{00000000-0005-0000-0000-0000A13E0000}"/>
    <cellStyle name="Normal 6 6 2 2" xfId="6836" xr:uid="{00000000-0005-0000-0000-0000A23E0000}"/>
    <cellStyle name="Normal 6 6 2 2 2" xfId="6837" xr:uid="{00000000-0005-0000-0000-0000A33E0000}"/>
    <cellStyle name="Normal 6 6 2 2 2 2" xfId="12960" xr:uid="{00000000-0005-0000-0000-0000A43E0000}"/>
    <cellStyle name="Normal 6 6 2 2 2 3" xfId="19198" xr:uid="{00000000-0005-0000-0000-0000A53E0000}"/>
    <cellStyle name="Normal 6 6 2 2 3" xfId="12959" xr:uid="{00000000-0005-0000-0000-0000A63E0000}"/>
    <cellStyle name="Normal 6 6 2 2 4" xfId="19197" xr:uid="{00000000-0005-0000-0000-0000A73E0000}"/>
    <cellStyle name="Normal 6 6 2 3" xfId="6838" xr:uid="{00000000-0005-0000-0000-0000A83E0000}"/>
    <cellStyle name="Normal 6 6 2 3 2" xfId="6839" xr:uid="{00000000-0005-0000-0000-0000A93E0000}"/>
    <cellStyle name="Normal 6 6 2 3 2 2" xfId="12962" xr:uid="{00000000-0005-0000-0000-0000AA3E0000}"/>
    <cellStyle name="Normal 6 6 2 3 2 3" xfId="19200" xr:uid="{00000000-0005-0000-0000-0000AB3E0000}"/>
    <cellStyle name="Normal 6 6 2 3 3" xfId="12961" xr:uid="{00000000-0005-0000-0000-0000AC3E0000}"/>
    <cellStyle name="Normal 6 6 2 3 4" xfId="19199" xr:uid="{00000000-0005-0000-0000-0000AD3E0000}"/>
    <cellStyle name="Normal 6 6 2 4" xfId="6840" xr:uid="{00000000-0005-0000-0000-0000AE3E0000}"/>
    <cellStyle name="Normal 6 6 2 4 2" xfId="12963" xr:uid="{00000000-0005-0000-0000-0000AF3E0000}"/>
    <cellStyle name="Normal 6 6 2 4 3" xfId="19201" xr:uid="{00000000-0005-0000-0000-0000B03E0000}"/>
    <cellStyle name="Normal 6 6 2 5" xfId="12958" xr:uid="{00000000-0005-0000-0000-0000B13E0000}"/>
    <cellStyle name="Normal 6 6 2 6" xfId="19196" xr:uid="{00000000-0005-0000-0000-0000B23E0000}"/>
    <cellStyle name="Normal 6 6 3" xfId="6841" xr:uid="{00000000-0005-0000-0000-0000B33E0000}"/>
    <cellStyle name="Normal 6 6 3 2" xfId="6842" xr:uid="{00000000-0005-0000-0000-0000B43E0000}"/>
    <cellStyle name="Normal 6 6 3 2 2" xfId="12965" xr:uid="{00000000-0005-0000-0000-0000B53E0000}"/>
    <cellStyle name="Normal 6 6 3 2 3" xfId="19203" xr:uid="{00000000-0005-0000-0000-0000B63E0000}"/>
    <cellStyle name="Normal 6 6 3 3" xfId="12964" xr:uid="{00000000-0005-0000-0000-0000B73E0000}"/>
    <cellStyle name="Normal 6 6 3 4" xfId="19202" xr:uid="{00000000-0005-0000-0000-0000B83E0000}"/>
    <cellStyle name="Normal 6 6 4" xfId="6843" xr:uid="{00000000-0005-0000-0000-0000B93E0000}"/>
    <cellStyle name="Normal 6 6 4 2" xfId="6844" xr:uid="{00000000-0005-0000-0000-0000BA3E0000}"/>
    <cellStyle name="Normal 6 6 4 2 2" xfId="12967" xr:uid="{00000000-0005-0000-0000-0000BB3E0000}"/>
    <cellStyle name="Normal 6 6 4 2 3" xfId="19205" xr:uid="{00000000-0005-0000-0000-0000BC3E0000}"/>
    <cellStyle name="Normal 6 6 4 3" xfId="12966" xr:uid="{00000000-0005-0000-0000-0000BD3E0000}"/>
    <cellStyle name="Normal 6 6 4 4" xfId="19204" xr:uid="{00000000-0005-0000-0000-0000BE3E0000}"/>
    <cellStyle name="Normal 6 6 5" xfId="6845" xr:uid="{00000000-0005-0000-0000-0000BF3E0000}"/>
    <cellStyle name="Normal 6 6 5 2" xfId="12968" xr:uid="{00000000-0005-0000-0000-0000C03E0000}"/>
    <cellStyle name="Normal 6 6 5 3" xfId="19206" xr:uid="{00000000-0005-0000-0000-0000C13E0000}"/>
    <cellStyle name="Normal 6 6 6" xfId="12957" xr:uid="{00000000-0005-0000-0000-0000C23E0000}"/>
    <cellStyle name="Normal 6 6 7" xfId="19195" xr:uid="{00000000-0005-0000-0000-0000C33E0000}"/>
    <cellStyle name="Normal 6 7" xfId="6846" xr:uid="{00000000-0005-0000-0000-0000C43E0000}"/>
    <cellStyle name="Normal 6 7 2" xfId="6847" xr:uid="{00000000-0005-0000-0000-0000C53E0000}"/>
    <cellStyle name="Normal 6 7 2 2" xfId="6848" xr:uid="{00000000-0005-0000-0000-0000C63E0000}"/>
    <cellStyle name="Normal 6 7 2 2 2" xfId="12971" xr:uid="{00000000-0005-0000-0000-0000C73E0000}"/>
    <cellStyle name="Normal 6 7 2 2 3" xfId="19209" xr:uid="{00000000-0005-0000-0000-0000C83E0000}"/>
    <cellStyle name="Normal 6 7 2 3" xfId="12970" xr:uid="{00000000-0005-0000-0000-0000C93E0000}"/>
    <cellStyle name="Normal 6 7 2 4" xfId="19208" xr:uid="{00000000-0005-0000-0000-0000CA3E0000}"/>
    <cellStyle name="Normal 6 7 3" xfId="6849" xr:uid="{00000000-0005-0000-0000-0000CB3E0000}"/>
    <cellStyle name="Normal 6 7 3 2" xfId="6850" xr:uid="{00000000-0005-0000-0000-0000CC3E0000}"/>
    <cellStyle name="Normal 6 7 3 2 2" xfId="12973" xr:uid="{00000000-0005-0000-0000-0000CD3E0000}"/>
    <cellStyle name="Normal 6 7 3 2 3" xfId="19211" xr:uid="{00000000-0005-0000-0000-0000CE3E0000}"/>
    <cellStyle name="Normal 6 7 3 3" xfId="12972" xr:uid="{00000000-0005-0000-0000-0000CF3E0000}"/>
    <cellStyle name="Normal 6 7 3 4" xfId="19210" xr:uid="{00000000-0005-0000-0000-0000D03E0000}"/>
    <cellStyle name="Normal 6 7 4" xfId="6851" xr:uid="{00000000-0005-0000-0000-0000D13E0000}"/>
    <cellStyle name="Normal 6 7 4 2" xfId="12974" xr:uid="{00000000-0005-0000-0000-0000D23E0000}"/>
    <cellStyle name="Normal 6 7 4 3" xfId="19212" xr:uid="{00000000-0005-0000-0000-0000D33E0000}"/>
    <cellStyle name="Normal 6 7 5" xfId="12969" xr:uid="{00000000-0005-0000-0000-0000D43E0000}"/>
    <cellStyle name="Normal 6 7 6" xfId="19207" xr:uid="{00000000-0005-0000-0000-0000D53E0000}"/>
    <cellStyle name="Normal 6 8" xfId="6852" xr:uid="{00000000-0005-0000-0000-0000D63E0000}"/>
    <cellStyle name="Normal 6 8 2" xfId="6853" xr:uid="{00000000-0005-0000-0000-0000D73E0000}"/>
    <cellStyle name="Normal 6 8 2 2" xfId="12976" xr:uid="{00000000-0005-0000-0000-0000D83E0000}"/>
    <cellStyle name="Normal 6 8 2 3" xfId="19214" xr:uid="{00000000-0005-0000-0000-0000D93E0000}"/>
    <cellStyle name="Normal 6 8 3" xfId="12975" xr:uid="{00000000-0005-0000-0000-0000DA3E0000}"/>
    <cellStyle name="Normal 6 8 4" xfId="19213" xr:uid="{00000000-0005-0000-0000-0000DB3E0000}"/>
    <cellStyle name="Normal 6 9" xfId="6854" xr:uid="{00000000-0005-0000-0000-0000DC3E0000}"/>
    <cellStyle name="Normal 6 9 2" xfId="6855" xr:uid="{00000000-0005-0000-0000-0000DD3E0000}"/>
    <cellStyle name="Normal 6 9 2 2" xfId="12978" xr:uid="{00000000-0005-0000-0000-0000DE3E0000}"/>
    <cellStyle name="Normal 6 9 2 3" xfId="19216" xr:uid="{00000000-0005-0000-0000-0000DF3E0000}"/>
    <cellStyle name="Normal 6 9 3" xfId="12977" xr:uid="{00000000-0005-0000-0000-0000E03E0000}"/>
    <cellStyle name="Normal 6 9 4" xfId="19215" xr:uid="{00000000-0005-0000-0000-0000E13E0000}"/>
    <cellStyle name="Normal 6_2180" xfId="12979" xr:uid="{00000000-0005-0000-0000-0000E23E0000}"/>
    <cellStyle name="Normal 60" xfId="6856" xr:uid="{00000000-0005-0000-0000-0000E33E0000}"/>
    <cellStyle name="Normal 60 10" xfId="19217" xr:uid="{00000000-0005-0000-0000-0000E43E0000}"/>
    <cellStyle name="Normal 60 2" xfId="6857" xr:uid="{00000000-0005-0000-0000-0000E53E0000}"/>
    <cellStyle name="Normal 60 2 2" xfId="6858" xr:uid="{00000000-0005-0000-0000-0000E63E0000}"/>
    <cellStyle name="Normal 60 2 2 2" xfId="6859" xr:uid="{00000000-0005-0000-0000-0000E73E0000}"/>
    <cellStyle name="Normal 60 2 2 2 2" xfId="6860" xr:uid="{00000000-0005-0000-0000-0000E83E0000}"/>
    <cellStyle name="Normal 60 2 2 2 2 2" xfId="6861" xr:uid="{00000000-0005-0000-0000-0000E93E0000}"/>
    <cellStyle name="Normal 60 2 2 2 2 2 2" xfId="12985" xr:uid="{00000000-0005-0000-0000-0000EA3E0000}"/>
    <cellStyle name="Normal 60 2 2 2 2 2 3" xfId="19222" xr:uid="{00000000-0005-0000-0000-0000EB3E0000}"/>
    <cellStyle name="Normal 60 2 2 2 2 3" xfId="12984" xr:uid="{00000000-0005-0000-0000-0000EC3E0000}"/>
    <cellStyle name="Normal 60 2 2 2 2 4" xfId="19221" xr:uid="{00000000-0005-0000-0000-0000ED3E0000}"/>
    <cellStyle name="Normal 60 2 2 2 3" xfId="6862" xr:uid="{00000000-0005-0000-0000-0000EE3E0000}"/>
    <cellStyle name="Normal 60 2 2 2 3 2" xfId="6863" xr:uid="{00000000-0005-0000-0000-0000EF3E0000}"/>
    <cellStyle name="Normal 60 2 2 2 3 2 2" xfId="12987" xr:uid="{00000000-0005-0000-0000-0000F03E0000}"/>
    <cellStyle name="Normal 60 2 2 2 3 2 3" xfId="19224" xr:uid="{00000000-0005-0000-0000-0000F13E0000}"/>
    <cellStyle name="Normal 60 2 2 2 3 3" xfId="12986" xr:uid="{00000000-0005-0000-0000-0000F23E0000}"/>
    <cellStyle name="Normal 60 2 2 2 3 4" xfId="19223" xr:uid="{00000000-0005-0000-0000-0000F33E0000}"/>
    <cellStyle name="Normal 60 2 2 2 4" xfId="6864" xr:uid="{00000000-0005-0000-0000-0000F43E0000}"/>
    <cellStyle name="Normal 60 2 2 2 4 2" xfId="12988" xr:uid="{00000000-0005-0000-0000-0000F53E0000}"/>
    <cellStyle name="Normal 60 2 2 2 4 3" xfId="19225" xr:uid="{00000000-0005-0000-0000-0000F63E0000}"/>
    <cellStyle name="Normal 60 2 2 2 5" xfId="12983" xr:uid="{00000000-0005-0000-0000-0000F73E0000}"/>
    <cellStyle name="Normal 60 2 2 2 6" xfId="19220" xr:uid="{00000000-0005-0000-0000-0000F83E0000}"/>
    <cellStyle name="Normal 60 2 2 3" xfId="6865" xr:uid="{00000000-0005-0000-0000-0000F93E0000}"/>
    <cellStyle name="Normal 60 2 2 3 2" xfId="6866" xr:uid="{00000000-0005-0000-0000-0000FA3E0000}"/>
    <cellStyle name="Normal 60 2 2 3 2 2" xfId="12990" xr:uid="{00000000-0005-0000-0000-0000FB3E0000}"/>
    <cellStyle name="Normal 60 2 2 3 2 3" xfId="19227" xr:uid="{00000000-0005-0000-0000-0000FC3E0000}"/>
    <cellStyle name="Normal 60 2 2 3 3" xfId="12989" xr:uid="{00000000-0005-0000-0000-0000FD3E0000}"/>
    <cellStyle name="Normal 60 2 2 3 4" xfId="19226" xr:uid="{00000000-0005-0000-0000-0000FE3E0000}"/>
    <cellStyle name="Normal 60 2 2 4" xfId="6867" xr:uid="{00000000-0005-0000-0000-0000FF3E0000}"/>
    <cellStyle name="Normal 60 2 2 4 2" xfId="6868" xr:uid="{00000000-0005-0000-0000-0000003F0000}"/>
    <cellStyle name="Normal 60 2 2 4 2 2" xfId="12992" xr:uid="{00000000-0005-0000-0000-0000013F0000}"/>
    <cellStyle name="Normal 60 2 2 4 2 3" xfId="19229" xr:uid="{00000000-0005-0000-0000-0000023F0000}"/>
    <cellStyle name="Normal 60 2 2 4 3" xfId="12991" xr:uid="{00000000-0005-0000-0000-0000033F0000}"/>
    <cellStyle name="Normal 60 2 2 4 4" xfId="19228" xr:uid="{00000000-0005-0000-0000-0000043F0000}"/>
    <cellStyle name="Normal 60 2 2 5" xfId="6869" xr:uid="{00000000-0005-0000-0000-0000053F0000}"/>
    <cellStyle name="Normal 60 2 2 5 2" xfId="12993" xr:uid="{00000000-0005-0000-0000-0000063F0000}"/>
    <cellStyle name="Normal 60 2 2 5 3" xfId="19230" xr:uid="{00000000-0005-0000-0000-0000073F0000}"/>
    <cellStyle name="Normal 60 2 2 6" xfId="12982" xr:uid="{00000000-0005-0000-0000-0000083F0000}"/>
    <cellStyle name="Normal 60 2 2 7" xfId="19219" xr:uid="{00000000-0005-0000-0000-0000093F0000}"/>
    <cellStyle name="Normal 60 2 3" xfId="6870" xr:uid="{00000000-0005-0000-0000-00000A3F0000}"/>
    <cellStyle name="Normal 60 2 3 2" xfId="6871" xr:uid="{00000000-0005-0000-0000-00000B3F0000}"/>
    <cellStyle name="Normal 60 2 3 2 2" xfId="6872" xr:uid="{00000000-0005-0000-0000-00000C3F0000}"/>
    <cellStyle name="Normal 60 2 3 2 2 2" xfId="12996" xr:uid="{00000000-0005-0000-0000-00000D3F0000}"/>
    <cellStyle name="Normal 60 2 3 2 2 3" xfId="19233" xr:uid="{00000000-0005-0000-0000-00000E3F0000}"/>
    <cellStyle name="Normal 60 2 3 2 3" xfId="12995" xr:uid="{00000000-0005-0000-0000-00000F3F0000}"/>
    <cellStyle name="Normal 60 2 3 2 4" xfId="19232" xr:uid="{00000000-0005-0000-0000-0000103F0000}"/>
    <cellStyle name="Normal 60 2 3 3" xfId="6873" xr:uid="{00000000-0005-0000-0000-0000113F0000}"/>
    <cellStyle name="Normal 60 2 3 3 2" xfId="6874" xr:uid="{00000000-0005-0000-0000-0000123F0000}"/>
    <cellStyle name="Normal 60 2 3 3 2 2" xfId="12998" xr:uid="{00000000-0005-0000-0000-0000133F0000}"/>
    <cellStyle name="Normal 60 2 3 3 2 3" xfId="19235" xr:uid="{00000000-0005-0000-0000-0000143F0000}"/>
    <cellStyle name="Normal 60 2 3 3 3" xfId="12997" xr:uid="{00000000-0005-0000-0000-0000153F0000}"/>
    <cellStyle name="Normal 60 2 3 3 4" xfId="19234" xr:uid="{00000000-0005-0000-0000-0000163F0000}"/>
    <cellStyle name="Normal 60 2 3 4" xfId="6875" xr:uid="{00000000-0005-0000-0000-0000173F0000}"/>
    <cellStyle name="Normal 60 2 3 4 2" xfId="12999" xr:uid="{00000000-0005-0000-0000-0000183F0000}"/>
    <cellStyle name="Normal 60 2 3 4 3" xfId="19236" xr:uid="{00000000-0005-0000-0000-0000193F0000}"/>
    <cellStyle name="Normal 60 2 3 5" xfId="12994" xr:uid="{00000000-0005-0000-0000-00001A3F0000}"/>
    <cellStyle name="Normal 60 2 3 6" xfId="19231" xr:uid="{00000000-0005-0000-0000-00001B3F0000}"/>
    <cellStyle name="Normal 60 2 4" xfId="6876" xr:uid="{00000000-0005-0000-0000-00001C3F0000}"/>
    <cellStyle name="Normal 60 2 4 2" xfId="6877" xr:uid="{00000000-0005-0000-0000-00001D3F0000}"/>
    <cellStyle name="Normal 60 2 4 2 2" xfId="13001" xr:uid="{00000000-0005-0000-0000-00001E3F0000}"/>
    <cellStyle name="Normal 60 2 4 2 3" xfId="19238" xr:uid="{00000000-0005-0000-0000-00001F3F0000}"/>
    <cellStyle name="Normal 60 2 4 3" xfId="13000" xr:uid="{00000000-0005-0000-0000-0000203F0000}"/>
    <cellStyle name="Normal 60 2 4 4" xfId="19237" xr:uid="{00000000-0005-0000-0000-0000213F0000}"/>
    <cellStyle name="Normal 60 2 5" xfId="6878" xr:uid="{00000000-0005-0000-0000-0000223F0000}"/>
    <cellStyle name="Normal 60 2 5 2" xfId="6879" xr:uid="{00000000-0005-0000-0000-0000233F0000}"/>
    <cellStyle name="Normal 60 2 5 2 2" xfId="13003" xr:uid="{00000000-0005-0000-0000-0000243F0000}"/>
    <cellStyle name="Normal 60 2 5 2 3" xfId="19240" xr:uid="{00000000-0005-0000-0000-0000253F0000}"/>
    <cellStyle name="Normal 60 2 5 3" xfId="13002" xr:uid="{00000000-0005-0000-0000-0000263F0000}"/>
    <cellStyle name="Normal 60 2 5 4" xfId="19239" xr:uid="{00000000-0005-0000-0000-0000273F0000}"/>
    <cellStyle name="Normal 60 2 6" xfId="6880" xr:uid="{00000000-0005-0000-0000-0000283F0000}"/>
    <cellStyle name="Normal 60 2 6 2" xfId="13004" xr:uid="{00000000-0005-0000-0000-0000293F0000}"/>
    <cellStyle name="Normal 60 2 6 3" xfId="19241" xr:uid="{00000000-0005-0000-0000-00002A3F0000}"/>
    <cellStyle name="Normal 60 2 7" xfId="12981" xr:uid="{00000000-0005-0000-0000-00002B3F0000}"/>
    <cellStyle name="Normal 60 2 8" xfId="19218" xr:uid="{00000000-0005-0000-0000-00002C3F0000}"/>
    <cellStyle name="Normal 60 3" xfId="6881" xr:uid="{00000000-0005-0000-0000-00002D3F0000}"/>
    <cellStyle name="Normal 60 3 2" xfId="6882" xr:uid="{00000000-0005-0000-0000-00002E3F0000}"/>
    <cellStyle name="Normal 60 3 2 2" xfId="6883" xr:uid="{00000000-0005-0000-0000-00002F3F0000}"/>
    <cellStyle name="Normal 60 3 2 2 2" xfId="6884" xr:uid="{00000000-0005-0000-0000-0000303F0000}"/>
    <cellStyle name="Normal 60 3 2 2 2 2" xfId="13008" xr:uid="{00000000-0005-0000-0000-0000313F0000}"/>
    <cellStyle name="Normal 60 3 2 2 2 3" xfId="19245" xr:uid="{00000000-0005-0000-0000-0000323F0000}"/>
    <cellStyle name="Normal 60 3 2 2 3" xfId="13007" xr:uid="{00000000-0005-0000-0000-0000333F0000}"/>
    <cellStyle name="Normal 60 3 2 2 4" xfId="19244" xr:uid="{00000000-0005-0000-0000-0000343F0000}"/>
    <cellStyle name="Normal 60 3 2 3" xfId="6885" xr:uid="{00000000-0005-0000-0000-0000353F0000}"/>
    <cellStyle name="Normal 60 3 2 3 2" xfId="6886" xr:uid="{00000000-0005-0000-0000-0000363F0000}"/>
    <cellStyle name="Normal 60 3 2 3 2 2" xfId="13010" xr:uid="{00000000-0005-0000-0000-0000373F0000}"/>
    <cellStyle name="Normal 60 3 2 3 2 3" xfId="19247" xr:uid="{00000000-0005-0000-0000-0000383F0000}"/>
    <cellStyle name="Normal 60 3 2 3 3" xfId="13009" xr:uid="{00000000-0005-0000-0000-0000393F0000}"/>
    <cellStyle name="Normal 60 3 2 3 4" xfId="19246" xr:uid="{00000000-0005-0000-0000-00003A3F0000}"/>
    <cellStyle name="Normal 60 3 2 4" xfId="6887" xr:uid="{00000000-0005-0000-0000-00003B3F0000}"/>
    <cellStyle name="Normal 60 3 2 4 2" xfId="13011" xr:uid="{00000000-0005-0000-0000-00003C3F0000}"/>
    <cellStyle name="Normal 60 3 2 4 3" xfId="19248" xr:uid="{00000000-0005-0000-0000-00003D3F0000}"/>
    <cellStyle name="Normal 60 3 2 5" xfId="13006" xr:uid="{00000000-0005-0000-0000-00003E3F0000}"/>
    <cellStyle name="Normal 60 3 2 6" xfId="19243" xr:uid="{00000000-0005-0000-0000-00003F3F0000}"/>
    <cellStyle name="Normal 60 3 3" xfId="6888" xr:uid="{00000000-0005-0000-0000-0000403F0000}"/>
    <cellStyle name="Normal 60 3 3 2" xfId="6889" xr:uid="{00000000-0005-0000-0000-0000413F0000}"/>
    <cellStyle name="Normal 60 3 3 2 2" xfId="13013" xr:uid="{00000000-0005-0000-0000-0000423F0000}"/>
    <cellStyle name="Normal 60 3 3 2 3" xfId="19250" xr:uid="{00000000-0005-0000-0000-0000433F0000}"/>
    <cellStyle name="Normal 60 3 3 3" xfId="13012" xr:uid="{00000000-0005-0000-0000-0000443F0000}"/>
    <cellStyle name="Normal 60 3 3 4" xfId="19249" xr:uid="{00000000-0005-0000-0000-0000453F0000}"/>
    <cellStyle name="Normal 60 3 4" xfId="6890" xr:uid="{00000000-0005-0000-0000-0000463F0000}"/>
    <cellStyle name="Normal 60 3 4 2" xfId="6891" xr:uid="{00000000-0005-0000-0000-0000473F0000}"/>
    <cellStyle name="Normal 60 3 4 2 2" xfId="13015" xr:uid="{00000000-0005-0000-0000-0000483F0000}"/>
    <cellStyle name="Normal 60 3 4 2 3" xfId="19252" xr:uid="{00000000-0005-0000-0000-0000493F0000}"/>
    <cellStyle name="Normal 60 3 4 3" xfId="13014" xr:uid="{00000000-0005-0000-0000-00004A3F0000}"/>
    <cellStyle name="Normal 60 3 4 4" xfId="19251" xr:uid="{00000000-0005-0000-0000-00004B3F0000}"/>
    <cellStyle name="Normal 60 3 5" xfId="6892" xr:uid="{00000000-0005-0000-0000-00004C3F0000}"/>
    <cellStyle name="Normal 60 3 5 2" xfId="13016" xr:uid="{00000000-0005-0000-0000-00004D3F0000}"/>
    <cellStyle name="Normal 60 3 5 3" xfId="19253" xr:uid="{00000000-0005-0000-0000-00004E3F0000}"/>
    <cellStyle name="Normal 60 3 6" xfId="13005" xr:uid="{00000000-0005-0000-0000-00004F3F0000}"/>
    <cellStyle name="Normal 60 3 7" xfId="19242" xr:uid="{00000000-0005-0000-0000-0000503F0000}"/>
    <cellStyle name="Normal 60 4" xfId="6893" xr:uid="{00000000-0005-0000-0000-0000513F0000}"/>
    <cellStyle name="Normal 60 4 2" xfId="6894" xr:uid="{00000000-0005-0000-0000-0000523F0000}"/>
    <cellStyle name="Normal 60 4 2 2" xfId="6895" xr:uid="{00000000-0005-0000-0000-0000533F0000}"/>
    <cellStyle name="Normal 60 4 2 2 2" xfId="13019" xr:uid="{00000000-0005-0000-0000-0000543F0000}"/>
    <cellStyle name="Normal 60 4 2 2 3" xfId="19256" xr:uid="{00000000-0005-0000-0000-0000553F0000}"/>
    <cellStyle name="Normal 60 4 2 3" xfId="13018" xr:uid="{00000000-0005-0000-0000-0000563F0000}"/>
    <cellStyle name="Normal 60 4 2 4" xfId="19255" xr:uid="{00000000-0005-0000-0000-0000573F0000}"/>
    <cellStyle name="Normal 60 4 3" xfId="6896" xr:uid="{00000000-0005-0000-0000-0000583F0000}"/>
    <cellStyle name="Normal 60 4 3 2" xfId="6897" xr:uid="{00000000-0005-0000-0000-0000593F0000}"/>
    <cellStyle name="Normal 60 4 3 2 2" xfId="13021" xr:uid="{00000000-0005-0000-0000-00005A3F0000}"/>
    <cellStyle name="Normal 60 4 3 2 3" xfId="19258" xr:uid="{00000000-0005-0000-0000-00005B3F0000}"/>
    <cellStyle name="Normal 60 4 3 3" xfId="13020" xr:uid="{00000000-0005-0000-0000-00005C3F0000}"/>
    <cellStyle name="Normal 60 4 3 4" xfId="19257" xr:uid="{00000000-0005-0000-0000-00005D3F0000}"/>
    <cellStyle name="Normal 60 4 4" xfId="6898" xr:uid="{00000000-0005-0000-0000-00005E3F0000}"/>
    <cellStyle name="Normal 60 4 4 2" xfId="13022" xr:uid="{00000000-0005-0000-0000-00005F3F0000}"/>
    <cellStyle name="Normal 60 4 4 3" xfId="19259" xr:uid="{00000000-0005-0000-0000-0000603F0000}"/>
    <cellStyle name="Normal 60 4 5" xfId="13017" xr:uid="{00000000-0005-0000-0000-0000613F0000}"/>
    <cellStyle name="Normal 60 4 6" xfId="19254" xr:uid="{00000000-0005-0000-0000-0000623F0000}"/>
    <cellStyle name="Normal 60 5" xfId="6899" xr:uid="{00000000-0005-0000-0000-0000633F0000}"/>
    <cellStyle name="Normal 60 5 2" xfId="6900" xr:uid="{00000000-0005-0000-0000-0000643F0000}"/>
    <cellStyle name="Normal 60 5 2 2" xfId="13024" xr:uid="{00000000-0005-0000-0000-0000653F0000}"/>
    <cellStyle name="Normal 60 5 2 3" xfId="19261" xr:uid="{00000000-0005-0000-0000-0000663F0000}"/>
    <cellStyle name="Normal 60 5 3" xfId="13023" xr:uid="{00000000-0005-0000-0000-0000673F0000}"/>
    <cellStyle name="Normal 60 5 4" xfId="19260" xr:uid="{00000000-0005-0000-0000-0000683F0000}"/>
    <cellStyle name="Normal 60 6" xfId="6901" xr:uid="{00000000-0005-0000-0000-0000693F0000}"/>
    <cellStyle name="Normal 60 6 2" xfId="6902" xr:uid="{00000000-0005-0000-0000-00006A3F0000}"/>
    <cellStyle name="Normal 60 6 2 2" xfId="13026" xr:uid="{00000000-0005-0000-0000-00006B3F0000}"/>
    <cellStyle name="Normal 60 6 2 3" xfId="19263" xr:uid="{00000000-0005-0000-0000-00006C3F0000}"/>
    <cellStyle name="Normal 60 6 3" xfId="13025" xr:uid="{00000000-0005-0000-0000-00006D3F0000}"/>
    <cellStyle name="Normal 60 6 4" xfId="19262" xr:uid="{00000000-0005-0000-0000-00006E3F0000}"/>
    <cellStyle name="Normal 60 7" xfId="6903" xr:uid="{00000000-0005-0000-0000-00006F3F0000}"/>
    <cellStyle name="Normal 60 7 2" xfId="13027" xr:uid="{00000000-0005-0000-0000-0000703F0000}"/>
    <cellStyle name="Normal 60 7 3" xfId="19264" xr:uid="{00000000-0005-0000-0000-0000713F0000}"/>
    <cellStyle name="Normal 60 8" xfId="6904" xr:uid="{00000000-0005-0000-0000-0000723F0000}"/>
    <cellStyle name="Normal 60 8 2" xfId="19265" xr:uid="{00000000-0005-0000-0000-0000733F0000}"/>
    <cellStyle name="Normal 60 9" xfId="12980" xr:uid="{00000000-0005-0000-0000-0000743F0000}"/>
    <cellStyle name="Normal 61" xfId="6905" xr:uid="{00000000-0005-0000-0000-0000753F0000}"/>
    <cellStyle name="Normal 61 10" xfId="19266" xr:uid="{00000000-0005-0000-0000-0000763F0000}"/>
    <cellStyle name="Normal 61 2" xfId="6906" xr:uid="{00000000-0005-0000-0000-0000773F0000}"/>
    <cellStyle name="Normal 61 2 2" xfId="6907" xr:uid="{00000000-0005-0000-0000-0000783F0000}"/>
    <cellStyle name="Normal 61 2 2 2" xfId="6908" xr:uid="{00000000-0005-0000-0000-0000793F0000}"/>
    <cellStyle name="Normal 61 2 2 2 2" xfId="6909" xr:uid="{00000000-0005-0000-0000-00007A3F0000}"/>
    <cellStyle name="Normal 61 2 2 2 2 2" xfId="6910" xr:uid="{00000000-0005-0000-0000-00007B3F0000}"/>
    <cellStyle name="Normal 61 2 2 2 2 2 2" xfId="13033" xr:uid="{00000000-0005-0000-0000-00007C3F0000}"/>
    <cellStyle name="Normal 61 2 2 2 2 2 3" xfId="19271" xr:uid="{00000000-0005-0000-0000-00007D3F0000}"/>
    <cellStyle name="Normal 61 2 2 2 2 3" xfId="13032" xr:uid="{00000000-0005-0000-0000-00007E3F0000}"/>
    <cellStyle name="Normal 61 2 2 2 2 4" xfId="19270" xr:uid="{00000000-0005-0000-0000-00007F3F0000}"/>
    <cellStyle name="Normal 61 2 2 2 3" xfId="6911" xr:uid="{00000000-0005-0000-0000-0000803F0000}"/>
    <cellStyle name="Normal 61 2 2 2 3 2" xfId="6912" xr:uid="{00000000-0005-0000-0000-0000813F0000}"/>
    <cellStyle name="Normal 61 2 2 2 3 2 2" xfId="13035" xr:uid="{00000000-0005-0000-0000-0000823F0000}"/>
    <cellStyle name="Normal 61 2 2 2 3 2 3" xfId="19273" xr:uid="{00000000-0005-0000-0000-0000833F0000}"/>
    <cellStyle name="Normal 61 2 2 2 3 3" xfId="13034" xr:uid="{00000000-0005-0000-0000-0000843F0000}"/>
    <cellStyle name="Normal 61 2 2 2 3 4" xfId="19272" xr:uid="{00000000-0005-0000-0000-0000853F0000}"/>
    <cellStyle name="Normal 61 2 2 2 4" xfId="6913" xr:uid="{00000000-0005-0000-0000-0000863F0000}"/>
    <cellStyle name="Normal 61 2 2 2 4 2" xfId="13036" xr:uid="{00000000-0005-0000-0000-0000873F0000}"/>
    <cellStyle name="Normal 61 2 2 2 4 3" xfId="19274" xr:uid="{00000000-0005-0000-0000-0000883F0000}"/>
    <cellStyle name="Normal 61 2 2 2 5" xfId="13031" xr:uid="{00000000-0005-0000-0000-0000893F0000}"/>
    <cellStyle name="Normal 61 2 2 2 6" xfId="19269" xr:uid="{00000000-0005-0000-0000-00008A3F0000}"/>
    <cellStyle name="Normal 61 2 2 3" xfId="6914" xr:uid="{00000000-0005-0000-0000-00008B3F0000}"/>
    <cellStyle name="Normal 61 2 2 3 2" xfId="6915" xr:uid="{00000000-0005-0000-0000-00008C3F0000}"/>
    <cellStyle name="Normal 61 2 2 3 2 2" xfId="13038" xr:uid="{00000000-0005-0000-0000-00008D3F0000}"/>
    <cellStyle name="Normal 61 2 2 3 2 3" xfId="19276" xr:uid="{00000000-0005-0000-0000-00008E3F0000}"/>
    <cellStyle name="Normal 61 2 2 3 3" xfId="13037" xr:uid="{00000000-0005-0000-0000-00008F3F0000}"/>
    <cellStyle name="Normal 61 2 2 3 4" xfId="19275" xr:uid="{00000000-0005-0000-0000-0000903F0000}"/>
    <cellStyle name="Normal 61 2 2 4" xfId="6916" xr:uid="{00000000-0005-0000-0000-0000913F0000}"/>
    <cellStyle name="Normal 61 2 2 4 2" xfId="6917" xr:uid="{00000000-0005-0000-0000-0000923F0000}"/>
    <cellStyle name="Normal 61 2 2 4 2 2" xfId="13040" xr:uid="{00000000-0005-0000-0000-0000933F0000}"/>
    <cellStyle name="Normal 61 2 2 4 2 3" xfId="19278" xr:uid="{00000000-0005-0000-0000-0000943F0000}"/>
    <cellStyle name="Normal 61 2 2 4 3" xfId="13039" xr:uid="{00000000-0005-0000-0000-0000953F0000}"/>
    <cellStyle name="Normal 61 2 2 4 4" xfId="19277" xr:uid="{00000000-0005-0000-0000-0000963F0000}"/>
    <cellStyle name="Normal 61 2 2 5" xfId="6918" xr:uid="{00000000-0005-0000-0000-0000973F0000}"/>
    <cellStyle name="Normal 61 2 2 5 2" xfId="13041" xr:uid="{00000000-0005-0000-0000-0000983F0000}"/>
    <cellStyle name="Normal 61 2 2 5 3" xfId="19279" xr:uid="{00000000-0005-0000-0000-0000993F0000}"/>
    <cellStyle name="Normal 61 2 2 6" xfId="13030" xr:uid="{00000000-0005-0000-0000-00009A3F0000}"/>
    <cellStyle name="Normal 61 2 2 7" xfId="19268" xr:uid="{00000000-0005-0000-0000-00009B3F0000}"/>
    <cellStyle name="Normal 61 2 3" xfId="6919" xr:uid="{00000000-0005-0000-0000-00009C3F0000}"/>
    <cellStyle name="Normal 61 2 3 2" xfId="6920" xr:uid="{00000000-0005-0000-0000-00009D3F0000}"/>
    <cellStyle name="Normal 61 2 3 2 2" xfId="6921" xr:uid="{00000000-0005-0000-0000-00009E3F0000}"/>
    <cellStyle name="Normal 61 2 3 2 2 2" xfId="13044" xr:uid="{00000000-0005-0000-0000-00009F3F0000}"/>
    <cellStyle name="Normal 61 2 3 2 2 3" xfId="19282" xr:uid="{00000000-0005-0000-0000-0000A03F0000}"/>
    <cellStyle name="Normal 61 2 3 2 3" xfId="13043" xr:uid="{00000000-0005-0000-0000-0000A13F0000}"/>
    <cellStyle name="Normal 61 2 3 2 4" xfId="19281" xr:uid="{00000000-0005-0000-0000-0000A23F0000}"/>
    <cellStyle name="Normal 61 2 3 3" xfId="6922" xr:uid="{00000000-0005-0000-0000-0000A33F0000}"/>
    <cellStyle name="Normal 61 2 3 3 2" xfId="6923" xr:uid="{00000000-0005-0000-0000-0000A43F0000}"/>
    <cellStyle name="Normal 61 2 3 3 2 2" xfId="13046" xr:uid="{00000000-0005-0000-0000-0000A53F0000}"/>
    <cellStyle name="Normal 61 2 3 3 2 3" xfId="19284" xr:uid="{00000000-0005-0000-0000-0000A63F0000}"/>
    <cellStyle name="Normal 61 2 3 3 3" xfId="13045" xr:uid="{00000000-0005-0000-0000-0000A73F0000}"/>
    <cellStyle name="Normal 61 2 3 3 4" xfId="19283" xr:uid="{00000000-0005-0000-0000-0000A83F0000}"/>
    <cellStyle name="Normal 61 2 3 4" xfId="6924" xr:uid="{00000000-0005-0000-0000-0000A93F0000}"/>
    <cellStyle name="Normal 61 2 3 4 2" xfId="13047" xr:uid="{00000000-0005-0000-0000-0000AA3F0000}"/>
    <cellStyle name="Normal 61 2 3 4 3" xfId="19285" xr:uid="{00000000-0005-0000-0000-0000AB3F0000}"/>
    <cellStyle name="Normal 61 2 3 5" xfId="13042" xr:uid="{00000000-0005-0000-0000-0000AC3F0000}"/>
    <cellStyle name="Normal 61 2 3 6" xfId="19280" xr:uid="{00000000-0005-0000-0000-0000AD3F0000}"/>
    <cellStyle name="Normal 61 2 4" xfId="6925" xr:uid="{00000000-0005-0000-0000-0000AE3F0000}"/>
    <cellStyle name="Normal 61 2 4 2" xfId="6926" xr:uid="{00000000-0005-0000-0000-0000AF3F0000}"/>
    <cellStyle name="Normal 61 2 4 2 2" xfId="13049" xr:uid="{00000000-0005-0000-0000-0000B03F0000}"/>
    <cellStyle name="Normal 61 2 4 2 3" xfId="19287" xr:uid="{00000000-0005-0000-0000-0000B13F0000}"/>
    <cellStyle name="Normal 61 2 4 3" xfId="13048" xr:uid="{00000000-0005-0000-0000-0000B23F0000}"/>
    <cellStyle name="Normal 61 2 4 4" xfId="19286" xr:uid="{00000000-0005-0000-0000-0000B33F0000}"/>
    <cellStyle name="Normal 61 2 5" xfId="6927" xr:uid="{00000000-0005-0000-0000-0000B43F0000}"/>
    <cellStyle name="Normal 61 2 5 2" xfId="6928" xr:uid="{00000000-0005-0000-0000-0000B53F0000}"/>
    <cellStyle name="Normal 61 2 5 2 2" xfId="13051" xr:uid="{00000000-0005-0000-0000-0000B63F0000}"/>
    <cellStyle name="Normal 61 2 5 2 3" xfId="19289" xr:uid="{00000000-0005-0000-0000-0000B73F0000}"/>
    <cellStyle name="Normal 61 2 5 3" xfId="13050" xr:uid="{00000000-0005-0000-0000-0000B83F0000}"/>
    <cellStyle name="Normal 61 2 5 4" xfId="19288" xr:uid="{00000000-0005-0000-0000-0000B93F0000}"/>
    <cellStyle name="Normal 61 2 6" xfId="6929" xr:uid="{00000000-0005-0000-0000-0000BA3F0000}"/>
    <cellStyle name="Normal 61 2 6 2" xfId="13052" xr:uid="{00000000-0005-0000-0000-0000BB3F0000}"/>
    <cellStyle name="Normal 61 2 6 3" xfId="19290" xr:uid="{00000000-0005-0000-0000-0000BC3F0000}"/>
    <cellStyle name="Normal 61 2 7" xfId="13029" xr:uid="{00000000-0005-0000-0000-0000BD3F0000}"/>
    <cellStyle name="Normal 61 2 8" xfId="19267" xr:uid="{00000000-0005-0000-0000-0000BE3F0000}"/>
    <cellStyle name="Normal 61 3" xfId="6930" xr:uid="{00000000-0005-0000-0000-0000BF3F0000}"/>
    <cellStyle name="Normal 61 3 2" xfId="6931" xr:uid="{00000000-0005-0000-0000-0000C03F0000}"/>
    <cellStyle name="Normal 61 3 2 2" xfId="6932" xr:uid="{00000000-0005-0000-0000-0000C13F0000}"/>
    <cellStyle name="Normal 61 3 2 2 2" xfId="6933" xr:uid="{00000000-0005-0000-0000-0000C23F0000}"/>
    <cellStyle name="Normal 61 3 2 2 2 2" xfId="13056" xr:uid="{00000000-0005-0000-0000-0000C33F0000}"/>
    <cellStyle name="Normal 61 3 2 2 2 3" xfId="19294" xr:uid="{00000000-0005-0000-0000-0000C43F0000}"/>
    <cellStyle name="Normal 61 3 2 2 3" xfId="13055" xr:uid="{00000000-0005-0000-0000-0000C53F0000}"/>
    <cellStyle name="Normal 61 3 2 2 4" xfId="19293" xr:uid="{00000000-0005-0000-0000-0000C63F0000}"/>
    <cellStyle name="Normal 61 3 2 3" xfId="6934" xr:uid="{00000000-0005-0000-0000-0000C73F0000}"/>
    <cellStyle name="Normal 61 3 2 3 2" xfId="6935" xr:uid="{00000000-0005-0000-0000-0000C83F0000}"/>
    <cellStyle name="Normal 61 3 2 3 2 2" xfId="13058" xr:uid="{00000000-0005-0000-0000-0000C93F0000}"/>
    <cellStyle name="Normal 61 3 2 3 2 3" xfId="19296" xr:uid="{00000000-0005-0000-0000-0000CA3F0000}"/>
    <cellStyle name="Normal 61 3 2 3 3" xfId="13057" xr:uid="{00000000-0005-0000-0000-0000CB3F0000}"/>
    <cellStyle name="Normal 61 3 2 3 4" xfId="19295" xr:uid="{00000000-0005-0000-0000-0000CC3F0000}"/>
    <cellStyle name="Normal 61 3 2 4" xfId="6936" xr:uid="{00000000-0005-0000-0000-0000CD3F0000}"/>
    <cellStyle name="Normal 61 3 2 4 2" xfId="13059" xr:uid="{00000000-0005-0000-0000-0000CE3F0000}"/>
    <cellStyle name="Normal 61 3 2 4 3" xfId="19297" xr:uid="{00000000-0005-0000-0000-0000CF3F0000}"/>
    <cellStyle name="Normal 61 3 2 5" xfId="13054" xr:uid="{00000000-0005-0000-0000-0000D03F0000}"/>
    <cellStyle name="Normal 61 3 2 6" xfId="19292" xr:uid="{00000000-0005-0000-0000-0000D13F0000}"/>
    <cellStyle name="Normal 61 3 3" xfId="6937" xr:uid="{00000000-0005-0000-0000-0000D23F0000}"/>
    <cellStyle name="Normal 61 3 3 2" xfId="6938" xr:uid="{00000000-0005-0000-0000-0000D33F0000}"/>
    <cellStyle name="Normal 61 3 3 2 2" xfId="13061" xr:uid="{00000000-0005-0000-0000-0000D43F0000}"/>
    <cellStyle name="Normal 61 3 3 2 3" xfId="19299" xr:uid="{00000000-0005-0000-0000-0000D53F0000}"/>
    <cellStyle name="Normal 61 3 3 3" xfId="13060" xr:uid="{00000000-0005-0000-0000-0000D63F0000}"/>
    <cellStyle name="Normal 61 3 3 4" xfId="19298" xr:uid="{00000000-0005-0000-0000-0000D73F0000}"/>
    <cellStyle name="Normal 61 3 4" xfId="6939" xr:uid="{00000000-0005-0000-0000-0000D83F0000}"/>
    <cellStyle name="Normal 61 3 4 2" xfId="6940" xr:uid="{00000000-0005-0000-0000-0000D93F0000}"/>
    <cellStyle name="Normal 61 3 4 2 2" xfId="13063" xr:uid="{00000000-0005-0000-0000-0000DA3F0000}"/>
    <cellStyle name="Normal 61 3 4 2 3" xfId="19301" xr:uid="{00000000-0005-0000-0000-0000DB3F0000}"/>
    <cellStyle name="Normal 61 3 4 3" xfId="13062" xr:uid="{00000000-0005-0000-0000-0000DC3F0000}"/>
    <cellStyle name="Normal 61 3 4 4" xfId="19300" xr:uid="{00000000-0005-0000-0000-0000DD3F0000}"/>
    <cellStyle name="Normal 61 3 5" xfId="6941" xr:uid="{00000000-0005-0000-0000-0000DE3F0000}"/>
    <cellStyle name="Normal 61 3 5 2" xfId="13064" xr:uid="{00000000-0005-0000-0000-0000DF3F0000}"/>
    <cellStyle name="Normal 61 3 5 3" xfId="19302" xr:uid="{00000000-0005-0000-0000-0000E03F0000}"/>
    <cellStyle name="Normal 61 3 6" xfId="13053" xr:uid="{00000000-0005-0000-0000-0000E13F0000}"/>
    <cellStyle name="Normal 61 3 7" xfId="19291" xr:uid="{00000000-0005-0000-0000-0000E23F0000}"/>
    <cellStyle name="Normal 61 4" xfId="6942" xr:uid="{00000000-0005-0000-0000-0000E33F0000}"/>
    <cellStyle name="Normal 61 4 2" xfId="6943" xr:uid="{00000000-0005-0000-0000-0000E43F0000}"/>
    <cellStyle name="Normal 61 4 2 2" xfId="6944" xr:uid="{00000000-0005-0000-0000-0000E53F0000}"/>
    <cellStyle name="Normal 61 4 2 2 2" xfId="13067" xr:uid="{00000000-0005-0000-0000-0000E63F0000}"/>
    <cellStyle name="Normal 61 4 2 2 3" xfId="19305" xr:uid="{00000000-0005-0000-0000-0000E73F0000}"/>
    <cellStyle name="Normal 61 4 2 3" xfId="13066" xr:uid="{00000000-0005-0000-0000-0000E83F0000}"/>
    <cellStyle name="Normal 61 4 2 4" xfId="19304" xr:uid="{00000000-0005-0000-0000-0000E93F0000}"/>
    <cellStyle name="Normal 61 4 3" xfId="6945" xr:uid="{00000000-0005-0000-0000-0000EA3F0000}"/>
    <cellStyle name="Normal 61 4 3 2" xfId="6946" xr:uid="{00000000-0005-0000-0000-0000EB3F0000}"/>
    <cellStyle name="Normal 61 4 3 2 2" xfId="13069" xr:uid="{00000000-0005-0000-0000-0000EC3F0000}"/>
    <cellStyle name="Normal 61 4 3 2 3" xfId="19307" xr:uid="{00000000-0005-0000-0000-0000ED3F0000}"/>
    <cellStyle name="Normal 61 4 3 3" xfId="13068" xr:uid="{00000000-0005-0000-0000-0000EE3F0000}"/>
    <cellStyle name="Normal 61 4 3 4" xfId="19306" xr:uid="{00000000-0005-0000-0000-0000EF3F0000}"/>
    <cellStyle name="Normal 61 4 4" xfId="6947" xr:uid="{00000000-0005-0000-0000-0000F03F0000}"/>
    <cellStyle name="Normal 61 4 4 2" xfId="13070" xr:uid="{00000000-0005-0000-0000-0000F13F0000}"/>
    <cellStyle name="Normal 61 4 4 3" xfId="19308" xr:uid="{00000000-0005-0000-0000-0000F23F0000}"/>
    <cellStyle name="Normal 61 4 5" xfId="13065" xr:uid="{00000000-0005-0000-0000-0000F33F0000}"/>
    <cellStyle name="Normal 61 4 6" xfId="19303" xr:uid="{00000000-0005-0000-0000-0000F43F0000}"/>
    <cellStyle name="Normal 61 5" xfId="6948" xr:uid="{00000000-0005-0000-0000-0000F53F0000}"/>
    <cellStyle name="Normal 61 5 2" xfId="6949" xr:uid="{00000000-0005-0000-0000-0000F63F0000}"/>
    <cellStyle name="Normal 61 5 2 2" xfId="13072" xr:uid="{00000000-0005-0000-0000-0000F73F0000}"/>
    <cellStyle name="Normal 61 5 2 3" xfId="19310" xr:uid="{00000000-0005-0000-0000-0000F83F0000}"/>
    <cellStyle name="Normal 61 5 3" xfId="13071" xr:uid="{00000000-0005-0000-0000-0000F93F0000}"/>
    <cellStyle name="Normal 61 5 4" xfId="19309" xr:uid="{00000000-0005-0000-0000-0000FA3F0000}"/>
    <cellStyle name="Normal 61 6" xfId="6950" xr:uid="{00000000-0005-0000-0000-0000FB3F0000}"/>
    <cellStyle name="Normal 61 6 2" xfId="6951" xr:uid="{00000000-0005-0000-0000-0000FC3F0000}"/>
    <cellStyle name="Normal 61 6 2 2" xfId="13074" xr:uid="{00000000-0005-0000-0000-0000FD3F0000}"/>
    <cellStyle name="Normal 61 6 2 3" xfId="19312" xr:uid="{00000000-0005-0000-0000-0000FE3F0000}"/>
    <cellStyle name="Normal 61 6 3" xfId="13073" xr:uid="{00000000-0005-0000-0000-0000FF3F0000}"/>
    <cellStyle name="Normal 61 6 4" xfId="19311" xr:uid="{00000000-0005-0000-0000-000000400000}"/>
    <cellStyle name="Normal 61 7" xfId="6952" xr:uid="{00000000-0005-0000-0000-000001400000}"/>
    <cellStyle name="Normal 61 7 2" xfId="13075" xr:uid="{00000000-0005-0000-0000-000002400000}"/>
    <cellStyle name="Normal 61 7 3" xfId="19313" xr:uid="{00000000-0005-0000-0000-000003400000}"/>
    <cellStyle name="Normal 61 8" xfId="6953" xr:uid="{00000000-0005-0000-0000-000004400000}"/>
    <cellStyle name="Normal 61 8 2" xfId="19314" xr:uid="{00000000-0005-0000-0000-000005400000}"/>
    <cellStyle name="Normal 61 9" xfId="13028" xr:uid="{00000000-0005-0000-0000-000006400000}"/>
    <cellStyle name="Normal 62" xfId="6954" xr:uid="{00000000-0005-0000-0000-000007400000}"/>
    <cellStyle name="Normal 62 10" xfId="19315" xr:uid="{00000000-0005-0000-0000-000008400000}"/>
    <cellStyle name="Normal 62 2" xfId="6955" xr:uid="{00000000-0005-0000-0000-000009400000}"/>
    <cellStyle name="Normal 62 2 2" xfId="6956" xr:uid="{00000000-0005-0000-0000-00000A400000}"/>
    <cellStyle name="Normal 62 2 2 2" xfId="6957" xr:uid="{00000000-0005-0000-0000-00000B400000}"/>
    <cellStyle name="Normal 62 2 2 2 2" xfId="6958" xr:uid="{00000000-0005-0000-0000-00000C400000}"/>
    <cellStyle name="Normal 62 2 2 2 2 2" xfId="6959" xr:uid="{00000000-0005-0000-0000-00000D400000}"/>
    <cellStyle name="Normal 62 2 2 2 2 2 2" xfId="13081" xr:uid="{00000000-0005-0000-0000-00000E400000}"/>
    <cellStyle name="Normal 62 2 2 2 2 2 3" xfId="19320" xr:uid="{00000000-0005-0000-0000-00000F400000}"/>
    <cellStyle name="Normal 62 2 2 2 2 3" xfId="13080" xr:uid="{00000000-0005-0000-0000-000010400000}"/>
    <cellStyle name="Normal 62 2 2 2 2 4" xfId="19319" xr:uid="{00000000-0005-0000-0000-000011400000}"/>
    <cellStyle name="Normal 62 2 2 2 3" xfId="6960" xr:uid="{00000000-0005-0000-0000-000012400000}"/>
    <cellStyle name="Normal 62 2 2 2 3 2" xfId="6961" xr:uid="{00000000-0005-0000-0000-000013400000}"/>
    <cellStyle name="Normal 62 2 2 2 3 2 2" xfId="13083" xr:uid="{00000000-0005-0000-0000-000014400000}"/>
    <cellStyle name="Normal 62 2 2 2 3 2 3" xfId="19322" xr:uid="{00000000-0005-0000-0000-000015400000}"/>
    <cellStyle name="Normal 62 2 2 2 3 3" xfId="13082" xr:uid="{00000000-0005-0000-0000-000016400000}"/>
    <cellStyle name="Normal 62 2 2 2 3 4" xfId="19321" xr:uid="{00000000-0005-0000-0000-000017400000}"/>
    <cellStyle name="Normal 62 2 2 2 4" xfId="6962" xr:uid="{00000000-0005-0000-0000-000018400000}"/>
    <cellStyle name="Normal 62 2 2 2 4 2" xfId="13084" xr:uid="{00000000-0005-0000-0000-000019400000}"/>
    <cellStyle name="Normal 62 2 2 2 4 3" xfId="19323" xr:uid="{00000000-0005-0000-0000-00001A400000}"/>
    <cellStyle name="Normal 62 2 2 2 5" xfId="13079" xr:uid="{00000000-0005-0000-0000-00001B400000}"/>
    <cellStyle name="Normal 62 2 2 2 6" xfId="19318" xr:uid="{00000000-0005-0000-0000-00001C400000}"/>
    <cellStyle name="Normal 62 2 2 3" xfId="6963" xr:uid="{00000000-0005-0000-0000-00001D400000}"/>
    <cellStyle name="Normal 62 2 2 3 2" xfId="6964" xr:uid="{00000000-0005-0000-0000-00001E400000}"/>
    <cellStyle name="Normal 62 2 2 3 2 2" xfId="13086" xr:uid="{00000000-0005-0000-0000-00001F400000}"/>
    <cellStyle name="Normal 62 2 2 3 2 3" xfId="19325" xr:uid="{00000000-0005-0000-0000-000020400000}"/>
    <cellStyle name="Normal 62 2 2 3 3" xfId="13085" xr:uid="{00000000-0005-0000-0000-000021400000}"/>
    <cellStyle name="Normal 62 2 2 3 4" xfId="19324" xr:uid="{00000000-0005-0000-0000-000022400000}"/>
    <cellStyle name="Normal 62 2 2 4" xfId="6965" xr:uid="{00000000-0005-0000-0000-000023400000}"/>
    <cellStyle name="Normal 62 2 2 4 2" xfId="6966" xr:uid="{00000000-0005-0000-0000-000024400000}"/>
    <cellStyle name="Normal 62 2 2 4 2 2" xfId="13088" xr:uid="{00000000-0005-0000-0000-000025400000}"/>
    <cellStyle name="Normal 62 2 2 4 2 3" xfId="19327" xr:uid="{00000000-0005-0000-0000-000026400000}"/>
    <cellStyle name="Normal 62 2 2 4 3" xfId="13087" xr:uid="{00000000-0005-0000-0000-000027400000}"/>
    <cellStyle name="Normal 62 2 2 4 4" xfId="19326" xr:uid="{00000000-0005-0000-0000-000028400000}"/>
    <cellStyle name="Normal 62 2 2 5" xfId="6967" xr:uid="{00000000-0005-0000-0000-000029400000}"/>
    <cellStyle name="Normal 62 2 2 5 2" xfId="13089" xr:uid="{00000000-0005-0000-0000-00002A400000}"/>
    <cellStyle name="Normal 62 2 2 5 3" xfId="19328" xr:uid="{00000000-0005-0000-0000-00002B400000}"/>
    <cellStyle name="Normal 62 2 2 6" xfId="13078" xr:uid="{00000000-0005-0000-0000-00002C400000}"/>
    <cellStyle name="Normal 62 2 2 7" xfId="19317" xr:uid="{00000000-0005-0000-0000-00002D400000}"/>
    <cellStyle name="Normal 62 2 3" xfId="6968" xr:uid="{00000000-0005-0000-0000-00002E400000}"/>
    <cellStyle name="Normal 62 2 3 2" xfId="6969" xr:uid="{00000000-0005-0000-0000-00002F400000}"/>
    <cellStyle name="Normal 62 2 3 2 2" xfId="6970" xr:uid="{00000000-0005-0000-0000-000030400000}"/>
    <cellStyle name="Normal 62 2 3 2 2 2" xfId="13092" xr:uid="{00000000-0005-0000-0000-000031400000}"/>
    <cellStyle name="Normal 62 2 3 2 2 3" xfId="19331" xr:uid="{00000000-0005-0000-0000-000032400000}"/>
    <cellStyle name="Normal 62 2 3 2 3" xfId="13091" xr:uid="{00000000-0005-0000-0000-000033400000}"/>
    <cellStyle name="Normal 62 2 3 2 4" xfId="19330" xr:uid="{00000000-0005-0000-0000-000034400000}"/>
    <cellStyle name="Normal 62 2 3 3" xfId="6971" xr:uid="{00000000-0005-0000-0000-000035400000}"/>
    <cellStyle name="Normal 62 2 3 3 2" xfId="6972" xr:uid="{00000000-0005-0000-0000-000036400000}"/>
    <cellStyle name="Normal 62 2 3 3 2 2" xfId="13094" xr:uid="{00000000-0005-0000-0000-000037400000}"/>
    <cellStyle name="Normal 62 2 3 3 2 3" xfId="19333" xr:uid="{00000000-0005-0000-0000-000038400000}"/>
    <cellStyle name="Normal 62 2 3 3 3" xfId="13093" xr:uid="{00000000-0005-0000-0000-000039400000}"/>
    <cellStyle name="Normal 62 2 3 3 4" xfId="19332" xr:uid="{00000000-0005-0000-0000-00003A400000}"/>
    <cellStyle name="Normal 62 2 3 4" xfId="6973" xr:uid="{00000000-0005-0000-0000-00003B400000}"/>
    <cellStyle name="Normal 62 2 3 4 2" xfId="13095" xr:uid="{00000000-0005-0000-0000-00003C400000}"/>
    <cellStyle name="Normal 62 2 3 4 3" xfId="19334" xr:uid="{00000000-0005-0000-0000-00003D400000}"/>
    <cellStyle name="Normal 62 2 3 5" xfId="13090" xr:uid="{00000000-0005-0000-0000-00003E400000}"/>
    <cellStyle name="Normal 62 2 3 6" xfId="19329" xr:uid="{00000000-0005-0000-0000-00003F400000}"/>
    <cellStyle name="Normal 62 2 4" xfId="6974" xr:uid="{00000000-0005-0000-0000-000040400000}"/>
    <cellStyle name="Normal 62 2 4 2" xfId="6975" xr:uid="{00000000-0005-0000-0000-000041400000}"/>
    <cellStyle name="Normal 62 2 4 2 2" xfId="13097" xr:uid="{00000000-0005-0000-0000-000042400000}"/>
    <cellStyle name="Normal 62 2 4 2 3" xfId="19336" xr:uid="{00000000-0005-0000-0000-000043400000}"/>
    <cellStyle name="Normal 62 2 4 3" xfId="13096" xr:uid="{00000000-0005-0000-0000-000044400000}"/>
    <cellStyle name="Normal 62 2 4 4" xfId="19335" xr:uid="{00000000-0005-0000-0000-000045400000}"/>
    <cellStyle name="Normal 62 2 5" xfId="6976" xr:uid="{00000000-0005-0000-0000-000046400000}"/>
    <cellStyle name="Normal 62 2 5 2" xfId="6977" xr:uid="{00000000-0005-0000-0000-000047400000}"/>
    <cellStyle name="Normal 62 2 5 2 2" xfId="13099" xr:uid="{00000000-0005-0000-0000-000048400000}"/>
    <cellStyle name="Normal 62 2 5 2 3" xfId="19338" xr:uid="{00000000-0005-0000-0000-000049400000}"/>
    <cellStyle name="Normal 62 2 5 3" xfId="13098" xr:uid="{00000000-0005-0000-0000-00004A400000}"/>
    <cellStyle name="Normal 62 2 5 4" xfId="19337" xr:uid="{00000000-0005-0000-0000-00004B400000}"/>
    <cellStyle name="Normal 62 2 6" xfId="6978" xr:uid="{00000000-0005-0000-0000-00004C400000}"/>
    <cellStyle name="Normal 62 2 6 2" xfId="13100" xr:uid="{00000000-0005-0000-0000-00004D400000}"/>
    <cellStyle name="Normal 62 2 6 3" xfId="19339" xr:uid="{00000000-0005-0000-0000-00004E400000}"/>
    <cellStyle name="Normal 62 2 7" xfId="13077" xr:uid="{00000000-0005-0000-0000-00004F400000}"/>
    <cellStyle name="Normal 62 2 8" xfId="19316" xr:uid="{00000000-0005-0000-0000-000050400000}"/>
    <cellStyle name="Normal 62 3" xfId="6979" xr:uid="{00000000-0005-0000-0000-000051400000}"/>
    <cellStyle name="Normal 62 3 2" xfId="6980" xr:uid="{00000000-0005-0000-0000-000052400000}"/>
    <cellStyle name="Normal 62 3 2 2" xfId="6981" xr:uid="{00000000-0005-0000-0000-000053400000}"/>
    <cellStyle name="Normal 62 3 2 2 2" xfId="6982" xr:uid="{00000000-0005-0000-0000-000054400000}"/>
    <cellStyle name="Normal 62 3 2 2 2 2" xfId="13104" xr:uid="{00000000-0005-0000-0000-000055400000}"/>
    <cellStyle name="Normal 62 3 2 2 2 3" xfId="19343" xr:uid="{00000000-0005-0000-0000-000056400000}"/>
    <cellStyle name="Normal 62 3 2 2 3" xfId="13103" xr:uid="{00000000-0005-0000-0000-000057400000}"/>
    <cellStyle name="Normal 62 3 2 2 4" xfId="19342" xr:uid="{00000000-0005-0000-0000-000058400000}"/>
    <cellStyle name="Normal 62 3 2 3" xfId="6983" xr:uid="{00000000-0005-0000-0000-000059400000}"/>
    <cellStyle name="Normal 62 3 2 3 2" xfId="6984" xr:uid="{00000000-0005-0000-0000-00005A400000}"/>
    <cellStyle name="Normal 62 3 2 3 2 2" xfId="13106" xr:uid="{00000000-0005-0000-0000-00005B400000}"/>
    <cellStyle name="Normal 62 3 2 3 2 3" xfId="19345" xr:uid="{00000000-0005-0000-0000-00005C400000}"/>
    <cellStyle name="Normal 62 3 2 3 3" xfId="13105" xr:uid="{00000000-0005-0000-0000-00005D400000}"/>
    <cellStyle name="Normal 62 3 2 3 4" xfId="19344" xr:uid="{00000000-0005-0000-0000-00005E400000}"/>
    <cellStyle name="Normal 62 3 2 4" xfId="6985" xr:uid="{00000000-0005-0000-0000-00005F400000}"/>
    <cellStyle name="Normal 62 3 2 4 2" xfId="13107" xr:uid="{00000000-0005-0000-0000-000060400000}"/>
    <cellStyle name="Normal 62 3 2 4 3" xfId="19346" xr:uid="{00000000-0005-0000-0000-000061400000}"/>
    <cellStyle name="Normal 62 3 2 5" xfId="13102" xr:uid="{00000000-0005-0000-0000-000062400000}"/>
    <cellStyle name="Normal 62 3 2 6" xfId="19341" xr:uid="{00000000-0005-0000-0000-000063400000}"/>
    <cellStyle name="Normal 62 3 3" xfId="6986" xr:uid="{00000000-0005-0000-0000-000064400000}"/>
    <cellStyle name="Normal 62 3 3 2" xfId="6987" xr:uid="{00000000-0005-0000-0000-000065400000}"/>
    <cellStyle name="Normal 62 3 3 2 2" xfId="13109" xr:uid="{00000000-0005-0000-0000-000066400000}"/>
    <cellStyle name="Normal 62 3 3 2 3" xfId="19348" xr:uid="{00000000-0005-0000-0000-000067400000}"/>
    <cellStyle name="Normal 62 3 3 3" xfId="13108" xr:uid="{00000000-0005-0000-0000-000068400000}"/>
    <cellStyle name="Normal 62 3 3 4" xfId="19347" xr:uid="{00000000-0005-0000-0000-000069400000}"/>
    <cellStyle name="Normal 62 3 4" xfId="6988" xr:uid="{00000000-0005-0000-0000-00006A400000}"/>
    <cellStyle name="Normal 62 3 4 2" xfId="6989" xr:uid="{00000000-0005-0000-0000-00006B400000}"/>
    <cellStyle name="Normal 62 3 4 2 2" xfId="13111" xr:uid="{00000000-0005-0000-0000-00006C400000}"/>
    <cellStyle name="Normal 62 3 4 2 3" xfId="19350" xr:uid="{00000000-0005-0000-0000-00006D400000}"/>
    <cellStyle name="Normal 62 3 4 3" xfId="13110" xr:uid="{00000000-0005-0000-0000-00006E400000}"/>
    <cellStyle name="Normal 62 3 4 4" xfId="19349" xr:uid="{00000000-0005-0000-0000-00006F400000}"/>
    <cellStyle name="Normal 62 3 5" xfId="6990" xr:uid="{00000000-0005-0000-0000-000070400000}"/>
    <cellStyle name="Normal 62 3 5 2" xfId="13112" xr:uid="{00000000-0005-0000-0000-000071400000}"/>
    <cellStyle name="Normal 62 3 5 3" xfId="19351" xr:uid="{00000000-0005-0000-0000-000072400000}"/>
    <cellStyle name="Normal 62 3 6" xfId="13101" xr:uid="{00000000-0005-0000-0000-000073400000}"/>
    <cellStyle name="Normal 62 3 7" xfId="19340" xr:uid="{00000000-0005-0000-0000-000074400000}"/>
    <cellStyle name="Normal 62 4" xfId="6991" xr:uid="{00000000-0005-0000-0000-000075400000}"/>
    <cellStyle name="Normal 62 4 2" xfId="6992" xr:uid="{00000000-0005-0000-0000-000076400000}"/>
    <cellStyle name="Normal 62 4 2 2" xfId="6993" xr:uid="{00000000-0005-0000-0000-000077400000}"/>
    <cellStyle name="Normal 62 4 2 2 2" xfId="13115" xr:uid="{00000000-0005-0000-0000-000078400000}"/>
    <cellStyle name="Normal 62 4 2 2 3" xfId="19354" xr:uid="{00000000-0005-0000-0000-000079400000}"/>
    <cellStyle name="Normal 62 4 2 3" xfId="13114" xr:uid="{00000000-0005-0000-0000-00007A400000}"/>
    <cellStyle name="Normal 62 4 2 4" xfId="19353" xr:uid="{00000000-0005-0000-0000-00007B400000}"/>
    <cellStyle name="Normal 62 4 3" xfId="6994" xr:uid="{00000000-0005-0000-0000-00007C400000}"/>
    <cellStyle name="Normal 62 4 3 2" xfId="6995" xr:uid="{00000000-0005-0000-0000-00007D400000}"/>
    <cellStyle name="Normal 62 4 3 2 2" xfId="13117" xr:uid="{00000000-0005-0000-0000-00007E400000}"/>
    <cellStyle name="Normal 62 4 3 2 3" xfId="19356" xr:uid="{00000000-0005-0000-0000-00007F400000}"/>
    <cellStyle name="Normal 62 4 3 3" xfId="13116" xr:uid="{00000000-0005-0000-0000-000080400000}"/>
    <cellStyle name="Normal 62 4 3 4" xfId="19355" xr:uid="{00000000-0005-0000-0000-000081400000}"/>
    <cellStyle name="Normal 62 4 4" xfId="6996" xr:uid="{00000000-0005-0000-0000-000082400000}"/>
    <cellStyle name="Normal 62 4 4 2" xfId="13118" xr:uid="{00000000-0005-0000-0000-000083400000}"/>
    <cellStyle name="Normal 62 4 4 3" xfId="19357" xr:uid="{00000000-0005-0000-0000-000084400000}"/>
    <cellStyle name="Normal 62 4 5" xfId="13113" xr:uid="{00000000-0005-0000-0000-000085400000}"/>
    <cellStyle name="Normal 62 4 6" xfId="19352" xr:uid="{00000000-0005-0000-0000-000086400000}"/>
    <cellStyle name="Normal 62 5" xfId="6997" xr:uid="{00000000-0005-0000-0000-000087400000}"/>
    <cellStyle name="Normal 62 5 2" xfId="6998" xr:uid="{00000000-0005-0000-0000-000088400000}"/>
    <cellStyle name="Normal 62 5 2 2" xfId="13120" xr:uid="{00000000-0005-0000-0000-000089400000}"/>
    <cellStyle name="Normal 62 5 2 3" xfId="19359" xr:uid="{00000000-0005-0000-0000-00008A400000}"/>
    <cellStyle name="Normal 62 5 3" xfId="13119" xr:uid="{00000000-0005-0000-0000-00008B400000}"/>
    <cellStyle name="Normal 62 5 4" xfId="19358" xr:uid="{00000000-0005-0000-0000-00008C400000}"/>
    <cellStyle name="Normal 62 6" xfId="6999" xr:uid="{00000000-0005-0000-0000-00008D400000}"/>
    <cellStyle name="Normal 62 6 2" xfId="7000" xr:uid="{00000000-0005-0000-0000-00008E400000}"/>
    <cellStyle name="Normal 62 6 2 2" xfId="13122" xr:uid="{00000000-0005-0000-0000-00008F400000}"/>
    <cellStyle name="Normal 62 6 2 3" xfId="19361" xr:uid="{00000000-0005-0000-0000-000090400000}"/>
    <cellStyle name="Normal 62 6 3" xfId="13121" xr:uid="{00000000-0005-0000-0000-000091400000}"/>
    <cellStyle name="Normal 62 6 4" xfId="19360" xr:uid="{00000000-0005-0000-0000-000092400000}"/>
    <cellStyle name="Normal 62 7" xfId="7001" xr:uid="{00000000-0005-0000-0000-000093400000}"/>
    <cellStyle name="Normal 62 7 2" xfId="13123" xr:uid="{00000000-0005-0000-0000-000094400000}"/>
    <cellStyle name="Normal 62 7 3" xfId="19362" xr:uid="{00000000-0005-0000-0000-000095400000}"/>
    <cellStyle name="Normal 62 8" xfId="7002" xr:uid="{00000000-0005-0000-0000-000096400000}"/>
    <cellStyle name="Normal 62 8 2" xfId="19363" xr:uid="{00000000-0005-0000-0000-000097400000}"/>
    <cellStyle name="Normal 62 9" xfId="13076" xr:uid="{00000000-0005-0000-0000-000098400000}"/>
    <cellStyle name="Normal 63" xfId="7003" xr:uid="{00000000-0005-0000-0000-000099400000}"/>
    <cellStyle name="Normal 63 10" xfId="19364" xr:uid="{00000000-0005-0000-0000-00009A400000}"/>
    <cellStyle name="Normal 63 2" xfId="7004" xr:uid="{00000000-0005-0000-0000-00009B400000}"/>
    <cellStyle name="Normal 63 2 2" xfId="7005" xr:uid="{00000000-0005-0000-0000-00009C400000}"/>
    <cellStyle name="Normal 63 2 2 2" xfId="7006" xr:uid="{00000000-0005-0000-0000-00009D400000}"/>
    <cellStyle name="Normal 63 2 2 2 2" xfId="7007" xr:uid="{00000000-0005-0000-0000-00009E400000}"/>
    <cellStyle name="Normal 63 2 2 2 2 2" xfId="7008" xr:uid="{00000000-0005-0000-0000-00009F400000}"/>
    <cellStyle name="Normal 63 2 2 2 2 2 2" xfId="13129" xr:uid="{00000000-0005-0000-0000-0000A0400000}"/>
    <cellStyle name="Normal 63 2 2 2 2 2 3" xfId="19369" xr:uid="{00000000-0005-0000-0000-0000A1400000}"/>
    <cellStyle name="Normal 63 2 2 2 2 3" xfId="13128" xr:uid="{00000000-0005-0000-0000-0000A2400000}"/>
    <cellStyle name="Normal 63 2 2 2 2 4" xfId="19368" xr:uid="{00000000-0005-0000-0000-0000A3400000}"/>
    <cellStyle name="Normal 63 2 2 2 3" xfId="7009" xr:uid="{00000000-0005-0000-0000-0000A4400000}"/>
    <cellStyle name="Normal 63 2 2 2 3 2" xfId="7010" xr:uid="{00000000-0005-0000-0000-0000A5400000}"/>
    <cellStyle name="Normal 63 2 2 2 3 2 2" xfId="13131" xr:uid="{00000000-0005-0000-0000-0000A6400000}"/>
    <cellStyle name="Normal 63 2 2 2 3 2 3" xfId="19371" xr:uid="{00000000-0005-0000-0000-0000A7400000}"/>
    <cellStyle name="Normal 63 2 2 2 3 3" xfId="13130" xr:uid="{00000000-0005-0000-0000-0000A8400000}"/>
    <cellStyle name="Normal 63 2 2 2 3 4" xfId="19370" xr:uid="{00000000-0005-0000-0000-0000A9400000}"/>
    <cellStyle name="Normal 63 2 2 2 4" xfId="7011" xr:uid="{00000000-0005-0000-0000-0000AA400000}"/>
    <cellStyle name="Normal 63 2 2 2 4 2" xfId="13132" xr:uid="{00000000-0005-0000-0000-0000AB400000}"/>
    <cellStyle name="Normal 63 2 2 2 4 3" xfId="19372" xr:uid="{00000000-0005-0000-0000-0000AC400000}"/>
    <cellStyle name="Normal 63 2 2 2 5" xfId="13127" xr:uid="{00000000-0005-0000-0000-0000AD400000}"/>
    <cellStyle name="Normal 63 2 2 2 6" xfId="19367" xr:uid="{00000000-0005-0000-0000-0000AE400000}"/>
    <cellStyle name="Normal 63 2 2 3" xfId="7012" xr:uid="{00000000-0005-0000-0000-0000AF400000}"/>
    <cellStyle name="Normal 63 2 2 3 2" xfId="7013" xr:uid="{00000000-0005-0000-0000-0000B0400000}"/>
    <cellStyle name="Normal 63 2 2 3 2 2" xfId="13134" xr:uid="{00000000-0005-0000-0000-0000B1400000}"/>
    <cellStyle name="Normal 63 2 2 3 2 3" xfId="19374" xr:uid="{00000000-0005-0000-0000-0000B2400000}"/>
    <cellStyle name="Normal 63 2 2 3 3" xfId="13133" xr:uid="{00000000-0005-0000-0000-0000B3400000}"/>
    <cellStyle name="Normal 63 2 2 3 4" xfId="19373" xr:uid="{00000000-0005-0000-0000-0000B4400000}"/>
    <cellStyle name="Normal 63 2 2 4" xfId="7014" xr:uid="{00000000-0005-0000-0000-0000B5400000}"/>
    <cellStyle name="Normal 63 2 2 4 2" xfId="7015" xr:uid="{00000000-0005-0000-0000-0000B6400000}"/>
    <cellStyle name="Normal 63 2 2 4 2 2" xfId="13136" xr:uid="{00000000-0005-0000-0000-0000B7400000}"/>
    <cellStyle name="Normal 63 2 2 4 2 3" xfId="19376" xr:uid="{00000000-0005-0000-0000-0000B8400000}"/>
    <cellStyle name="Normal 63 2 2 4 3" xfId="13135" xr:uid="{00000000-0005-0000-0000-0000B9400000}"/>
    <cellStyle name="Normal 63 2 2 4 4" xfId="19375" xr:uid="{00000000-0005-0000-0000-0000BA400000}"/>
    <cellStyle name="Normal 63 2 2 5" xfId="7016" xr:uid="{00000000-0005-0000-0000-0000BB400000}"/>
    <cellStyle name="Normal 63 2 2 5 2" xfId="13137" xr:uid="{00000000-0005-0000-0000-0000BC400000}"/>
    <cellStyle name="Normal 63 2 2 5 3" xfId="19377" xr:uid="{00000000-0005-0000-0000-0000BD400000}"/>
    <cellStyle name="Normal 63 2 2 6" xfId="13126" xr:uid="{00000000-0005-0000-0000-0000BE400000}"/>
    <cellStyle name="Normal 63 2 2 7" xfId="19366" xr:uid="{00000000-0005-0000-0000-0000BF400000}"/>
    <cellStyle name="Normal 63 2 3" xfId="7017" xr:uid="{00000000-0005-0000-0000-0000C0400000}"/>
    <cellStyle name="Normal 63 2 3 2" xfId="7018" xr:uid="{00000000-0005-0000-0000-0000C1400000}"/>
    <cellStyle name="Normal 63 2 3 2 2" xfId="7019" xr:uid="{00000000-0005-0000-0000-0000C2400000}"/>
    <cellStyle name="Normal 63 2 3 2 2 2" xfId="13140" xr:uid="{00000000-0005-0000-0000-0000C3400000}"/>
    <cellStyle name="Normal 63 2 3 2 2 3" xfId="19380" xr:uid="{00000000-0005-0000-0000-0000C4400000}"/>
    <cellStyle name="Normal 63 2 3 2 3" xfId="13139" xr:uid="{00000000-0005-0000-0000-0000C5400000}"/>
    <cellStyle name="Normal 63 2 3 2 4" xfId="19379" xr:uid="{00000000-0005-0000-0000-0000C6400000}"/>
    <cellStyle name="Normal 63 2 3 3" xfId="7020" xr:uid="{00000000-0005-0000-0000-0000C7400000}"/>
    <cellStyle name="Normal 63 2 3 3 2" xfId="7021" xr:uid="{00000000-0005-0000-0000-0000C8400000}"/>
    <cellStyle name="Normal 63 2 3 3 2 2" xfId="13142" xr:uid="{00000000-0005-0000-0000-0000C9400000}"/>
    <cellStyle name="Normal 63 2 3 3 2 3" xfId="19382" xr:uid="{00000000-0005-0000-0000-0000CA400000}"/>
    <cellStyle name="Normal 63 2 3 3 3" xfId="13141" xr:uid="{00000000-0005-0000-0000-0000CB400000}"/>
    <cellStyle name="Normal 63 2 3 3 4" xfId="19381" xr:uid="{00000000-0005-0000-0000-0000CC400000}"/>
    <cellStyle name="Normal 63 2 3 4" xfId="7022" xr:uid="{00000000-0005-0000-0000-0000CD400000}"/>
    <cellStyle name="Normal 63 2 3 4 2" xfId="13143" xr:uid="{00000000-0005-0000-0000-0000CE400000}"/>
    <cellStyle name="Normal 63 2 3 4 3" xfId="19383" xr:uid="{00000000-0005-0000-0000-0000CF400000}"/>
    <cellStyle name="Normal 63 2 3 5" xfId="13138" xr:uid="{00000000-0005-0000-0000-0000D0400000}"/>
    <cellStyle name="Normal 63 2 3 6" xfId="19378" xr:uid="{00000000-0005-0000-0000-0000D1400000}"/>
    <cellStyle name="Normal 63 2 4" xfId="7023" xr:uid="{00000000-0005-0000-0000-0000D2400000}"/>
    <cellStyle name="Normal 63 2 4 2" xfId="7024" xr:uid="{00000000-0005-0000-0000-0000D3400000}"/>
    <cellStyle name="Normal 63 2 4 2 2" xfId="13145" xr:uid="{00000000-0005-0000-0000-0000D4400000}"/>
    <cellStyle name="Normal 63 2 4 2 3" xfId="19385" xr:uid="{00000000-0005-0000-0000-0000D5400000}"/>
    <cellStyle name="Normal 63 2 4 3" xfId="13144" xr:uid="{00000000-0005-0000-0000-0000D6400000}"/>
    <cellStyle name="Normal 63 2 4 4" xfId="19384" xr:uid="{00000000-0005-0000-0000-0000D7400000}"/>
    <cellStyle name="Normal 63 2 5" xfId="7025" xr:uid="{00000000-0005-0000-0000-0000D8400000}"/>
    <cellStyle name="Normal 63 2 5 2" xfId="7026" xr:uid="{00000000-0005-0000-0000-0000D9400000}"/>
    <cellStyle name="Normal 63 2 5 2 2" xfId="13147" xr:uid="{00000000-0005-0000-0000-0000DA400000}"/>
    <cellStyle name="Normal 63 2 5 2 3" xfId="19387" xr:uid="{00000000-0005-0000-0000-0000DB400000}"/>
    <cellStyle name="Normal 63 2 5 3" xfId="13146" xr:uid="{00000000-0005-0000-0000-0000DC400000}"/>
    <cellStyle name="Normal 63 2 5 4" xfId="19386" xr:uid="{00000000-0005-0000-0000-0000DD400000}"/>
    <cellStyle name="Normal 63 2 6" xfId="7027" xr:uid="{00000000-0005-0000-0000-0000DE400000}"/>
    <cellStyle name="Normal 63 2 6 2" xfId="13148" xr:uid="{00000000-0005-0000-0000-0000DF400000}"/>
    <cellStyle name="Normal 63 2 6 3" xfId="19388" xr:uid="{00000000-0005-0000-0000-0000E0400000}"/>
    <cellStyle name="Normal 63 2 7" xfId="13125" xr:uid="{00000000-0005-0000-0000-0000E1400000}"/>
    <cellStyle name="Normal 63 2 8" xfId="19365" xr:uid="{00000000-0005-0000-0000-0000E2400000}"/>
    <cellStyle name="Normal 63 3" xfId="7028" xr:uid="{00000000-0005-0000-0000-0000E3400000}"/>
    <cellStyle name="Normal 63 3 2" xfId="7029" xr:uid="{00000000-0005-0000-0000-0000E4400000}"/>
    <cellStyle name="Normal 63 3 2 2" xfId="7030" xr:uid="{00000000-0005-0000-0000-0000E5400000}"/>
    <cellStyle name="Normal 63 3 2 2 2" xfId="7031" xr:uid="{00000000-0005-0000-0000-0000E6400000}"/>
    <cellStyle name="Normal 63 3 2 2 2 2" xfId="13152" xr:uid="{00000000-0005-0000-0000-0000E7400000}"/>
    <cellStyle name="Normal 63 3 2 2 2 3" xfId="19392" xr:uid="{00000000-0005-0000-0000-0000E8400000}"/>
    <cellStyle name="Normal 63 3 2 2 3" xfId="13151" xr:uid="{00000000-0005-0000-0000-0000E9400000}"/>
    <cellStyle name="Normal 63 3 2 2 4" xfId="19391" xr:uid="{00000000-0005-0000-0000-0000EA400000}"/>
    <cellStyle name="Normal 63 3 2 3" xfId="7032" xr:uid="{00000000-0005-0000-0000-0000EB400000}"/>
    <cellStyle name="Normal 63 3 2 3 2" xfId="7033" xr:uid="{00000000-0005-0000-0000-0000EC400000}"/>
    <cellStyle name="Normal 63 3 2 3 2 2" xfId="13154" xr:uid="{00000000-0005-0000-0000-0000ED400000}"/>
    <cellStyle name="Normal 63 3 2 3 2 3" xfId="19394" xr:uid="{00000000-0005-0000-0000-0000EE400000}"/>
    <cellStyle name="Normal 63 3 2 3 3" xfId="13153" xr:uid="{00000000-0005-0000-0000-0000EF400000}"/>
    <cellStyle name="Normal 63 3 2 3 4" xfId="19393" xr:uid="{00000000-0005-0000-0000-0000F0400000}"/>
    <cellStyle name="Normal 63 3 2 4" xfId="7034" xr:uid="{00000000-0005-0000-0000-0000F1400000}"/>
    <cellStyle name="Normal 63 3 2 4 2" xfId="13155" xr:uid="{00000000-0005-0000-0000-0000F2400000}"/>
    <cellStyle name="Normal 63 3 2 4 3" xfId="19395" xr:uid="{00000000-0005-0000-0000-0000F3400000}"/>
    <cellStyle name="Normal 63 3 2 5" xfId="13150" xr:uid="{00000000-0005-0000-0000-0000F4400000}"/>
    <cellStyle name="Normal 63 3 2 6" xfId="19390" xr:uid="{00000000-0005-0000-0000-0000F5400000}"/>
    <cellStyle name="Normal 63 3 3" xfId="7035" xr:uid="{00000000-0005-0000-0000-0000F6400000}"/>
    <cellStyle name="Normal 63 3 3 2" xfId="7036" xr:uid="{00000000-0005-0000-0000-0000F7400000}"/>
    <cellStyle name="Normal 63 3 3 2 2" xfId="13157" xr:uid="{00000000-0005-0000-0000-0000F8400000}"/>
    <cellStyle name="Normal 63 3 3 2 3" xfId="19397" xr:uid="{00000000-0005-0000-0000-0000F9400000}"/>
    <cellStyle name="Normal 63 3 3 3" xfId="13156" xr:uid="{00000000-0005-0000-0000-0000FA400000}"/>
    <cellStyle name="Normal 63 3 3 4" xfId="19396" xr:uid="{00000000-0005-0000-0000-0000FB400000}"/>
    <cellStyle name="Normal 63 3 4" xfId="7037" xr:uid="{00000000-0005-0000-0000-0000FC400000}"/>
    <cellStyle name="Normal 63 3 4 2" xfId="7038" xr:uid="{00000000-0005-0000-0000-0000FD400000}"/>
    <cellStyle name="Normal 63 3 4 2 2" xfId="13159" xr:uid="{00000000-0005-0000-0000-0000FE400000}"/>
    <cellStyle name="Normal 63 3 4 2 3" xfId="19399" xr:uid="{00000000-0005-0000-0000-0000FF400000}"/>
    <cellStyle name="Normal 63 3 4 3" xfId="13158" xr:uid="{00000000-0005-0000-0000-000000410000}"/>
    <cellStyle name="Normal 63 3 4 4" xfId="19398" xr:uid="{00000000-0005-0000-0000-000001410000}"/>
    <cellStyle name="Normal 63 3 5" xfId="7039" xr:uid="{00000000-0005-0000-0000-000002410000}"/>
    <cellStyle name="Normal 63 3 5 2" xfId="13160" xr:uid="{00000000-0005-0000-0000-000003410000}"/>
    <cellStyle name="Normal 63 3 5 3" xfId="19400" xr:uid="{00000000-0005-0000-0000-000004410000}"/>
    <cellStyle name="Normal 63 3 6" xfId="13149" xr:uid="{00000000-0005-0000-0000-000005410000}"/>
    <cellStyle name="Normal 63 3 7" xfId="19389" xr:uid="{00000000-0005-0000-0000-000006410000}"/>
    <cellStyle name="Normal 63 4" xfId="7040" xr:uid="{00000000-0005-0000-0000-000007410000}"/>
    <cellStyle name="Normal 63 4 2" xfId="7041" xr:uid="{00000000-0005-0000-0000-000008410000}"/>
    <cellStyle name="Normal 63 4 2 2" xfId="7042" xr:uid="{00000000-0005-0000-0000-000009410000}"/>
    <cellStyle name="Normal 63 4 2 2 2" xfId="13163" xr:uid="{00000000-0005-0000-0000-00000A410000}"/>
    <cellStyle name="Normal 63 4 2 2 3" xfId="19403" xr:uid="{00000000-0005-0000-0000-00000B410000}"/>
    <cellStyle name="Normal 63 4 2 3" xfId="13162" xr:uid="{00000000-0005-0000-0000-00000C410000}"/>
    <cellStyle name="Normal 63 4 2 4" xfId="19402" xr:uid="{00000000-0005-0000-0000-00000D410000}"/>
    <cellStyle name="Normal 63 4 3" xfId="7043" xr:uid="{00000000-0005-0000-0000-00000E410000}"/>
    <cellStyle name="Normal 63 4 3 2" xfId="7044" xr:uid="{00000000-0005-0000-0000-00000F410000}"/>
    <cellStyle name="Normal 63 4 3 2 2" xfId="13165" xr:uid="{00000000-0005-0000-0000-000010410000}"/>
    <cellStyle name="Normal 63 4 3 2 3" xfId="19405" xr:uid="{00000000-0005-0000-0000-000011410000}"/>
    <cellStyle name="Normal 63 4 3 3" xfId="13164" xr:uid="{00000000-0005-0000-0000-000012410000}"/>
    <cellStyle name="Normal 63 4 3 4" xfId="19404" xr:uid="{00000000-0005-0000-0000-000013410000}"/>
    <cellStyle name="Normal 63 4 4" xfId="7045" xr:uid="{00000000-0005-0000-0000-000014410000}"/>
    <cellStyle name="Normal 63 4 4 2" xfId="13166" xr:uid="{00000000-0005-0000-0000-000015410000}"/>
    <cellStyle name="Normal 63 4 4 3" xfId="19406" xr:uid="{00000000-0005-0000-0000-000016410000}"/>
    <cellStyle name="Normal 63 4 5" xfId="13161" xr:uid="{00000000-0005-0000-0000-000017410000}"/>
    <cellStyle name="Normal 63 4 6" xfId="19401" xr:uid="{00000000-0005-0000-0000-000018410000}"/>
    <cellStyle name="Normal 63 5" xfId="7046" xr:uid="{00000000-0005-0000-0000-000019410000}"/>
    <cellStyle name="Normal 63 5 2" xfId="7047" xr:uid="{00000000-0005-0000-0000-00001A410000}"/>
    <cellStyle name="Normal 63 5 2 2" xfId="13168" xr:uid="{00000000-0005-0000-0000-00001B410000}"/>
    <cellStyle name="Normal 63 5 2 3" xfId="19408" xr:uid="{00000000-0005-0000-0000-00001C410000}"/>
    <cellStyle name="Normal 63 5 3" xfId="13167" xr:uid="{00000000-0005-0000-0000-00001D410000}"/>
    <cellStyle name="Normal 63 5 4" xfId="19407" xr:uid="{00000000-0005-0000-0000-00001E410000}"/>
    <cellStyle name="Normal 63 6" xfId="7048" xr:uid="{00000000-0005-0000-0000-00001F410000}"/>
    <cellStyle name="Normal 63 6 2" xfId="7049" xr:uid="{00000000-0005-0000-0000-000020410000}"/>
    <cellStyle name="Normal 63 6 2 2" xfId="13170" xr:uid="{00000000-0005-0000-0000-000021410000}"/>
    <cellStyle name="Normal 63 6 2 3" xfId="19410" xr:uid="{00000000-0005-0000-0000-000022410000}"/>
    <cellStyle name="Normal 63 6 3" xfId="13169" xr:uid="{00000000-0005-0000-0000-000023410000}"/>
    <cellStyle name="Normal 63 6 4" xfId="19409" xr:uid="{00000000-0005-0000-0000-000024410000}"/>
    <cellStyle name="Normal 63 7" xfId="7050" xr:uid="{00000000-0005-0000-0000-000025410000}"/>
    <cellStyle name="Normal 63 7 2" xfId="13171" xr:uid="{00000000-0005-0000-0000-000026410000}"/>
    <cellStyle name="Normal 63 7 3" xfId="19411" xr:uid="{00000000-0005-0000-0000-000027410000}"/>
    <cellStyle name="Normal 63 8" xfId="7051" xr:uid="{00000000-0005-0000-0000-000028410000}"/>
    <cellStyle name="Normal 63 8 2" xfId="19412" xr:uid="{00000000-0005-0000-0000-000029410000}"/>
    <cellStyle name="Normal 63 9" xfId="13124" xr:uid="{00000000-0005-0000-0000-00002A410000}"/>
    <cellStyle name="Normal 64" xfId="7052" xr:uid="{00000000-0005-0000-0000-00002B410000}"/>
    <cellStyle name="Normal 64 2" xfId="7053" xr:uid="{00000000-0005-0000-0000-00002C410000}"/>
    <cellStyle name="Normal 64 2 2" xfId="13173" xr:uid="{00000000-0005-0000-0000-00002D410000}"/>
    <cellStyle name="Normal 64 2 3" xfId="19414" xr:uid="{00000000-0005-0000-0000-00002E410000}"/>
    <cellStyle name="Normal 64 3" xfId="7054" xr:uid="{00000000-0005-0000-0000-00002F410000}"/>
    <cellStyle name="Normal 64 3 2" xfId="13174" xr:uid="{00000000-0005-0000-0000-000030410000}"/>
    <cellStyle name="Normal 64 3 3" xfId="19415" xr:uid="{00000000-0005-0000-0000-000031410000}"/>
    <cellStyle name="Normal 64 4" xfId="7055" xr:uid="{00000000-0005-0000-0000-000032410000}"/>
    <cellStyle name="Normal 64 4 2" xfId="19416" xr:uid="{00000000-0005-0000-0000-000033410000}"/>
    <cellStyle name="Normal 64 5" xfId="13172" xr:uid="{00000000-0005-0000-0000-000034410000}"/>
    <cellStyle name="Normal 64 6" xfId="19413" xr:uid="{00000000-0005-0000-0000-000035410000}"/>
    <cellStyle name="Normal 65" xfId="7056" xr:uid="{00000000-0005-0000-0000-000036410000}"/>
    <cellStyle name="Normal 65 10" xfId="19417" xr:uid="{00000000-0005-0000-0000-000037410000}"/>
    <cellStyle name="Normal 65 2" xfId="7057" xr:uid="{00000000-0005-0000-0000-000038410000}"/>
    <cellStyle name="Normal 65 2 2" xfId="7058" xr:uid="{00000000-0005-0000-0000-000039410000}"/>
    <cellStyle name="Normal 65 2 2 2" xfId="7059" xr:uid="{00000000-0005-0000-0000-00003A410000}"/>
    <cellStyle name="Normal 65 2 2 2 2" xfId="7060" xr:uid="{00000000-0005-0000-0000-00003B410000}"/>
    <cellStyle name="Normal 65 2 2 2 2 2" xfId="7061" xr:uid="{00000000-0005-0000-0000-00003C410000}"/>
    <cellStyle name="Normal 65 2 2 2 2 2 2" xfId="13180" xr:uid="{00000000-0005-0000-0000-00003D410000}"/>
    <cellStyle name="Normal 65 2 2 2 2 2 3" xfId="19422" xr:uid="{00000000-0005-0000-0000-00003E410000}"/>
    <cellStyle name="Normal 65 2 2 2 2 3" xfId="13179" xr:uid="{00000000-0005-0000-0000-00003F410000}"/>
    <cellStyle name="Normal 65 2 2 2 2 4" xfId="19421" xr:uid="{00000000-0005-0000-0000-000040410000}"/>
    <cellStyle name="Normal 65 2 2 2 3" xfId="7062" xr:uid="{00000000-0005-0000-0000-000041410000}"/>
    <cellStyle name="Normal 65 2 2 2 3 2" xfId="7063" xr:uid="{00000000-0005-0000-0000-000042410000}"/>
    <cellStyle name="Normal 65 2 2 2 3 2 2" xfId="13182" xr:uid="{00000000-0005-0000-0000-000043410000}"/>
    <cellStyle name="Normal 65 2 2 2 3 2 3" xfId="19424" xr:uid="{00000000-0005-0000-0000-000044410000}"/>
    <cellStyle name="Normal 65 2 2 2 3 3" xfId="13181" xr:uid="{00000000-0005-0000-0000-000045410000}"/>
    <cellStyle name="Normal 65 2 2 2 3 4" xfId="19423" xr:uid="{00000000-0005-0000-0000-000046410000}"/>
    <cellStyle name="Normal 65 2 2 2 4" xfId="7064" xr:uid="{00000000-0005-0000-0000-000047410000}"/>
    <cellStyle name="Normal 65 2 2 2 4 2" xfId="13183" xr:uid="{00000000-0005-0000-0000-000048410000}"/>
    <cellStyle name="Normal 65 2 2 2 4 3" xfId="19425" xr:uid="{00000000-0005-0000-0000-000049410000}"/>
    <cellStyle name="Normal 65 2 2 2 5" xfId="13178" xr:uid="{00000000-0005-0000-0000-00004A410000}"/>
    <cellStyle name="Normal 65 2 2 2 6" xfId="19420" xr:uid="{00000000-0005-0000-0000-00004B410000}"/>
    <cellStyle name="Normal 65 2 2 3" xfId="7065" xr:uid="{00000000-0005-0000-0000-00004C410000}"/>
    <cellStyle name="Normal 65 2 2 3 2" xfId="7066" xr:uid="{00000000-0005-0000-0000-00004D410000}"/>
    <cellStyle name="Normal 65 2 2 3 2 2" xfId="13185" xr:uid="{00000000-0005-0000-0000-00004E410000}"/>
    <cellStyle name="Normal 65 2 2 3 2 3" xfId="19427" xr:uid="{00000000-0005-0000-0000-00004F410000}"/>
    <cellStyle name="Normal 65 2 2 3 3" xfId="13184" xr:uid="{00000000-0005-0000-0000-000050410000}"/>
    <cellStyle name="Normal 65 2 2 3 4" xfId="19426" xr:uid="{00000000-0005-0000-0000-000051410000}"/>
    <cellStyle name="Normal 65 2 2 4" xfId="7067" xr:uid="{00000000-0005-0000-0000-000052410000}"/>
    <cellStyle name="Normal 65 2 2 4 2" xfId="7068" xr:uid="{00000000-0005-0000-0000-000053410000}"/>
    <cellStyle name="Normal 65 2 2 4 2 2" xfId="13187" xr:uid="{00000000-0005-0000-0000-000054410000}"/>
    <cellStyle name="Normal 65 2 2 4 2 3" xfId="19429" xr:uid="{00000000-0005-0000-0000-000055410000}"/>
    <cellStyle name="Normal 65 2 2 4 3" xfId="13186" xr:uid="{00000000-0005-0000-0000-000056410000}"/>
    <cellStyle name="Normal 65 2 2 4 4" xfId="19428" xr:uid="{00000000-0005-0000-0000-000057410000}"/>
    <cellStyle name="Normal 65 2 2 5" xfId="7069" xr:uid="{00000000-0005-0000-0000-000058410000}"/>
    <cellStyle name="Normal 65 2 2 5 2" xfId="13188" xr:uid="{00000000-0005-0000-0000-000059410000}"/>
    <cellStyle name="Normal 65 2 2 5 3" xfId="19430" xr:uid="{00000000-0005-0000-0000-00005A410000}"/>
    <cellStyle name="Normal 65 2 2 6" xfId="13177" xr:uid="{00000000-0005-0000-0000-00005B410000}"/>
    <cellStyle name="Normal 65 2 2 7" xfId="19419" xr:uid="{00000000-0005-0000-0000-00005C410000}"/>
    <cellStyle name="Normal 65 2 3" xfId="7070" xr:uid="{00000000-0005-0000-0000-00005D410000}"/>
    <cellStyle name="Normal 65 2 3 2" xfId="7071" xr:uid="{00000000-0005-0000-0000-00005E410000}"/>
    <cellStyle name="Normal 65 2 3 2 2" xfId="7072" xr:uid="{00000000-0005-0000-0000-00005F410000}"/>
    <cellStyle name="Normal 65 2 3 2 2 2" xfId="13191" xr:uid="{00000000-0005-0000-0000-000060410000}"/>
    <cellStyle name="Normal 65 2 3 2 2 3" xfId="19433" xr:uid="{00000000-0005-0000-0000-000061410000}"/>
    <cellStyle name="Normal 65 2 3 2 3" xfId="13190" xr:uid="{00000000-0005-0000-0000-000062410000}"/>
    <cellStyle name="Normal 65 2 3 2 4" xfId="19432" xr:uid="{00000000-0005-0000-0000-000063410000}"/>
    <cellStyle name="Normal 65 2 3 3" xfId="7073" xr:uid="{00000000-0005-0000-0000-000064410000}"/>
    <cellStyle name="Normal 65 2 3 3 2" xfId="7074" xr:uid="{00000000-0005-0000-0000-000065410000}"/>
    <cellStyle name="Normal 65 2 3 3 2 2" xfId="13193" xr:uid="{00000000-0005-0000-0000-000066410000}"/>
    <cellStyle name="Normal 65 2 3 3 2 3" xfId="19435" xr:uid="{00000000-0005-0000-0000-000067410000}"/>
    <cellStyle name="Normal 65 2 3 3 3" xfId="13192" xr:uid="{00000000-0005-0000-0000-000068410000}"/>
    <cellStyle name="Normal 65 2 3 3 4" xfId="19434" xr:uid="{00000000-0005-0000-0000-000069410000}"/>
    <cellStyle name="Normal 65 2 3 4" xfId="7075" xr:uid="{00000000-0005-0000-0000-00006A410000}"/>
    <cellStyle name="Normal 65 2 3 4 2" xfId="13194" xr:uid="{00000000-0005-0000-0000-00006B410000}"/>
    <cellStyle name="Normal 65 2 3 4 3" xfId="19436" xr:uid="{00000000-0005-0000-0000-00006C410000}"/>
    <cellStyle name="Normal 65 2 3 5" xfId="13189" xr:uid="{00000000-0005-0000-0000-00006D410000}"/>
    <cellStyle name="Normal 65 2 3 6" xfId="19431" xr:uid="{00000000-0005-0000-0000-00006E410000}"/>
    <cellStyle name="Normal 65 2 4" xfId="7076" xr:uid="{00000000-0005-0000-0000-00006F410000}"/>
    <cellStyle name="Normal 65 2 4 2" xfId="7077" xr:uid="{00000000-0005-0000-0000-000070410000}"/>
    <cellStyle name="Normal 65 2 4 2 2" xfId="13196" xr:uid="{00000000-0005-0000-0000-000071410000}"/>
    <cellStyle name="Normal 65 2 4 2 3" xfId="19438" xr:uid="{00000000-0005-0000-0000-000072410000}"/>
    <cellStyle name="Normal 65 2 4 3" xfId="13195" xr:uid="{00000000-0005-0000-0000-000073410000}"/>
    <cellStyle name="Normal 65 2 4 4" xfId="19437" xr:uid="{00000000-0005-0000-0000-000074410000}"/>
    <cellStyle name="Normal 65 2 5" xfId="7078" xr:uid="{00000000-0005-0000-0000-000075410000}"/>
    <cellStyle name="Normal 65 2 5 2" xfId="7079" xr:uid="{00000000-0005-0000-0000-000076410000}"/>
    <cellStyle name="Normal 65 2 5 2 2" xfId="13198" xr:uid="{00000000-0005-0000-0000-000077410000}"/>
    <cellStyle name="Normal 65 2 5 2 3" xfId="19440" xr:uid="{00000000-0005-0000-0000-000078410000}"/>
    <cellStyle name="Normal 65 2 5 3" xfId="13197" xr:uid="{00000000-0005-0000-0000-000079410000}"/>
    <cellStyle name="Normal 65 2 5 4" xfId="19439" xr:uid="{00000000-0005-0000-0000-00007A410000}"/>
    <cellStyle name="Normal 65 2 6" xfId="7080" xr:uid="{00000000-0005-0000-0000-00007B410000}"/>
    <cellStyle name="Normal 65 2 6 2" xfId="13199" xr:uid="{00000000-0005-0000-0000-00007C410000}"/>
    <cellStyle name="Normal 65 2 6 3" xfId="19441" xr:uid="{00000000-0005-0000-0000-00007D410000}"/>
    <cellStyle name="Normal 65 2 7" xfId="13176" xr:uid="{00000000-0005-0000-0000-00007E410000}"/>
    <cellStyle name="Normal 65 2 8" xfId="19418" xr:uid="{00000000-0005-0000-0000-00007F410000}"/>
    <cellStyle name="Normal 65 3" xfId="7081" xr:uid="{00000000-0005-0000-0000-000080410000}"/>
    <cellStyle name="Normal 65 3 2" xfId="7082" xr:uid="{00000000-0005-0000-0000-000081410000}"/>
    <cellStyle name="Normal 65 3 2 2" xfId="7083" xr:uid="{00000000-0005-0000-0000-000082410000}"/>
    <cellStyle name="Normal 65 3 2 2 2" xfId="7084" xr:uid="{00000000-0005-0000-0000-000083410000}"/>
    <cellStyle name="Normal 65 3 2 2 2 2" xfId="13203" xr:uid="{00000000-0005-0000-0000-000084410000}"/>
    <cellStyle name="Normal 65 3 2 2 2 3" xfId="19445" xr:uid="{00000000-0005-0000-0000-000085410000}"/>
    <cellStyle name="Normal 65 3 2 2 3" xfId="13202" xr:uid="{00000000-0005-0000-0000-000086410000}"/>
    <cellStyle name="Normal 65 3 2 2 4" xfId="19444" xr:uid="{00000000-0005-0000-0000-000087410000}"/>
    <cellStyle name="Normal 65 3 2 3" xfId="7085" xr:uid="{00000000-0005-0000-0000-000088410000}"/>
    <cellStyle name="Normal 65 3 2 3 2" xfId="7086" xr:uid="{00000000-0005-0000-0000-000089410000}"/>
    <cellStyle name="Normal 65 3 2 3 2 2" xfId="13205" xr:uid="{00000000-0005-0000-0000-00008A410000}"/>
    <cellStyle name="Normal 65 3 2 3 2 3" xfId="19447" xr:uid="{00000000-0005-0000-0000-00008B410000}"/>
    <cellStyle name="Normal 65 3 2 3 3" xfId="13204" xr:uid="{00000000-0005-0000-0000-00008C410000}"/>
    <cellStyle name="Normal 65 3 2 3 4" xfId="19446" xr:uid="{00000000-0005-0000-0000-00008D410000}"/>
    <cellStyle name="Normal 65 3 2 4" xfId="7087" xr:uid="{00000000-0005-0000-0000-00008E410000}"/>
    <cellStyle name="Normal 65 3 2 4 2" xfId="13206" xr:uid="{00000000-0005-0000-0000-00008F410000}"/>
    <cellStyle name="Normal 65 3 2 4 3" xfId="19448" xr:uid="{00000000-0005-0000-0000-000090410000}"/>
    <cellStyle name="Normal 65 3 2 5" xfId="13201" xr:uid="{00000000-0005-0000-0000-000091410000}"/>
    <cellStyle name="Normal 65 3 2 6" xfId="19443" xr:uid="{00000000-0005-0000-0000-000092410000}"/>
    <cellStyle name="Normal 65 3 3" xfId="7088" xr:uid="{00000000-0005-0000-0000-000093410000}"/>
    <cellStyle name="Normal 65 3 3 2" xfId="7089" xr:uid="{00000000-0005-0000-0000-000094410000}"/>
    <cellStyle name="Normal 65 3 3 2 2" xfId="13208" xr:uid="{00000000-0005-0000-0000-000095410000}"/>
    <cellStyle name="Normal 65 3 3 2 3" xfId="19450" xr:uid="{00000000-0005-0000-0000-000096410000}"/>
    <cellStyle name="Normal 65 3 3 3" xfId="13207" xr:uid="{00000000-0005-0000-0000-000097410000}"/>
    <cellStyle name="Normal 65 3 3 4" xfId="19449" xr:uid="{00000000-0005-0000-0000-000098410000}"/>
    <cellStyle name="Normal 65 3 4" xfId="7090" xr:uid="{00000000-0005-0000-0000-000099410000}"/>
    <cellStyle name="Normal 65 3 4 2" xfId="7091" xr:uid="{00000000-0005-0000-0000-00009A410000}"/>
    <cellStyle name="Normal 65 3 4 2 2" xfId="13210" xr:uid="{00000000-0005-0000-0000-00009B410000}"/>
    <cellStyle name="Normal 65 3 4 2 3" xfId="19452" xr:uid="{00000000-0005-0000-0000-00009C410000}"/>
    <cellStyle name="Normal 65 3 4 3" xfId="13209" xr:uid="{00000000-0005-0000-0000-00009D410000}"/>
    <cellStyle name="Normal 65 3 4 4" xfId="19451" xr:uid="{00000000-0005-0000-0000-00009E410000}"/>
    <cellStyle name="Normal 65 3 5" xfId="7092" xr:uid="{00000000-0005-0000-0000-00009F410000}"/>
    <cellStyle name="Normal 65 3 5 2" xfId="13211" xr:uid="{00000000-0005-0000-0000-0000A0410000}"/>
    <cellStyle name="Normal 65 3 5 3" xfId="19453" xr:uid="{00000000-0005-0000-0000-0000A1410000}"/>
    <cellStyle name="Normal 65 3 6" xfId="13200" xr:uid="{00000000-0005-0000-0000-0000A2410000}"/>
    <cellStyle name="Normal 65 3 7" xfId="19442" xr:uid="{00000000-0005-0000-0000-0000A3410000}"/>
    <cellStyle name="Normal 65 4" xfId="7093" xr:uid="{00000000-0005-0000-0000-0000A4410000}"/>
    <cellStyle name="Normal 65 4 2" xfId="7094" xr:uid="{00000000-0005-0000-0000-0000A5410000}"/>
    <cellStyle name="Normal 65 4 2 2" xfId="7095" xr:uid="{00000000-0005-0000-0000-0000A6410000}"/>
    <cellStyle name="Normal 65 4 2 2 2" xfId="13214" xr:uid="{00000000-0005-0000-0000-0000A7410000}"/>
    <cellStyle name="Normal 65 4 2 2 3" xfId="19456" xr:uid="{00000000-0005-0000-0000-0000A8410000}"/>
    <cellStyle name="Normal 65 4 2 3" xfId="13213" xr:uid="{00000000-0005-0000-0000-0000A9410000}"/>
    <cellStyle name="Normal 65 4 2 4" xfId="19455" xr:uid="{00000000-0005-0000-0000-0000AA410000}"/>
    <cellStyle name="Normal 65 4 3" xfId="7096" xr:uid="{00000000-0005-0000-0000-0000AB410000}"/>
    <cellStyle name="Normal 65 4 3 2" xfId="7097" xr:uid="{00000000-0005-0000-0000-0000AC410000}"/>
    <cellStyle name="Normal 65 4 3 2 2" xfId="13216" xr:uid="{00000000-0005-0000-0000-0000AD410000}"/>
    <cellStyle name="Normal 65 4 3 2 3" xfId="19458" xr:uid="{00000000-0005-0000-0000-0000AE410000}"/>
    <cellStyle name="Normal 65 4 3 3" xfId="13215" xr:uid="{00000000-0005-0000-0000-0000AF410000}"/>
    <cellStyle name="Normal 65 4 3 4" xfId="19457" xr:uid="{00000000-0005-0000-0000-0000B0410000}"/>
    <cellStyle name="Normal 65 4 4" xfId="7098" xr:uid="{00000000-0005-0000-0000-0000B1410000}"/>
    <cellStyle name="Normal 65 4 4 2" xfId="13217" xr:uid="{00000000-0005-0000-0000-0000B2410000}"/>
    <cellStyle name="Normal 65 4 4 3" xfId="19459" xr:uid="{00000000-0005-0000-0000-0000B3410000}"/>
    <cellStyle name="Normal 65 4 5" xfId="13212" xr:uid="{00000000-0005-0000-0000-0000B4410000}"/>
    <cellStyle name="Normal 65 4 6" xfId="19454" xr:uid="{00000000-0005-0000-0000-0000B5410000}"/>
    <cellStyle name="Normal 65 5" xfId="7099" xr:uid="{00000000-0005-0000-0000-0000B6410000}"/>
    <cellStyle name="Normal 65 5 2" xfId="7100" xr:uid="{00000000-0005-0000-0000-0000B7410000}"/>
    <cellStyle name="Normal 65 5 2 2" xfId="13219" xr:uid="{00000000-0005-0000-0000-0000B8410000}"/>
    <cellStyle name="Normal 65 5 2 3" xfId="19461" xr:uid="{00000000-0005-0000-0000-0000B9410000}"/>
    <cellStyle name="Normal 65 5 3" xfId="13218" xr:uid="{00000000-0005-0000-0000-0000BA410000}"/>
    <cellStyle name="Normal 65 5 4" xfId="19460" xr:uid="{00000000-0005-0000-0000-0000BB410000}"/>
    <cellStyle name="Normal 65 6" xfId="7101" xr:uid="{00000000-0005-0000-0000-0000BC410000}"/>
    <cellStyle name="Normal 65 6 2" xfId="7102" xr:uid="{00000000-0005-0000-0000-0000BD410000}"/>
    <cellStyle name="Normal 65 6 2 2" xfId="13221" xr:uid="{00000000-0005-0000-0000-0000BE410000}"/>
    <cellStyle name="Normal 65 6 2 3" xfId="19463" xr:uid="{00000000-0005-0000-0000-0000BF410000}"/>
    <cellStyle name="Normal 65 6 3" xfId="13220" xr:uid="{00000000-0005-0000-0000-0000C0410000}"/>
    <cellStyle name="Normal 65 6 4" xfId="19462" xr:uid="{00000000-0005-0000-0000-0000C1410000}"/>
    <cellStyle name="Normal 65 7" xfId="7103" xr:uid="{00000000-0005-0000-0000-0000C2410000}"/>
    <cellStyle name="Normal 65 7 2" xfId="13222" xr:uid="{00000000-0005-0000-0000-0000C3410000}"/>
    <cellStyle name="Normal 65 7 3" xfId="19464" xr:uid="{00000000-0005-0000-0000-0000C4410000}"/>
    <cellStyle name="Normal 65 8" xfId="7104" xr:uid="{00000000-0005-0000-0000-0000C5410000}"/>
    <cellStyle name="Normal 65 8 2" xfId="19465" xr:uid="{00000000-0005-0000-0000-0000C6410000}"/>
    <cellStyle name="Normal 65 9" xfId="13175" xr:uid="{00000000-0005-0000-0000-0000C7410000}"/>
    <cellStyle name="Normal 66" xfId="7105" xr:uid="{00000000-0005-0000-0000-0000C8410000}"/>
    <cellStyle name="Normal 66 2" xfId="7106" xr:uid="{00000000-0005-0000-0000-0000C9410000}"/>
    <cellStyle name="Normal 66 2 2" xfId="13224" xr:uid="{00000000-0005-0000-0000-0000CA410000}"/>
    <cellStyle name="Normal 66 2 3" xfId="19467" xr:uid="{00000000-0005-0000-0000-0000CB410000}"/>
    <cellStyle name="Normal 66 3" xfId="7107" xr:uid="{00000000-0005-0000-0000-0000CC410000}"/>
    <cellStyle name="Normal 66 3 2" xfId="13225" xr:uid="{00000000-0005-0000-0000-0000CD410000}"/>
    <cellStyle name="Normal 66 3 3" xfId="19468" xr:uid="{00000000-0005-0000-0000-0000CE410000}"/>
    <cellStyle name="Normal 66 4" xfId="7108" xr:uid="{00000000-0005-0000-0000-0000CF410000}"/>
    <cellStyle name="Normal 66 4 2" xfId="19469" xr:uid="{00000000-0005-0000-0000-0000D0410000}"/>
    <cellStyle name="Normal 66 5" xfId="13223" xr:uid="{00000000-0005-0000-0000-0000D1410000}"/>
    <cellStyle name="Normal 66 6" xfId="19466" xr:uid="{00000000-0005-0000-0000-0000D2410000}"/>
    <cellStyle name="Normal 67" xfId="7109" xr:uid="{00000000-0005-0000-0000-0000D3410000}"/>
    <cellStyle name="Normal 67 2" xfId="7110" xr:uid="{00000000-0005-0000-0000-0000D4410000}"/>
    <cellStyle name="Normal 67 2 2" xfId="13227" xr:uid="{00000000-0005-0000-0000-0000D5410000}"/>
    <cellStyle name="Normal 67 2 3" xfId="19471" xr:uid="{00000000-0005-0000-0000-0000D6410000}"/>
    <cellStyle name="Normal 67 3" xfId="7111" xr:uid="{00000000-0005-0000-0000-0000D7410000}"/>
    <cellStyle name="Normal 67 3 2" xfId="13228" xr:uid="{00000000-0005-0000-0000-0000D8410000}"/>
    <cellStyle name="Normal 67 3 3" xfId="19472" xr:uid="{00000000-0005-0000-0000-0000D9410000}"/>
    <cellStyle name="Normal 67 4" xfId="7112" xr:uid="{00000000-0005-0000-0000-0000DA410000}"/>
    <cellStyle name="Normal 67 4 2" xfId="19473" xr:uid="{00000000-0005-0000-0000-0000DB410000}"/>
    <cellStyle name="Normal 67 5" xfId="13226" xr:uid="{00000000-0005-0000-0000-0000DC410000}"/>
    <cellStyle name="Normal 67 6" xfId="19470" xr:uid="{00000000-0005-0000-0000-0000DD410000}"/>
    <cellStyle name="Normal 68" xfId="7113" xr:uid="{00000000-0005-0000-0000-0000DE410000}"/>
    <cellStyle name="Normal 68 2" xfId="7114" xr:uid="{00000000-0005-0000-0000-0000DF410000}"/>
    <cellStyle name="Normal 68 2 2" xfId="13230" xr:uid="{00000000-0005-0000-0000-0000E0410000}"/>
    <cellStyle name="Normal 68 2 3" xfId="19475" xr:uid="{00000000-0005-0000-0000-0000E1410000}"/>
    <cellStyle name="Normal 68 3" xfId="7115" xr:uid="{00000000-0005-0000-0000-0000E2410000}"/>
    <cellStyle name="Normal 68 3 2" xfId="13231" xr:uid="{00000000-0005-0000-0000-0000E3410000}"/>
    <cellStyle name="Normal 68 3 3" xfId="19476" xr:uid="{00000000-0005-0000-0000-0000E4410000}"/>
    <cellStyle name="Normal 68 4" xfId="7116" xr:uid="{00000000-0005-0000-0000-0000E5410000}"/>
    <cellStyle name="Normal 68 4 2" xfId="19477" xr:uid="{00000000-0005-0000-0000-0000E6410000}"/>
    <cellStyle name="Normal 68 5" xfId="13229" xr:uid="{00000000-0005-0000-0000-0000E7410000}"/>
    <cellStyle name="Normal 68 6" xfId="19474" xr:uid="{00000000-0005-0000-0000-0000E8410000}"/>
    <cellStyle name="Normal 69" xfId="7117" xr:uid="{00000000-0005-0000-0000-0000E9410000}"/>
    <cellStyle name="Normal 69 2" xfId="7118" xr:uid="{00000000-0005-0000-0000-0000EA410000}"/>
    <cellStyle name="Normal 69 2 2" xfId="13233" xr:uid="{00000000-0005-0000-0000-0000EB410000}"/>
    <cellStyle name="Normal 69 2 3" xfId="19479" xr:uid="{00000000-0005-0000-0000-0000EC410000}"/>
    <cellStyle name="Normal 69 3" xfId="7119" xr:uid="{00000000-0005-0000-0000-0000ED410000}"/>
    <cellStyle name="Normal 69 3 2" xfId="13234" xr:uid="{00000000-0005-0000-0000-0000EE410000}"/>
    <cellStyle name="Normal 69 3 3" xfId="19480" xr:uid="{00000000-0005-0000-0000-0000EF410000}"/>
    <cellStyle name="Normal 69 4" xfId="7120" xr:uid="{00000000-0005-0000-0000-0000F0410000}"/>
    <cellStyle name="Normal 69 4 2" xfId="19481" xr:uid="{00000000-0005-0000-0000-0000F1410000}"/>
    <cellStyle name="Normal 69 5" xfId="13232" xr:uid="{00000000-0005-0000-0000-0000F2410000}"/>
    <cellStyle name="Normal 69 6" xfId="19478" xr:uid="{00000000-0005-0000-0000-0000F3410000}"/>
    <cellStyle name="Normal 7" xfId="13235" xr:uid="{00000000-0005-0000-0000-0000F4410000}"/>
    <cellStyle name="Normal 7 10" xfId="7121" xr:uid="{00000000-0005-0000-0000-0000F5410000}"/>
    <cellStyle name="Normal 7 10 2" xfId="7122" xr:uid="{00000000-0005-0000-0000-0000F6410000}"/>
    <cellStyle name="Normal 7 10 2 2" xfId="13237" xr:uid="{00000000-0005-0000-0000-0000F7410000}"/>
    <cellStyle name="Normal 7 10 2 3" xfId="19483" xr:uid="{00000000-0005-0000-0000-0000F8410000}"/>
    <cellStyle name="Normal 7 10 3" xfId="13236" xr:uid="{00000000-0005-0000-0000-0000F9410000}"/>
    <cellStyle name="Normal 7 10 4" xfId="19482" xr:uid="{00000000-0005-0000-0000-0000FA410000}"/>
    <cellStyle name="Normal 7 11" xfId="7123" xr:uid="{00000000-0005-0000-0000-0000FB410000}"/>
    <cellStyle name="Normal 7 11 2" xfId="13238" xr:uid="{00000000-0005-0000-0000-0000FC410000}"/>
    <cellStyle name="Normal 7 11 3" xfId="19484" xr:uid="{00000000-0005-0000-0000-0000FD410000}"/>
    <cellStyle name="Normal 7 12" xfId="7124" xr:uid="{00000000-0005-0000-0000-0000FE410000}"/>
    <cellStyle name="Normal 7 12 2" xfId="19485" xr:uid="{00000000-0005-0000-0000-0000FF410000}"/>
    <cellStyle name="Normal 7 2" xfId="7125" xr:uid="{00000000-0005-0000-0000-000000420000}"/>
    <cellStyle name="Normal 7 2 10" xfId="7126" xr:uid="{00000000-0005-0000-0000-000001420000}"/>
    <cellStyle name="Normal 7 2 10 2" xfId="13240" xr:uid="{00000000-0005-0000-0000-000002420000}"/>
    <cellStyle name="Normal 7 2 10 3" xfId="19487" xr:uid="{00000000-0005-0000-0000-000003420000}"/>
    <cellStyle name="Normal 7 2 11" xfId="7127" xr:uid="{00000000-0005-0000-0000-000004420000}"/>
    <cellStyle name="Normal 7 2 11 2" xfId="19488" xr:uid="{00000000-0005-0000-0000-000005420000}"/>
    <cellStyle name="Normal 7 2 12" xfId="13239" xr:uid="{00000000-0005-0000-0000-000006420000}"/>
    <cellStyle name="Normal 7 2 13" xfId="19486" xr:uid="{00000000-0005-0000-0000-000007420000}"/>
    <cellStyle name="Normal 7 2 2" xfId="7128" xr:uid="{00000000-0005-0000-0000-000008420000}"/>
    <cellStyle name="Normal 7 2 2 10" xfId="13241" xr:uid="{00000000-0005-0000-0000-000009420000}"/>
    <cellStyle name="Normal 7 2 2 11" xfId="19489" xr:uid="{00000000-0005-0000-0000-00000A420000}"/>
    <cellStyle name="Normal 7 2 2 2" xfId="7129" xr:uid="{00000000-0005-0000-0000-00000B420000}"/>
    <cellStyle name="Normal 7 2 2 2 2" xfId="7130" xr:uid="{00000000-0005-0000-0000-00000C420000}"/>
    <cellStyle name="Normal 7 2 2 2 2 2" xfId="7131" xr:uid="{00000000-0005-0000-0000-00000D420000}"/>
    <cellStyle name="Normal 7 2 2 2 2 2 2" xfId="7132" xr:uid="{00000000-0005-0000-0000-00000E420000}"/>
    <cellStyle name="Normal 7 2 2 2 2 2 2 2" xfId="7133" xr:uid="{00000000-0005-0000-0000-00000F420000}"/>
    <cellStyle name="Normal 7 2 2 2 2 2 2 2 2" xfId="7134" xr:uid="{00000000-0005-0000-0000-000010420000}"/>
    <cellStyle name="Normal 7 2 2 2 2 2 2 2 2 2" xfId="13247" xr:uid="{00000000-0005-0000-0000-000011420000}"/>
    <cellStyle name="Normal 7 2 2 2 2 2 2 2 2 3" xfId="19495" xr:uid="{00000000-0005-0000-0000-000012420000}"/>
    <cellStyle name="Normal 7 2 2 2 2 2 2 2 3" xfId="13246" xr:uid="{00000000-0005-0000-0000-000013420000}"/>
    <cellStyle name="Normal 7 2 2 2 2 2 2 2 4" xfId="19494" xr:uid="{00000000-0005-0000-0000-000014420000}"/>
    <cellStyle name="Normal 7 2 2 2 2 2 2 3" xfId="7135" xr:uid="{00000000-0005-0000-0000-000015420000}"/>
    <cellStyle name="Normal 7 2 2 2 2 2 2 3 2" xfId="7136" xr:uid="{00000000-0005-0000-0000-000016420000}"/>
    <cellStyle name="Normal 7 2 2 2 2 2 2 3 2 2" xfId="13249" xr:uid="{00000000-0005-0000-0000-000017420000}"/>
    <cellStyle name="Normal 7 2 2 2 2 2 2 3 2 3" xfId="19497" xr:uid="{00000000-0005-0000-0000-000018420000}"/>
    <cellStyle name="Normal 7 2 2 2 2 2 2 3 3" xfId="13248" xr:uid="{00000000-0005-0000-0000-000019420000}"/>
    <cellStyle name="Normal 7 2 2 2 2 2 2 3 4" xfId="19496" xr:uid="{00000000-0005-0000-0000-00001A420000}"/>
    <cellStyle name="Normal 7 2 2 2 2 2 2 4" xfId="7137" xr:uid="{00000000-0005-0000-0000-00001B420000}"/>
    <cellStyle name="Normal 7 2 2 2 2 2 2 4 2" xfId="13250" xr:uid="{00000000-0005-0000-0000-00001C420000}"/>
    <cellStyle name="Normal 7 2 2 2 2 2 2 4 3" xfId="19498" xr:uid="{00000000-0005-0000-0000-00001D420000}"/>
    <cellStyle name="Normal 7 2 2 2 2 2 2 5" xfId="13245" xr:uid="{00000000-0005-0000-0000-00001E420000}"/>
    <cellStyle name="Normal 7 2 2 2 2 2 2 6" xfId="19493" xr:uid="{00000000-0005-0000-0000-00001F420000}"/>
    <cellStyle name="Normal 7 2 2 2 2 2 3" xfId="7138" xr:uid="{00000000-0005-0000-0000-000020420000}"/>
    <cellStyle name="Normal 7 2 2 2 2 2 3 2" xfId="7139" xr:uid="{00000000-0005-0000-0000-000021420000}"/>
    <cellStyle name="Normal 7 2 2 2 2 2 3 2 2" xfId="13252" xr:uid="{00000000-0005-0000-0000-000022420000}"/>
    <cellStyle name="Normal 7 2 2 2 2 2 3 2 3" xfId="19500" xr:uid="{00000000-0005-0000-0000-000023420000}"/>
    <cellStyle name="Normal 7 2 2 2 2 2 3 3" xfId="13251" xr:uid="{00000000-0005-0000-0000-000024420000}"/>
    <cellStyle name="Normal 7 2 2 2 2 2 3 4" xfId="19499" xr:uid="{00000000-0005-0000-0000-000025420000}"/>
    <cellStyle name="Normal 7 2 2 2 2 2 4" xfId="7140" xr:uid="{00000000-0005-0000-0000-000026420000}"/>
    <cellStyle name="Normal 7 2 2 2 2 2 4 2" xfId="7141" xr:uid="{00000000-0005-0000-0000-000027420000}"/>
    <cellStyle name="Normal 7 2 2 2 2 2 4 2 2" xfId="13254" xr:uid="{00000000-0005-0000-0000-000028420000}"/>
    <cellStyle name="Normal 7 2 2 2 2 2 4 2 3" xfId="19502" xr:uid="{00000000-0005-0000-0000-000029420000}"/>
    <cellStyle name="Normal 7 2 2 2 2 2 4 3" xfId="13253" xr:uid="{00000000-0005-0000-0000-00002A420000}"/>
    <cellStyle name="Normal 7 2 2 2 2 2 4 4" xfId="19501" xr:uid="{00000000-0005-0000-0000-00002B420000}"/>
    <cellStyle name="Normal 7 2 2 2 2 2 5" xfId="7142" xr:uid="{00000000-0005-0000-0000-00002C420000}"/>
    <cellStyle name="Normal 7 2 2 2 2 2 5 2" xfId="13255" xr:uid="{00000000-0005-0000-0000-00002D420000}"/>
    <cellStyle name="Normal 7 2 2 2 2 2 5 3" xfId="19503" xr:uid="{00000000-0005-0000-0000-00002E420000}"/>
    <cellStyle name="Normal 7 2 2 2 2 2 6" xfId="13244" xr:uid="{00000000-0005-0000-0000-00002F420000}"/>
    <cellStyle name="Normal 7 2 2 2 2 2 7" xfId="19492" xr:uid="{00000000-0005-0000-0000-000030420000}"/>
    <cellStyle name="Normal 7 2 2 2 2 3" xfId="7143" xr:uid="{00000000-0005-0000-0000-000031420000}"/>
    <cellStyle name="Normal 7 2 2 2 2 3 2" xfId="7144" xr:uid="{00000000-0005-0000-0000-000032420000}"/>
    <cellStyle name="Normal 7 2 2 2 2 3 2 2" xfId="7145" xr:uid="{00000000-0005-0000-0000-000033420000}"/>
    <cellStyle name="Normal 7 2 2 2 2 3 2 2 2" xfId="13258" xr:uid="{00000000-0005-0000-0000-000034420000}"/>
    <cellStyle name="Normal 7 2 2 2 2 3 2 2 3" xfId="19506" xr:uid="{00000000-0005-0000-0000-000035420000}"/>
    <cellStyle name="Normal 7 2 2 2 2 3 2 3" xfId="13257" xr:uid="{00000000-0005-0000-0000-000036420000}"/>
    <cellStyle name="Normal 7 2 2 2 2 3 2 4" xfId="19505" xr:uid="{00000000-0005-0000-0000-000037420000}"/>
    <cellStyle name="Normal 7 2 2 2 2 3 3" xfId="7146" xr:uid="{00000000-0005-0000-0000-000038420000}"/>
    <cellStyle name="Normal 7 2 2 2 2 3 3 2" xfId="7147" xr:uid="{00000000-0005-0000-0000-000039420000}"/>
    <cellStyle name="Normal 7 2 2 2 2 3 3 2 2" xfId="13260" xr:uid="{00000000-0005-0000-0000-00003A420000}"/>
    <cellStyle name="Normal 7 2 2 2 2 3 3 2 3" xfId="19508" xr:uid="{00000000-0005-0000-0000-00003B420000}"/>
    <cellStyle name="Normal 7 2 2 2 2 3 3 3" xfId="13259" xr:uid="{00000000-0005-0000-0000-00003C420000}"/>
    <cellStyle name="Normal 7 2 2 2 2 3 3 4" xfId="19507" xr:uid="{00000000-0005-0000-0000-00003D420000}"/>
    <cellStyle name="Normal 7 2 2 2 2 3 4" xfId="7148" xr:uid="{00000000-0005-0000-0000-00003E420000}"/>
    <cellStyle name="Normal 7 2 2 2 2 3 4 2" xfId="13261" xr:uid="{00000000-0005-0000-0000-00003F420000}"/>
    <cellStyle name="Normal 7 2 2 2 2 3 4 3" xfId="19509" xr:uid="{00000000-0005-0000-0000-000040420000}"/>
    <cellStyle name="Normal 7 2 2 2 2 3 5" xfId="13256" xr:uid="{00000000-0005-0000-0000-000041420000}"/>
    <cellStyle name="Normal 7 2 2 2 2 3 6" xfId="19504" xr:uid="{00000000-0005-0000-0000-000042420000}"/>
    <cellStyle name="Normal 7 2 2 2 2 4" xfId="7149" xr:uid="{00000000-0005-0000-0000-000043420000}"/>
    <cellStyle name="Normal 7 2 2 2 2 4 2" xfId="7150" xr:uid="{00000000-0005-0000-0000-000044420000}"/>
    <cellStyle name="Normal 7 2 2 2 2 4 2 2" xfId="13263" xr:uid="{00000000-0005-0000-0000-000045420000}"/>
    <cellStyle name="Normal 7 2 2 2 2 4 2 3" xfId="19511" xr:uid="{00000000-0005-0000-0000-000046420000}"/>
    <cellStyle name="Normal 7 2 2 2 2 4 3" xfId="13262" xr:uid="{00000000-0005-0000-0000-000047420000}"/>
    <cellStyle name="Normal 7 2 2 2 2 4 4" xfId="19510" xr:uid="{00000000-0005-0000-0000-000048420000}"/>
    <cellStyle name="Normal 7 2 2 2 2 5" xfId="7151" xr:uid="{00000000-0005-0000-0000-000049420000}"/>
    <cellStyle name="Normal 7 2 2 2 2 5 2" xfId="7152" xr:uid="{00000000-0005-0000-0000-00004A420000}"/>
    <cellStyle name="Normal 7 2 2 2 2 5 2 2" xfId="13265" xr:uid="{00000000-0005-0000-0000-00004B420000}"/>
    <cellStyle name="Normal 7 2 2 2 2 5 2 3" xfId="19513" xr:uid="{00000000-0005-0000-0000-00004C420000}"/>
    <cellStyle name="Normal 7 2 2 2 2 5 3" xfId="13264" xr:uid="{00000000-0005-0000-0000-00004D420000}"/>
    <cellStyle name="Normal 7 2 2 2 2 5 4" xfId="19512" xr:uid="{00000000-0005-0000-0000-00004E420000}"/>
    <cellStyle name="Normal 7 2 2 2 2 6" xfId="7153" xr:uid="{00000000-0005-0000-0000-00004F420000}"/>
    <cellStyle name="Normal 7 2 2 2 2 6 2" xfId="13266" xr:uid="{00000000-0005-0000-0000-000050420000}"/>
    <cellStyle name="Normal 7 2 2 2 2 6 3" xfId="19514" xr:uid="{00000000-0005-0000-0000-000051420000}"/>
    <cellStyle name="Normal 7 2 2 2 2 7" xfId="13243" xr:uid="{00000000-0005-0000-0000-000052420000}"/>
    <cellStyle name="Normal 7 2 2 2 2 8" xfId="19491" xr:uid="{00000000-0005-0000-0000-000053420000}"/>
    <cellStyle name="Normal 7 2 2 2 3" xfId="7154" xr:uid="{00000000-0005-0000-0000-000054420000}"/>
    <cellStyle name="Normal 7 2 2 2 3 2" xfId="7155" xr:uid="{00000000-0005-0000-0000-000055420000}"/>
    <cellStyle name="Normal 7 2 2 2 3 2 2" xfId="7156" xr:uid="{00000000-0005-0000-0000-000056420000}"/>
    <cellStyle name="Normal 7 2 2 2 3 2 2 2" xfId="7157" xr:uid="{00000000-0005-0000-0000-000057420000}"/>
    <cellStyle name="Normal 7 2 2 2 3 2 2 2 2" xfId="13270" xr:uid="{00000000-0005-0000-0000-000058420000}"/>
    <cellStyle name="Normal 7 2 2 2 3 2 2 2 3" xfId="19518" xr:uid="{00000000-0005-0000-0000-000059420000}"/>
    <cellStyle name="Normal 7 2 2 2 3 2 2 3" xfId="13269" xr:uid="{00000000-0005-0000-0000-00005A420000}"/>
    <cellStyle name="Normal 7 2 2 2 3 2 2 4" xfId="19517" xr:uid="{00000000-0005-0000-0000-00005B420000}"/>
    <cellStyle name="Normal 7 2 2 2 3 2 3" xfId="7158" xr:uid="{00000000-0005-0000-0000-00005C420000}"/>
    <cellStyle name="Normal 7 2 2 2 3 2 3 2" xfId="7159" xr:uid="{00000000-0005-0000-0000-00005D420000}"/>
    <cellStyle name="Normal 7 2 2 2 3 2 3 2 2" xfId="13272" xr:uid="{00000000-0005-0000-0000-00005E420000}"/>
    <cellStyle name="Normal 7 2 2 2 3 2 3 2 3" xfId="19520" xr:uid="{00000000-0005-0000-0000-00005F420000}"/>
    <cellStyle name="Normal 7 2 2 2 3 2 3 3" xfId="13271" xr:uid="{00000000-0005-0000-0000-000060420000}"/>
    <cellStyle name="Normal 7 2 2 2 3 2 3 4" xfId="19519" xr:uid="{00000000-0005-0000-0000-000061420000}"/>
    <cellStyle name="Normal 7 2 2 2 3 2 4" xfId="7160" xr:uid="{00000000-0005-0000-0000-000062420000}"/>
    <cellStyle name="Normal 7 2 2 2 3 2 4 2" xfId="13273" xr:uid="{00000000-0005-0000-0000-000063420000}"/>
    <cellStyle name="Normal 7 2 2 2 3 2 4 3" xfId="19521" xr:uid="{00000000-0005-0000-0000-000064420000}"/>
    <cellStyle name="Normal 7 2 2 2 3 2 5" xfId="13268" xr:uid="{00000000-0005-0000-0000-000065420000}"/>
    <cellStyle name="Normal 7 2 2 2 3 2 6" xfId="19516" xr:uid="{00000000-0005-0000-0000-000066420000}"/>
    <cellStyle name="Normal 7 2 2 2 3 3" xfId="7161" xr:uid="{00000000-0005-0000-0000-000067420000}"/>
    <cellStyle name="Normal 7 2 2 2 3 3 2" xfId="7162" xr:uid="{00000000-0005-0000-0000-000068420000}"/>
    <cellStyle name="Normal 7 2 2 2 3 3 2 2" xfId="13275" xr:uid="{00000000-0005-0000-0000-000069420000}"/>
    <cellStyle name="Normal 7 2 2 2 3 3 2 3" xfId="19523" xr:uid="{00000000-0005-0000-0000-00006A420000}"/>
    <cellStyle name="Normal 7 2 2 2 3 3 3" xfId="13274" xr:uid="{00000000-0005-0000-0000-00006B420000}"/>
    <cellStyle name="Normal 7 2 2 2 3 3 4" xfId="19522" xr:uid="{00000000-0005-0000-0000-00006C420000}"/>
    <cellStyle name="Normal 7 2 2 2 3 4" xfId="7163" xr:uid="{00000000-0005-0000-0000-00006D420000}"/>
    <cellStyle name="Normal 7 2 2 2 3 4 2" xfId="7164" xr:uid="{00000000-0005-0000-0000-00006E420000}"/>
    <cellStyle name="Normal 7 2 2 2 3 4 2 2" xfId="13277" xr:uid="{00000000-0005-0000-0000-00006F420000}"/>
    <cellStyle name="Normal 7 2 2 2 3 4 2 3" xfId="19525" xr:uid="{00000000-0005-0000-0000-000070420000}"/>
    <cellStyle name="Normal 7 2 2 2 3 4 3" xfId="13276" xr:uid="{00000000-0005-0000-0000-000071420000}"/>
    <cellStyle name="Normal 7 2 2 2 3 4 4" xfId="19524" xr:uid="{00000000-0005-0000-0000-000072420000}"/>
    <cellStyle name="Normal 7 2 2 2 3 5" xfId="7165" xr:uid="{00000000-0005-0000-0000-000073420000}"/>
    <cellStyle name="Normal 7 2 2 2 3 5 2" xfId="13278" xr:uid="{00000000-0005-0000-0000-000074420000}"/>
    <cellStyle name="Normal 7 2 2 2 3 5 3" xfId="19526" xr:uid="{00000000-0005-0000-0000-000075420000}"/>
    <cellStyle name="Normal 7 2 2 2 3 6" xfId="13267" xr:uid="{00000000-0005-0000-0000-000076420000}"/>
    <cellStyle name="Normal 7 2 2 2 3 7" xfId="19515" xr:uid="{00000000-0005-0000-0000-000077420000}"/>
    <cellStyle name="Normal 7 2 2 2 4" xfId="7166" xr:uid="{00000000-0005-0000-0000-000078420000}"/>
    <cellStyle name="Normal 7 2 2 2 4 2" xfId="7167" xr:uid="{00000000-0005-0000-0000-000079420000}"/>
    <cellStyle name="Normal 7 2 2 2 4 2 2" xfId="7168" xr:uid="{00000000-0005-0000-0000-00007A420000}"/>
    <cellStyle name="Normal 7 2 2 2 4 2 2 2" xfId="13281" xr:uid="{00000000-0005-0000-0000-00007B420000}"/>
    <cellStyle name="Normal 7 2 2 2 4 2 2 3" xfId="19529" xr:uid="{00000000-0005-0000-0000-00007C420000}"/>
    <cellStyle name="Normal 7 2 2 2 4 2 3" xfId="13280" xr:uid="{00000000-0005-0000-0000-00007D420000}"/>
    <cellStyle name="Normal 7 2 2 2 4 2 4" xfId="19528" xr:uid="{00000000-0005-0000-0000-00007E420000}"/>
    <cellStyle name="Normal 7 2 2 2 4 3" xfId="7169" xr:uid="{00000000-0005-0000-0000-00007F420000}"/>
    <cellStyle name="Normal 7 2 2 2 4 3 2" xfId="7170" xr:uid="{00000000-0005-0000-0000-000080420000}"/>
    <cellStyle name="Normal 7 2 2 2 4 3 2 2" xfId="13283" xr:uid="{00000000-0005-0000-0000-000081420000}"/>
    <cellStyle name="Normal 7 2 2 2 4 3 2 3" xfId="19531" xr:uid="{00000000-0005-0000-0000-000082420000}"/>
    <cellStyle name="Normal 7 2 2 2 4 3 3" xfId="13282" xr:uid="{00000000-0005-0000-0000-000083420000}"/>
    <cellStyle name="Normal 7 2 2 2 4 3 4" xfId="19530" xr:uid="{00000000-0005-0000-0000-000084420000}"/>
    <cellStyle name="Normal 7 2 2 2 4 4" xfId="7171" xr:uid="{00000000-0005-0000-0000-000085420000}"/>
    <cellStyle name="Normal 7 2 2 2 4 4 2" xfId="13284" xr:uid="{00000000-0005-0000-0000-000086420000}"/>
    <cellStyle name="Normal 7 2 2 2 4 4 3" xfId="19532" xr:uid="{00000000-0005-0000-0000-000087420000}"/>
    <cellStyle name="Normal 7 2 2 2 4 5" xfId="13279" xr:uid="{00000000-0005-0000-0000-000088420000}"/>
    <cellStyle name="Normal 7 2 2 2 4 6" xfId="19527" xr:uid="{00000000-0005-0000-0000-000089420000}"/>
    <cellStyle name="Normal 7 2 2 2 5" xfId="7172" xr:uid="{00000000-0005-0000-0000-00008A420000}"/>
    <cellStyle name="Normal 7 2 2 2 5 2" xfId="7173" xr:uid="{00000000-0005-0000-0000-00008B420000}"/>
    <cellStyle name="Normal 7 2 2 2 5 2 2" xfId="13286" xr:uid="{00000000-0005-0000-0000-00008C420000}"/>
    <cellStyle name="Normal 7 2 2 2 5 2 3" xfId="19534" xr:uid="{00000000-0005-0000-0000-00008D420000}"/>
    <cellStyle name="Normal 7 2 2 2 5 3" xfId="13285" xr:uid="{00000000-0005-0000-0000-00008E420000}"/>
    <cellStyle name="Normal 7 2 2 2 5 4" xfId="19533" xr:uid="{00000000-0005-0000-0000-00008F420000}"/>
    <cellStyle name="Normal 7 2 2 2 6" xfId="7174" xr:uid="{00000000-0005-0000-0000-000090420000}"/>
    <cellStyle name="Normal 7 2 2 2 6 2" xfId="7175" xr:uid="{00000000-0005-0000-0000-000091420000}"/>
    <cellStyle name="Normal 7 2 2 2 6 2 2" xfId="13288" xr:uid="{00000000-0005-0000-0000-000092420000}"/>
    <cellStyle name="Normal 7 2 2 2 6 2 3" xfId="19536" xr:uid="{00000000-0005-0000-0000-000093420000}"/>
    <cellStyle name="Normal 7 2 2 2 6 3" xfId="13287" xr:uid="{00000000-0005-0000-0000-000094420000}"/>
    <cellStyle name="Normal 7 2 2 2 6 4" xfId="19535" xr:uid="{00000000-0005-0000-0000-000095420000}"/>
    <cellStyle name="Normal 7 2 2 2 7" xfId="7176" xr:uid="{00000000-0005-0000-0000-000096420000}"/>
    <cellStyle name="Normal 7 2 2 2 7 2" xfId="13289" xr:uid="{00000000-0005-0000-0000-000097420000}"/>
    <cellStyle name="Normal 7 2 2 2 7 3" xfId="19537" xr:uid="{00000000-0005-0000-0000-000098420000}"/>
    <cellStyle name="Normal 7 2 2 2 8" xfId="13242" xr:uid="{00000000-0005-0000-0000-000099420000}"/>
    <cellStyle name="Normal 7 2 2 2 9" xfId="19490" xr:uid="{00000000-0005-0000-0000-00009A420000}"/>
    <cellStyle name="Normal 7 2 2 3" xfId="7177" xr:uid="{00000000-0005-0000-0000-00009B420000}"/>
    <cellStyle name="Normal 7 2 2 3 2" xfId="7178" xr:uid="{00000000-0005-0000-0000-00009C420000}"/>
    <cellStyle name="Normal 7 2 2 3 2 2" xfId="7179" xr:uid="{00000000-0005-0000-0000-00009D420000}"/>
    <cellStyle name="Normal 7 2 2 3 2 2 2" xfId="7180" xr:uid="{00000000-0005-0000-0000-00009E420000}"/>
    <cellStyle name="Normal 7 2 2 3 2 2 2 2" xfId="7181" xr:uid="{00000000-0005-0000-0000-00009F420000}"/>
    <cellStyle name="Normal 7 2 2 3 2 2 2 2 2" xfId="13294" xr:uid="{00000000-0005-0000-0000-0000A0420000}"/>
    <cellStyle name="Normal 7 2 2 3 2 2 2 2 3" xfId="19542" xr:uid="{00000000-0005-0000-0000-0000A1420000}"/>
    <cellStyle name="Normal 7 2 2 3 2 2 2 3" xfId="13293" xr:uid="{00000000-0005-0000-0000-0000A2420000}"/>
    <cellStyle name="Normal 7 2 2 3 2 2 2 4" xfId="19541" xr:uid="{00000000-0005-0000-0000-0000A3420000}"/>
    <cellStyle name="Normal 7 2 2 3 2 2 3" xfId="7182" xr:uid="{00000000-0005-0000-0000-0000A4420000}"/>
    <cellStyle name="Normal 7 2 2 3 2 2 3 2" xfId="7183" xr:uid="{00000000-0005-0000-0000-0000A5420000}"/>
    <cellStyle name="Normal 7 2 2 3 2 2 3 2 2" xfId="13296" xr:uid="{00000000-0005-0000-0000-0000A6420000}"/>
    <cellStyle name="Normal 7 2 2 3 2 2 3 2 3" xfId="19544" xr:uid="{00000000-0005-0000-0000-0000A7420000}"/>
    <cellStyle name="Normal 7 2 2 3 2 2 3 3" xfId="13295" xr:uid="{00000000-0005-0000-0000-0000A8420000}"/>
    <cellStyle name="Normal 7 2 2 3 2 2 3 4" xfId="19543" xr:uid="{00000000-0005-0000-0000-0000A9420000}"/>
    <cellStyle name="Normal 7 2 2 3 2 2 4" xfId="7184" xr:uid="{00000000-0005-0000-0000-0000AA420000}"/>
    <cellStyle name="Normal 7 2 2 3 2 2 4 2" xfId="13297" xr:uid="{00000000-0005-0000-0000-0000AB420000}"/>
    <cellStyle name="Normal 7 2 2 3 2 2 4 3" xfId="19545" xr:uid="{00000000-0005-0000-0000-0000AC420000}"/>
    <cellStyle name="Normal 7 2 2 3 2 2 5" xfId="13292" xr:uid="{00000000-0005-0000-0000-0000AD420000}"/>
    <cellStyle name="Normal 7 2 2 3 2 2 6" xfId="19540" xr:uid="{00000000-0005-0000-0000-0000AE420000}"/>
    <cellStyle name="Normal 7 2 2 3 2 3" xfId="7185" xr:uid="{00000000-0005-0000-0000-0000AF420000}"/>
    <cellStyle name="Normal 7 2 2 3 2 3 2" xfId="7186" xr:uid="{00000000-0005-0000-0000-0000B0420000}"/>
    <cellStyle name="Normal 7 2 2 3 2 3 2 2" xfId="13299" xr:uid="{00000000-0005-0000-0000-0000B1420000}"/>
    <cellStyle name="Normal 7 2 2 3 2 3 2 3" xfId="19547" xr:uid="{00000000-0005-0000-0000-0000B2420000}"/>
    <cellStyle name="Normal 7 2 2 3 2 3 3" xfId="13298" xr:uid="{00000000-0005-0000-0000-0000B3420000}"/>
    <cellStyle name="Normal 7 2 2 3 2 3 4" xfId="19546" xr:uid="{00000000-0005-0000-0000-0000B4420000}"/>
    <cellStyle name="Normal 7 2 2 3 2 4" xfId="7187" xr:uid="{00000000-0005-0000-0000-0000B5420000}"/>
    <cellStyle name="Normal 7 2 2 3 2 4 2" xfId="7188" xr:uid="{00000000-0005-0000-0000-0000B6420000}"/>
    <cellStyle name="Normal 7 2 2 3 2 4 2 2" xfId="13301" xr:uid="{00000000-0005-0000-0000-0000B7420000}"/>
    <cellStyle name="Normal 7 2 2 3 2 4 2 3" xfId="19549" xr:uid="{00000000-0005-0000-0000-0000B8420000}"/>
    <cellStyle name="Normal 7 2 2 3 2 4 3" xfId="13300" xr:uid="{00000000-0005-0000-0000-0000B9420000}"/>
    <cellStyle name="Normal 7 2 2 3 2 4 4" xfId="19548" xr:uid="{00000000-0005-0000-0000-0000BA420000}"/>
    <cellStyle name="Normal 7 2 2 3 2 5" xfId="7189" xr:uid="{00000000-0005-0000-0000-0000BB420000}"/>
    <cellStyle name="Normal 7 2 2 3 2 5 2" xfId="13302" xr:uid="{00000000-0005-0000-0000-0000BC420000}"/>
    <cellStyle name="Normal 7 2 2 3 2 5 3" xfId="19550" xr:uid="{00000000-0005-0000-0000-0000BD420000}"/>
    <cellStyle name="Normal 7 2 2 3 2 6" xfId="13291" xr:uid="{00000000-0005-0000-0000-0000BE420000}"/>
    <cellStyle name="Normal 7 2 2 3 2 7" xfId="19539" xr:uid="{00000000-0005-0000-0000-0000BF420000}"/>
    <cellStyle name="Normal 7 2 2 3 3" xfId="7190" xr:uid="{00000000-0005-0000-0000-0000C0420000}"/>
    <cellStyle name="Normal 7 2 2 3 3 2" xfId="7191" xr:uid="{00000000-0005-0000-0000-0000C1420000}"/>
    <cellStyle name="Normal 7 2 2 3 3 2 2" xfId="7192" xr:uid="{00000000-0005-0000-0000-0000C2420000}"/>
    <cellStyle name="Normal 7 2 2 3 3 2 2 2" xfId="13305" xr:uid="{00000000-0005-0000-0000-0000C3420000}"/>
    <cellStyle name="Normal 7 2 2 3 3 2 2 3" xfId="19553" xr:uid="{00000000-0005-0000-0000-0000C4420000}"/>
    <cellStyle name="Normal 7 2 2 3 3 2 3" xfId="13304" xr:uid="{00000000-0005-0000-0000-0000C5420000}"/>
    <cellStyle name="Normal 7 2 2 3 3 2 4" xfId="19552" xr:uid="{00000000-0005-0000-0000-0000C6420000}"/>
    <cellStyle name="Normal 7 2 2 3 3 3" xfId="7193" xr:uid="{00000000-0005-0000-0000-0000C7420000}"/>
    <cellStyle name="Normal 7 2 2 3 3 3 2" xfId="7194" xr:uid="{00000000-0005-0000-0000-0000C8420000}"/>
    <cellStyle name="Normal 7 2 2 3 3 3 2 2" xfId="13307" xr:uid="{00000000-0005-0000-0000-0000C9420000}"/>
    <cellStyle name="Normal 7 2 2 3 3 3 2 3" xfId="19555" xr:uid="{00000000-0005-0000-0000-0000CA420000}"/>
    <cellStyle name="Normal 7 2 2 3 3 3 3" xfId="13306" xr:uid="{00000000-0005-0000-0000-0000CB420000}"/>
    <cellStyle name="Normal 7 2 2 3 3 3 4" xfId="19554" xr:uid="{00000000-0005-0000-0000-0000CC420000}"/>
    <cellStyle name="Normal 7 2 2 3 3 4" xfId="7195" xr:uid="{00000000-0005-0000-0000-0000CD420000}"/>
    <cellStyle name="Normal 7 2 2 3 3 4 2" xfId="13308" xr:uid="{00000000-0005-0000-0000-0000CE420000}"/>
    <cellStyle name="Normal 7 2 2 3 3 4 3" xfId="19556" xr:uid="{00000000-0005-0000-0000-0000CF420000}"/>
    <cellStyle name="Normal 7 2 2 3 3 5" xfId="13303" xr:uid="{00000000-0005-0000-0000-0000D0420000}"/>
    <cellStyle name="Normal 7 2 2 3 3 6" xfId="19551" xr:uid="{00000000-0005-0000-0000-0000D1420000}"/>
    <cellStyle name="Normal 7 2 2 3 4" xfId="7196" xr:uid="{00000000-0005-0000-0000-0000D2420000}"/>
    <cellStyle name="Normal 7 2 2 3 4 2" xfId="7197" xr:uid="{00000000-0005-0000-0000-0000D3420000}"/>
    <cellStyle name="Normal 7 2 2 3 4 2 2" xfId="13310" xr:uid="{00000000-0005-0000-0000-0000D4420000}"/>
    <cellStyle name="Normal 7 2 2 3 4 2 3" xfId="19558" xr:uid="{00000000-0005-0000-0000-0000D5420000}"/>
    <cellStyle name="Normal 7 2 2 3 4 3" xfId="13309" xr:uid="{00000000-0005-0000-0000-0000D6420000}"/>
    <cellStyle name="Normal 7 2 2 3 4 4" xfId="19557" xr:uid="{00000000-0005-0000-0000-0000D7420000}"/>
    <cellStyle name="Normal 7 2 2 3 5" xfId="7198" xr:uid="{00000000-0005-0000-0000-0000D8420000}"/>
    <cellStyle name="Normal 7 2 2 3 5 2" xfId="7199" xr:uid="{00000000-0005-0000-0000-0000D9420000}"/>
    <cellStyle name="Normal 7 2 2 3 5 2 2" xfId="13312" xr:uid="{00000000-0005-0000-0000-0000DA420000}"/>
    <cellStyle name="Normal 7 2 2 3 5 2 3" xfId="19560" xr:uid="{00000000-0005-0000-0000-0000DB420000}"/>
    <cellStyle name="Normal 7 2 2 3 5 3" xfId="13311" xr:uid="{00000000-0005-0000-0000-0000DC420000}"/>
    <cellStyle name="Normal 7 2 2 3 5 4" xfId="19559" xr:uid="{00000000-0005-0000-0000-0000DD420000}"/>
    <cellStyle name="Normal 7 2 2 3 6" xfId="7200" xr:uid="{00000000-0005-0000-0000-0000DE420000}"/>
    <cellStyle name="Normal 7 2 2 3 6 2" xfId="13313" xr:uid="{00000000-0005-0000-0000-0000DF420000}"/>
    <cellStyle name="Normal 7 2 2 3 6 3" xfId="19561" xr:uid="{00000000-0005-0000-0000-0000E0420000}"/>
    <cellStyle name="Normal 7 2 2 3 7" xfId="13290" xr:uid="{00000000-0005-0000-0000-0000E1420000}"/>
    <cellStyle name="Normal 7 2 2 3 8" xfId="19538" xr:uid="{00000000-0005-0000-0000-0000E2420000}"/>
    <cellStyle name="Normal 7 2 2 4" xfId="7201" xr:uid="{00000000-0005-0000-0000-0000E3420000}"/>
    <cellStyle name="Normal 7 2 2 4 2" xfId="7202" xr:uid="{00000000-0005-0000-0000-0000E4420000}"/>
    <cellStyle name="Normal 7 2 2 4 2 2" xfId="7203" xr:uid="{00000000-0005-0000-0000-0000E5420000}"/>
    <cellStyle name="Normal 7 2 2 4 2 2 2" xfId="7204" xr:uid="{00000000-0005-0000-0000-0000E6420000}"/>
    <cellStyle name="Normal 7 2 2 4 2 2 2 2" xfId="13317" xr:uid="{00000000-0005-0000-0000-0000E7420000}"/>
    <cellStyle name="Normal 7 2 2 4 2 2 2 3" xfId="19565" xr:uid="{00000000-0005-0000-0000-0000E8420000}"/>
    <cellStyle name="Normal 7 2 2 4 2 2 3" xfId="13316" xr:uid="{00000000-0005-0000-0000-0000E9420000}"/>
    <cellStyle name="Normal 7 2 2 4 2 2 4" xfId="19564" xr:uid="{00000000-0005-0000-0000-0000EA420000}"/>
    <cellStyle name="Normal 7 2 2 4 2 3" xfId="7205" xr:uid="{00000000-0005-0000-0000-0000EB420000}"/>
    <cellStyle name="Normal 7 2 2 4 2 3 2" xfId="7206" xr:uid="{00000000-0005-0000-0000-0000EC420000}"/>
    <cellStyle name="Normal 7 2 2 4 2 3 2 2" xfId="13319" xr:uid="{00000000-0005-0000-0000-0000ED420000}"/>
    <cellStyle name="Normal 7 2 2 4 2 3 2 3" xfId="19567" xr:uid="{00000000-0005-0000-0000-0000EE420000}"/>
    <cellStyle name="Normal 7 2 2 4 2 3 3" xfId="13318" xr:uid="{00000000-0005-0000-0000-0000EF420000}"/>
    <cellStyle name="Normal 7 2 2 4 2 3 4" xfId="19566" xr:uid="{00000000-0005-0000-0000-0000F0420000}"/>
    <cellStyle name="Normal 7 2 2 4 2 4" xfId="7207" xr:uid="{00000000-0005-0000-0000-0000F1420000}"/>
    <cellStyle name="Normal 7 2 2 4 2 4 2" xfId="13320" xr:uid="{00000000-0005-0000-0000-0000F2420000}"/>
    <cellStyle name="Normal 7 2 2 4 2 4 3" xfId="19568" xr:uid="{00000000-0005-0000-0000-0000F3420000}"/>
    <cellStyle name="Normal 7 2 2 4 2 5" xfId="13315" xr:uid="{00000000-0005-0000-0000-0000F4420000}"/>
    <cellStyle name="Normal 7 2 2 4 2 6" xfId="19563" xr:uid="{00000000-0005-0000-0000-0000F5420000}"/>
    <cellStyle name="Normal 7 2 2 4 3" xfId="7208" xr:uid="{00000000-0005-0000-0000-0000F6420000}"/>
    <cellStyle name="Normal 7 2 2 4 3 2" xfId="7209" xr:uid="{00000000-0005-0000-0000-0000F7420000}"/>
    <cellStyle name="Normal 7 2 2 4 3 2 2" xfId="13322" xr:uid="{00000000-0005-0000-0000-0000F8420000}"/>
    <cellStyle name="Normal 7 2 2 4 3 2 3" xfId="19570" xr:uid="{00000000-0005-0000-0000-0000F9420000}"/>
    <cellStyle name="Normal 7 2 2 4 3 3" xfId="13321" xr:uid="{00000000-0005-0000-0000-0000FA420000}"/>
    <cellStyle name="Normal 7 2 2 4 3 4" xfId="19569" xr:uid="{00000000-0005-0000-0000-0000FB420000}"/>
    <cellStyle name="Normal 7 2 2 4 4" xfId="7210" xr:uid="{00000000-0005-0000-0000-0000FC420000}"/>
    <cellStyle name="Normal 7 2 2 4 4 2" xfId="7211" xr:uid="{00000000-0005-0000-0000-0000FD420000}"/>
    <cellStyle name="Normal 7 2 2 4 4 2 2" xfId="13324" xr:uid="{00000000-0005-0000-0000-0000FE420000}"/>
    <cellStyle name="Normal 7 2 2 4 4 2 3" xfId="19572" xr:uid="{00000000-0005-0000-0000-0000FF420000}"/>
    <cellStyle name="Normal 7 2 2 4 4 3" xfId="13323" xr:uid="{00000000-0005-0000-0000-000000430000}"/>
    <cellStyle name="Normal 7 2 2 4 4 4" xfId="19571" xr:uid="{00000000-0005-0000-0000-000001430000}"/>
    <cellStyle name="Normal 7 2 2 4 5" xfId="7212" xr:uid="{00000000-0005-0000-0000-000002430000}"/>
    <cellStyle name="Normal 7 2 2 4 5 2" xfId="13325" xr:uid="{00000000-0005-0000-0000-000003430000}"/>
    <cellStyle name="Normal 7 2 2 4 5 3" xfId="19573" xr:uid="{00000000-0005-0000-0000-000004430000}"/>
    <cellStyle name="Normal 7 2 2 4 6" xfId="13314" xr:uid="{00000000-0005-0000-0000-000005430000}"/>
    <cellStyle name="Normal 7 2 2 4 7" xfId="19562" xr:uid="{00000000-0005-0000-0000-000006430000}"/>
    <cellStyle name="Normal 7 2 2 5" xfId="7213" xr:uid="{00000000-0005-0000-0000-000007430000}"/>
    <cellStyle name="Normal 7 2 2 5 2" xfId="7214" xr:uid="{00000000-0005-0000-0000-000008430000}"/>
    <cellStyle name="Normal 7 2 2 5 2 2" xfId="7215" xr:uid="{00000000-0005-0000-0000-000009430000}"/>
    <cellStyle name="Normal 7 2 2 5 2 2 2" xfId="13328" xr:uid="{00000000-0005-0000-0000-00000A430000}"/>
    <cellStyle name="Normal 7 2 2 5 2 2 3" xfId="19576" xr:uid="{00000000-0005-0000-0000-00000B430000}"/>
    <cellStyle name="Normal 7 2 2 5 2 3" xfId="13327" xr:uid="{00000000-0005-0000-0000-00000C430000}"/>
    <cellStyle name="Normal 7 2 2 5 2 4" xfId="19575" xr:uid="{00000000-0005-0000-0000-00000D430000}"/>
    <cellStyle name="Normal 7 2 2 5 3" xfId="7216" xr:uid="{00000000-0005-0000-0000-00000E430000}"/>
    <cellStyle name="Normal 7 2 2 5 3 2" xfId="7217" xr:uid="{00000000-0005-0000-0000-00000F430000}"/>
    <cellStyle name="Normal 7 2 2 5 3 2 2" xfId="13330" xr:uid="{00000000-0005-0000-0000-000010430000}"/>
    <cellStyle name="Normal 7 2 2 5 3 2 3" xfId="19578" xr:uid="{00000000-0005-0000-0000-000011430000}"/>
    <cellStyle name="Normal 7 2 2 5 3 3" xfId="13329" xr:uid="{00000000-0005-0000-0000-000012430000}"/>
    <cellStyle name="Normal 7 2 2 5 3 4" xfId="19577" xr:uid="{00000000-0005-0000-0000-000013430000}"/>
    <cellStyle name="Normal 7 2 2 5 4" xfId="7218" xr:uid="{00000000-0005-0000-0000-000014430000}"/>
    <cellStyle name="Normal 7 2 2 5 4 2" xfId="13331" xr:uid="{00000000-0005-0000-0000-000015430000}"/>
    <cellStyle name="Normal 7 2 2 5 4 3" xfId="19579" xr:uid="{00000000-0005-0000-0000-000016430000}"/>
    <cellStyle name="Normal 7 2 2 5 5" xfId="13326" xr:uid="{00000000-0005-0000-0000-000017430000}"/>
    <cellStyle name="Normal 7 2 2 5 6" xfId="19574" xr:uid="{00000000-0005-0000-0000-000018430000}"/>
    <cellStyle name="Normal 7 2 2 6" xfId="7219" xr:uid="{00000000-0005-0000-0000-000019430000}"/>
    <cellStyle name="Normal 7 2 2 6 2" xfId="7220" xr:uid="{00000000-0005-0000-0000-00001A430000}"/>
    <cellStyle name="Normal 7 2 2 6 2 2" xfId="13333" xr:uid="{00000000-0005-0000-0000-00001B430000}"/>
    <cellStyle name="Normal 7 2 2 6 2 3" xfId="19581" xr:uid="{00000000-0005-0000-0000-00001C430000}"/>
    <cellStyle name="Normal 7 2 2 6 3" xfId="13332" xr:uid="{00000000-0005-0000-0000-00001D430000}"/>
    <cellStyle name="Normal 7 2 2 6 4" xfId="19580" xr:uid="{00000000-0005-0000-0000-00001E430000}"/>
    <cellStyle name="Normal 7 2 2 7" xfId="7221" xr:uid="{00000000-0005-0000-0000-00001F430000}"/>
    <cellStyle name="Normal 7 2 2 7 2" xfId="7222" xr:uid="{00000000-0005-0000-0000-000020430000}"/>
    <cellStyle name="Normal 7 2 2 7 2 2" xfId="13335" xr:uid="{00000000-0005-0000-0000-000021430000}"/>
    <cellStyle name="Normal 7 2 2 7 2 3" xfId="19583" xr:uid="{00000000-0005-0000-0000-000022430000}"/>
    <cellStyle name="Normal 7 2 2 7 3" xfId="13334" xr:uid="{00000000-0005-0000-0000-000023430000}"/>
    <cellStyle name="Normal 7 2 2 7 4" xfId="19582" xr:uid="{00000000-0005-0000-0000-000024430000}"/>
    <cellStyle name="Normal 7 2 2 8" xfId="7223" xr:uid="{00000000-0005-0000-0000-000025430000}"/>
    <cellStyle name="Normal 7 2 2 8 2" xfId="13336" xr:uid="{00000000-0005-0000-0000-000026430000}"/>
    <cellStyle name="Normal 7 2 2 8 3" xfId="19584" xr:uid="{00000000-0005-0000-0000-000027430000}"/>
    <cellStyle name="Normal 7 2 2 9" xfId="7224" xr:uid="{00000000-0005-0000-0000-000028430000}"/>
    <cellStyle name="Normal 7 2 2 9 2" xfId="19585" xr:uid="{00000000-0005-0000-0000-000029430000}"/>
    <cellStyle name="Normal 7 2 3" xfId="7225" xr:uid="{00000000-0005-0000-0000-00002A430000}"/>
    <cellStyle name="Normal 7 2 3 2" xfId="7226" xr:uid="{00000000-0005-0000-0000-00002B430000}"/>
    <cellStyle name="Normal 7 2 3 2 2" xfId="7227" xr:uid="{00000000-0005-0000-0000-00002C430000}"/>
    <cellStyle name="Normal 7 2 3 2 2 2" xfId="7228" xr:uid="{00000000-0005-0000-0000-00002D430000}"/>
    <cellStyle name="Normal 7 2 3 2 2 2 2" xfId="7229" xr:uid="{00000000-0005-0000-0000-00002E430000}"/>
    <cellStyle name="Normal 7 2 3 2 2 2 2 2" xfId="7230" xr:uid="{00000000-0005-0000-0000-00002F430000}"/>
    <cellStyle name="Normal 7 2 3 2 2 2 2 2 2" xfId="13342" xr:uid="{00000000-0005-0000-0000-000030430000}"/>
    <cellStyle name="Normal 7 2 3 2 2 2 2 2 3" xfId="19591" xr:uid="{00000000-0005-0000-0000-000031430000}"/>
    <cellStyle name="Normal 7 2 3 2 2 2 2 3" xfId="13341" xr:uid="{00000000-0005-0000-0000-000032430000}"/>
    <cellStyle name="Normal 7 2 3 2 2 2 2 4" xfId="19590" xr:uid="{00000000-0005-0000-0000-000033430000}"/>
    <cellStyle name="Normal 7 2 3 2 2 2 3" xfId="7231" xr:uid="{00000000-0005-0000-0000-000034430000}"/>
    <cellStyle name="Normal 7 2 3 2 2 2 3 2" xfId="7232" xr:uid="{00000000-0005-0000-0000-000035430000}"/>
    <cellStyle name="Normal 7 2 3 2 2 2 3 2 2" xfId="13344" xr:uid="{00000000-0005-0000-0000-000036430000}"/>
    <cellStyle name="Normal 7 2 3 2 2 2 3 2 3" xfId="19593" xr:uid="{00000000-0005-0000-0000-000037430000}"/>
    <cellStyle name="Normal 7 2 3 2 2 2 3 3" xfId="13343" xr:uid="{00000000-0005-0000-0000-000038430000}"/>
    <cellStyle name="Normal 7 2 3 2 2 2 3 4" xfId="19592" xr:uid="{00000000-0005-0000-0000-000039430000}"/>
    <cellStyle name="Normal 7 2 3 2 2 2 4" xfId="7233" xr:uid="{00000000-0005-0000-0000-00003A430000}"/>
    <cellStyle name="Normal 7 2 3 2 2 2 4 2" xfId="13345" xr:uid="{00000000-0005-0000-0000-00003B430000}"/>
    <cellStyle name="Normal 7 2 3 2 2 2 4 3" xfId="19594" xr:uid="{00000000-0005-0000-0000-00003C430000}"/>
    <cellStyle name="Normal 7 2 3 2 2 2 5" xfId="13340" xr:uid="{00000000-0005-0000-0000-00003D430000}"/>
    <cellStyle name="Normal 7 2 3 2 2 2 6" xfId="19589" xr:uid="{00000000-0005-0000-0000-00003E430000}"/>
    <cellStyle name="Normal 7 2 3 2 2 3" xfId="7234" xr:uid="{00000000-0005-0000-0000-00003F430000}"/>
    <cellStyle name="Normal 7 2 3 2 2 3 2" xfId="7235" xr:uid="{00000000-0005-0000-0000-000040430000}"/>
    <cellStyle name="Normal 7 2 3 2 2 3 2 2" xfId="13347" xr:uid="{00000000-0005-0000-0000-000041430000}"/>
    <cellStyle name="Normal 7 2 3 2 2 3 2 3" xfId="19596" xr:uid="{00000000-0005-0000-0000-000042430000}"/>
    <cellStyle name="Normal 7 2 3 2 2 3 3" xfId="13346" xr:uid="{00000000-0005-0000-0000-000043430000}"/>
    <cellStyle name="Normal 7 2 3 2 2 3 4" xfId="19595" xr:uid="{00000000-0005-0000-0000-000044430000}"/>
    <cellStyle name="Normal 7 2 3 2 2 4" xfId="7236" xr:uid="{00000000-0005-0000-0000-000045430000}"/>
    <cellStyle name="Normal 7 2 3 2 2 4 2" xfId="7237" xr:uid="{00000000-0005-0000-0000-000046430000}"/>
    <cellStyle name="Normal 7 2 3 2 2 4 2 2" xfId="13349" xr:uid="{00000000-0005-0000-0000-000047430000}"/>
    <cellStyle name="Normal 7 2 3 2 2 4 2 3" xfId="19598" xr:uid="{00000000-0005-0000-0000-000048430000}"/>
    <cellStyle name="Normal 7 2 3 2 2 4 3" xfId="13348" xr:uid="{00000000-0005-0000-0000-000049430000}"/>
    <cellStyle name="Normal 7 2 3 2 2 4 4" xfId="19597" xr:uid="{00000000-0005-0000-0000-00004A430000}"/>
    <cellStyle name="Normal 7 2 3 2 2 5" xfId="7238" xr:uid="{00000000-0005-0000-0000-00004B430000}"/>
    <cellStyle name="Normal 7 2 3 2 2 5 2" xfId="13350" xr:uid="{00000000-0005-0000-0000-00004C430000}"/>
    <cellStyle name="Normal 7 2 3 2 2 5 3" xfId="19599" xr:uid="{00000000-0005-0000-0000-00004D430000}"/>
    <cellStyle name="Normal 7 2 3 2 2 6" xfId="13339" xr:uid="{00000000-0005-0000-0000-00004E430000}"/>
    <cellStyle name="Normal 7 2 3 2 2 7" xfId="19588" xr:uid="{00000000-0005-0000-0000-00004F430000}"/>
    <cellStyle name="Normal 7 2 3 2 3" xfId="7239" xr:uid="{00000000-0005-0000-0000-000050430000}"/>
    <cellStyle name="Normal 7 2 3 2 3 2" xfId="7240" xr:uid="{00000000-0005-0000-0000-000051430000}"/>
    <cellStyle name="Normal 7 2 3 2 3 2 2" xfId="7241" xr:uid="{00000000-0005-0000-0000-000052430000}"/>
    <cellStyle name="Normal 7 2 3 2 3 2 2 2" xfId="13353" xr:uid="{00000000-0005-0000-0000-000053430000}"/>
    <cellStyle name="Normal 7 2 3 2 3 2 2 3" xfId="19602" xr:uid="{00000000-0005-0000-0000-000054430000}"/>
    <cellStyle name="Normal 7 2 3 2 3 2 3" xfId="13352" xr:uid="{00000000-0005-0000-0000-000055430000}"/>
    <cellStyle name="Normal 7 2 3 2 3 2 4" xfId="19601" xr:uid="{00000000-0005-0000-0000-000056430000}"/>
    <cellStyle name="Normal 7 2 3 2 3 3" xfId="7242" xr:uid="{00000000-0005-0000-0000-000057430000}"/>
    <cellStyle name="Normal 7 2 3 2 3 3 2" xfId="7243" xr:uid="{00000000-0005-0000-0000-000058430000}"/>
    <cellStyle name="Normal 7 2 3 2 3 3 2 2" xfId="13355" xr:uid="{00000000-0005-0000-0000-000059430000}"/>
    <cellStyle name="Normal 7 2 3 2 3 3 2 3" xfId="19604" xr:uid="{00000000-0005-0000-0000-00005A430000}"/>
    <cellStyle name="Normal 7 2 3 2 3 3 3" xfId="13354" xr:uid="{00000000-0005-0000-0000-00005B430000}"/>
    <cellStyle name="Normal 7 2 3 2 3 3 4" xfId="19603" xr:uid="{00000000-0005-0000-0000-00005C430000}"/>
    <cellStyle name="Normal 7 2 3 2 3 4" xfId="7244" xr:uid="{00000000-0005-0000-0000-00005D430000}"/>
    <cellStyle name="Normal 7 2 3 2 3 4 2" xfId="13356" xr:uid="{00000000-0005-0000-0000-00005E430000}"/>
    <cellStyle name="Normal 7 2 3 2 3 4 3" xfId="19605" xr:uid="{00000000-0005-0000-0000-00005F430000}"/>
    <cellStyle name="Normal 7 2 3 2 3 5" xfId="13351" xr:uid="{00000000-0005-0000-0000-000060430000}"/>
    <cellStyle name="Normal 7 2 3 2 3 6" xfId="19600" xr:uid="{00000000-0005-0000-0000-000061430000}"/>
    <cellStyle name="Normal 7 2 3 2 4" xfId="7245" xr:uid="{00000000-0005-0000-0000-000062430000}"/>
    <cellStyle name="Normal 7 2 3 2 4 2" xfId="7246" xr:uid="{00000000-0005-0000-0000-000063430000}"/>
    <cellStyle name="Normal 7 2 3 2 4 2 2" xfId="13358" xr:uid="{00000000-0005-0000-0000-000064430000}"/>
    <cellStyle name="Normal 7 2 3 2 4 2 3" xfId="19607" xr:uid="{00000000-0005-0000-0000-000065430000}"/>
    <cellStyle name="Normal 7 2 3 2 4 3" xfId="13357" xr:uid="{00000000-0005-0000-0000-000066430000}"/>
    <cellStyle name="Normal 7 2 3 2 4 4" xfId="19606" xr:uid="{00000000-0005-0000-0000-000067430000}"/>
    <cellStyle name="Normal 7 2 3 2 5" xfId="7247" xr:uid="{00000000-0005-0000-0000-000068430000}"/>
    <cellStyle name="Normal 7 2 3 2 5 2" xfId="7248" xr:uid="{00000000-0005-0000-0000-000069430000}"/>
    <cellStyle name="Normal 7 2 3 2 5 2 2" xfId="13360" xr:uid="{00000000-0005-0000-0000-00006A430000}"/>
    <cellStyle name="Normal 7 2 3 2 5 2 3" xfId="19609" xr:uid="{00000000-0005-0000-0000-00006B430000}"/>
    <cellStyle name="Normal 7 2 3 2 5 3" xfId="13359" xr:uid="{00000000-0005-0000-0000-00006C430000}"/>
    <cellStyle name="Normal 7 2 3 2 5 4" xfId="19608" xr:uid="{00000000-0005-0000-0000-00006D430000}"/>
    <cellStyle name="Normal 7 2 3 2 6" xfId="7249" xr:uid="{00000000-0005-0000-0000-00006E430000}"/>
    <cellStyle name="Normal 7 2 3 2 6 2" xfId="13361" xr:uid="{00000000-0005-0000-0000-00006F430000}"/>
    <cellStyle name="Normal 7 2 3 2 6 3" xfId="19610" xr:uid="{00000000-0005-0000-0000-000070430000}"/>
    <cellStyle name="Normal 7 2 3 2 7" xfId="13338" xr:uid="{00000000-0005-0000-0000-000071430000}"/>
    <cellStyle name="Normal 7 2 3 2 8" xfId="19587" xr:uid="{00000000-0005-0000-0000-000072430000}"/>
    <cellStyle name="Normal 7 2 3 3" xfId="7250" xr:uid="{00000000-0005-0000-0000-000073430000}"/>
    <cellStyle name="Normal 7 2 3 3 2" xfId="7251" xr:uid="{00000000-0005-0000-0000-000074430000}"/>
    <cellStyle name="Normal 7 2 3 3 2 2" xfId="7252" xr:uid="{00000000-0005-0000-0000-000075430000}"/>
    <cellStyle name="Normal 7 2 3 3 2 2 2" xfId="7253" xr:uid="{00000000-0005-0000-0000-000076430000}"/>
    <cellStyle name="Normal 7 2 3 3 2 2 2 2" xfId="13365" xr:uid="{00000000-0005-0000-0000-000077430000}"/>
    <cellStyle name="Normal 7 2 3 3 2 2 2 3" xfId="19614" xr:uid="{00000000-0005-0000-0000-000078430000}"/>
    <cellStyle name="Normal 7 2 3 3 2 2 3" xfId="13364" xr:uid="{00000000-0005-0000-0000-000079430000}"/>
    <cellStyle name="Normal 7 2 3 3 2 2 4" xfId="19613" xr:uid="{00000000-0005-0000-0000-00007A430000}"/>
    <cellStyle name="Normal 7 2 3 3 2 3" xfId="7254" xr:uid="{00000000-0005-0000-0000-00007B430000}"/>
    <cellStyle name="Normal 7 2 3 3 2 3 2" xfId="7255" xr:uid="{00000000-0005-0000-0000-00007C430000}"/>
    <cellStyle name="Normal 7 2 3 3 2 3 2 2" xfId="13367" xr:uid="{00000000-0005-0000-0000-00007D430000}"/>
    <cellStyle name="Normal 7 2 3 3 2 3 2 3" xfId="19616" xr:uid="{00000000-0005-0000-0000-00007E430000}"/>
    <cellStyle name="Normal 7 2 3 3 2 3 3" xfId="13366" xr:uid="{00000000-0005-0000-0000-00007F430000}"/>
    <cellStyle name="Normal 7 2 3 3 2 3 4" xfId="19615" xr:uid="{00000000-0005-0000-0000-000080430000}"/>
    <cellStyle name="Normal 7 2 3 3 2 4" xfId="7256" xr:uid="{00000000-0005-0000-0000-000081430000}"/>
    <cellStyle name="Normal 7 2 3 3 2 4 2" xfId="13368" xr:uid="{00000000-0005-0000-0000-000082430000}"/>
    <cellStyle name="Normal 7 2 3 3 2 4 3" xfId="19617" xr:uid="{00000000-0005-0000-0000-000083430000}"/>
    <cellStyle name="Normal 7 2 3 3 2 5" xfId="13363" xr:uid="{00000000-0005-0000-0000-000084430000}"/>
    <cellStyle name="Normal 7 2 3 3 2 6" xfId="19612" xr:uid="{00000000-0005-0000-0000-000085430000}"/>
    <cellStyle name="Normal 7 2 3 3 3" xfId="7257" xr:uid="{00000000-0005-0000-0000-000086430000}"/>
    <cellStyle name="Normal 7 2 3 3 3 2" xfId="7258" xr:uid="{00000000-0005-0000-0000-000087430000}"/>
    <cellStyle name="Normal 7 2 3 3 3 2 2" xfId="13370" xr:uid="{00000000-0005-0000-0000-000088430000}"/>
    <cellStyle name="Normal 7 2 3 3 3 2 3" xfId="19619" xr:uid="{00000000-0005-0000-0000-000089430000}"/>
    <cellStyle name="Normal 7 2 3 3 3 3" xfId="13369" xr:uid="{00000000-0005-0000-0000-00008A430000}"/>
    <cellStyle name="Normal 7 2 3 3 3 4" xfId="19618" xr:uid="{00000000-0005-0000-0000-00008B430000}"/>
    <cellStyle name="Normal 7 2 3 3 4" xfId="7259" xr:uid="{00000000-0005-0000-0000-00008C430000}"/>
    <cellStyle name="Normal 7 2 3 3 4 2" xfId="7260" xr:uid="{00000000-0005-0000-0000-00008D430000}"/>
    <cellStyle name="Normal 7 2 3 3 4 2 2" xfId="13372" xr:uid="{00000000-0005-0000-0000-00008E430000}"/>
    <cellStyle name="Normal 7 2 3 3 4 2 3" xfId="19621" xr:uid="{00000000-0005-0000-0000-00008F430000}"/>
    <cellStyle name="Normal 7 2 3 3 4 3" xfId="13371" xr:uid="{00000000-0005-0000-0000-000090430000}"/>
    <cellStyle name="Normal 7 2 3 3 4 4" xfId="19620" xr:uid="{00000000-0005-0000-0000-000091430000}"/>
    <cellStyle name="Normal 7 2 3 3 5" xfId="7261" xr:uid="{00000000-0005-0000-0000-000092430000}"/>
    <cellStyle name="Normal 7 2 3 3 5 2" xfId="13373" xr:uid="{00000000-0005-0000-0000-000093430000}"/>
    <cellStyle name="Normal 7 2 3 3 5 3" xfId="19622" xr:uid="{00000000-0005-0000-0000-000094430000}"/>
    <cellStyle name="Normal 7 2 3 3 6" xfId="13362" xr:uid="{00000000-0005-0000-0000-000095430000}"/>
    <cellStyle name="Normal 7 2 3 3 7" xfId="19611" xr:uid="{00000000-0005-0000-0000-000096430000}"/>
    <cellStyle name="Normal 7 2 3 4" xfId="7262" xr:uid="{00000000-0005-0000-0000-000097430000}"/>
    <cellStyle name="Normal 7 2 3 4 2" xfId="7263" xr:uid="{00000000-0005-0000-0000-000098430000}"/>
    <cellStyle name="Normal 7 2 3 4 2 2" xfId="7264" xr:uid="{00000000-0005-0000-0000-000099430000}"/>
    <cellStyle name="Normal 7 2 3 4 2 2 2" xfId="13376" xr:uid="{00000000-0005-0000-0000-00009A430000}"/>
    <cellStyle name="Normal 7 2 3 4 2 2 3" xfId="19625" xr:uid="{00000000-0005-0000-0000-00009B430000}"/>
    <cellStyle name="Normal 7 2 3 4 2 3" xfId="13375" xr:uid="{00000000-0005-0000-0000-00009C430000}"/>
    <cellStyle name="Normal 7 2 3 4 2 4" xfId="19624" xr:uid="{00000000-0005-0000-0000-00009D430000}"/>
    <cellStyle name="Normal 7 2 3 4 3" xfId="7265" xr:uid="{00000000-0005-0000-0000-00009E430000}"/>
    <cellStyle name="Normal 7 2 3 4 3 2" xfId="7266" xr:uid="{00000000-0005-0000-0000-00009F430000}"/>
    <cellStyle name="Normal 7 2 3 4 3 2 2" xfId="13378" xr:uid="{00000000-0005-0000-0000-0000A0430000}"/>
    <cellStyle name="Normal 7 2 3 4 3 2 3" xfId="19627" xr:uid="{00000000-0005-0000-0000-0000A1430000}"/>
    <cellStyle name="Normal 7 2 3 4 3 3" xfId="13377" xr:uid="{00000000-0005-0000-0000-0000A2430000}"/>
    <cellStyle name="Normal 7 2 3 4 3 4" xfId="19626" xr:uid="{00000000-0005-0000-0000-0000A3430000}"/>
    <cellStyle name="Normal 7 2 3 4 4" xfId="7267" xr:uid="{00000000-0005-0000-0000-0000A4430000}"/>
    <cellStyle name="Normal 7 2 3 4 4 2" xfId="13379" xr:uid="{00000000-0005-0000-0000-0000A5430000}"/>
    <cellStyle name="Normal 7 2 3 4 4 3" xfId="19628" xr:uid="{00000000-0005-0000-0000-0000A6430000}"/>
    <cellStyle name="Normal 7 2 3 4 5" xfId="13374" xr:uid="{00000000-0005-0000-0000-0000A7430000}"/>
    <cellStyle name="Normal 7 2 3 4 6" xfId="19623" xr:uid="{00000000-0005-0000-0000-0000A8430000}"/>
    <cellStyle name="Normal 7 2 3 5" xfId="7268" xr:uid="{00000000-0005-0000-0000-0000A9430000}"/>
    <cellStyle name="Normal 7 2 3 5 2" xfId="7269" xr:uid="{00000000-0005-0000-0000-0000AA430000}"/>
    <cellStyle name="Normal 7 2 3 5 2 2" xfId="13381" xr:uid="{00000000-0005-0000-0000-0000AB430000}"/>
    <cellStyle name="Normal 7 2 3 5 2 3" xfId="19630" xr:uid="{00000000-0005-0000-0000-0000AC430000}"/>
    <cellStyle name="Normal 7 2 3 5 3" xfId="13380" xr:uid="{00000000-0005-0000-0000-0000AD430000}"/>
    <cellStyle name="Normal 7 2 3 5 4" xfId="19629" xr:uid="{00000000-0005-0000-0000-0000AE430000}"/>
    <cellStyle name="Normal 7 2 3 6" xfId="7270" xr:uid="{00000000-0005-0000-0000-0000AF430000}"/>
    <cellStyle name="Normal 7 2 3 6 2" xfId="7271" xr:uid="{00000000-0005-0000-0000-0000B0430000}"/>
    <cellStyle name="Normal 7 2 3 6 2 2" xfId="13383" xr:uid="{00000000-0005-0000-0000-0000B1430000}"/>
    <cellStyle name="Normal 7 2 3 6 2 3" xfId="19632" xr:uid="{00000000-0005-0000-0000-0000B2430000}"/>
    <cellStyle name="Normal 7 2 3 6 3" xfId="13382" xr:uid="{00000000-0005-0000-0000-0000B3430000}"/>
    <cellStyle name="Normal 7 2 3 6 4" xfId="19631" xr:uid="{00000000-0005-0000-0000-0000B4430000}"/>
    <cellStyle name="Normal 7 2 3 7" xfId="7272" xr:uid="{00000000-0005-0000-0000-0000B5430000}"/>
    <cellStyle name="Normal 7 2 3 7 2" xfId="13384" xr:uid="{00000000-0005-0000-0000-0000B6430000}"/>
    <cellStyle name="Normal 7 2 3 7 3" xfId="19633" xr:uid="{00000000-0005-0000-0000-0000B7430000}"/>
    <cellStyle name="Normal 7 2 3 8" xfId="13337" xr:uid="{00000000-0005-0000-0000-0000B8430000}"/>
    <cellStyle name="Normal 7 2 3 9" xfId="19586" xr:uid="{00000000-0005-0000-0000-0000B9430000}"/>
    <cellStyle name="Normal 7 2 4" xfId="7273" xr:uid="{00000000-0005-0000-0000-0000BA430000}"/>
    <cellStyle name="Normal 7 2 4 2" xfId="7274" xr:uid="{00000000-0005-0000-0000-0000BB430000}"/>
    <cellStyle name="Normal 7 2 4 2 2" xfId="7275" xr:uid="{00000000-0005-0000-0000-0000BC430000}"/>
    <cellStyle name="Normal 7 2 4 2 2 2" xfId="7276" xr:uid="{00000000-0005-0000-0000-0000BD430000}"/>
    <cellStyle name="Normal 7 2 4 2 2 2 2" xfId="7277" xr:uid="{00000000-0005-0000-0000-0000BE430000}"/>
    <cellStyle name="Normal 7 2 4 2 2 2 2 2" xfId="7278" xr:uid="{00000000-0005-0000-0000-0000BF430000}"/>
    <cellStyle name="Normal 7 2 4 2 2 2 2 2 2" xfId="13390" xr:uid="{00000000-0005-0000-0000-0000C0430000}"/>
    <cellStyle name="Normal 7 2 4 2 2 2 2 2 3" xfId="19639" xr:uid="{00000000-0005-0000-0000-0000C1430000}"/>
    <cellStyle name="Normal 7 2 4 2 2 2 2 3" xfId="13389" xr:uid="{00000000-0005-0000-0000-0000C2430000}"/>
    <cellStyle name="Normal 7 2 4 2 2 2 2 4" xfId="19638" xr:uid="{00000000-0005-0000-0000-0000C3430000}"/>
    <cellStyle name="Normal 7 2 4 2 2 2 3" xfId="7279" xr:uid="{00000000-0005-0000-0000-0000C4430000}"/>
    <cellStyle name="Normal 7 2 4 2 2 2 3 2" xfId="7280" xr:uid="{00000000-0005-0000-0000-0000C5430000}"/>
    <cellStyle name="Normal 7 2 4 2 2 2 3 2 2" xfId="13392" xr:uid="{00000000-0005-0000-0000-0000C6430000}"/>
    <cellStyle name="Normal 7 2 4 2 2 2 3 2 3" xfId="19641" xr:uid="{00000000-0005-0000-0000-0000C7430000}"/>
    <cellStyle name="Normal 7 2 4 2 2 2 3 3" xfId="13391" xr:uid="{00000000-0005-0000-0000-0000C8430000}"/>
    <cellStyle name="Normal 7 2 4 2 2 2 3 4" xfId="19640" xr:uid="{00000000-0005-0000-0000-0000C9430000}"/>
    <cellStyle name="Normal 7 2 4 2 2 2 4" xfId="7281" xr:uid="{00000000-0005-0000-0000-0000CA430000}"/>
    <cellStyle name="Normal 7 2 4 2 2 2 4 2" xfId="13393" xr:uid="{00000000-0005-0000-0000-0000CB430000}"/>
    <cellStyle name="Normal 7 2 4 2 2 2 4 3" xfId="19642" xr:uid="{00000000-0005-0000-0000-0000CC430000}"/>
    <cellStyle name="Normal 7 2 4 2 2 2 5" xfId="13388" xr:uid="{00000000-0005-0000-0000-0000CD430000}"/>
    <cellStyle name="Normal 7 2 4 2 2 2 6" xfId="19637" xr:uid="{00000000-0005-0000-0000-0000CE430000}"/>
    <cellStyle name="Normal 7 2 4 2 2 3" xfId="7282" xr:uid="{00000000-0005-0000-0000-0000CF430000}"/>
    <cellStyle name="Normal 7 2 4 2 2 3 2" xfId="7283" xr:uid="{00000000-0005-0000-0000-0000D0430000}"/>
    <cellStyle name="Normal 7 2 4 2 2 3 2 2" xfId="13395" xr:uid="{00000000-0005-0000-0000-0000D1430000}"/>
    <cellStyle name="Normal 7 2 4 2 2 3 2 3" xfId="19644" xr:uid="{00000000-0005-0000-0000-0000D2430000}"/>
    <cellStyle name="Normal 7 2 4 2 2 3 3" xfId="13394" xr:uid="{00000000-0005-0000-0000-0000D3430000}"/>
    <cellStyle name="Normal 7 2 4 2 2 3 4" xfId="19643" xr:uid="{00000000-0005-0000-0000-0000D4430000}"/>
    <cellStyle name="Normal 7 2 4 2 2 4" xfId="7284" xr:uid="{00000000-0005-0000-0000-0000D5430000}"/>
    <cellStyle name="Normal 7 2 4 2 2 4 2" xfId="7285" xr:uid="{00000000-0005-0000-0000-0000D6430000}"/>
    <cellStyle name="Normal 7 2 4 2 2 4 2 2" xfId="13397" xr:uid="{00000000-0005-0000-0000-0000D7430000}"/>
    <cellStyle name="Normal 7 2 4 2 2 4 2 3" xfId="19646" xr:uid="{00000000-0005-0000-0000-0000D8430000}"/>
    <cellStyle name="Normal 7 2 4 2 2 4 3" xfId="13396" xr:uid="{00000000-0005-0000-0000-0000D9430000}"/>
    <cellStyle name="Normal 7 2 4 2 2 4 4" xfId="19645" xr:uid="{00000000-0005-0000-0000-0000DA430000}"/>
    <cellStyle name="Normal 7 2 4 2 2 5" xfId="7286" xr:uid="{00000000-0005-0000-0000-0000DB430000}"/>
    <cellStyle name="Normal 7 2 4 2 2 5 2" xfId="13398" xr:uid="{00000000-0005-0000-0000-0000DC430000}"/>
    <cellStyle name="Normal 7 2 4 2 2 5 3" xfId="19647" xr:uid="{00000000-0005-0000-0000-0000DD430000}"/>
    <cellStyle name="Normal 7 2 4 2 2 6" xfId="13387" xr:uid="{00000000-0005-0000-0000-0000DE430000}"/>
    <cellStyle name="Normal 7 2 4 2 2 7" xfId="19636" xr:uid="{00000000-0005-0000-0000-0000DF430000}"/>
    <cellStyle name="Normal 7 2 4 2 3" xfId="7287" xr:uid="{00000000-0005-0000-0000-0000E0430000}"/>
    <cellStyle name="Normal 7 2 4 2 3 2" xfId="7288" xr:uid="{00000000-0005-0000-0000-0000E1430000}"/>
    <cellStyle name="Normal 7 2 4 2 3 2 2" xfId="7289" xr:uid="{00000000-0005-0000-0000-0000E2430000}"/>
    <cellStyle name="Normal 7 2 4 2 3 2 2 2" xfId="13401" xr:uid="{00000000-0005-0000-0000-0000E3430000}"/>
    <cellStyle name="Normal 7 2 4 2 3 2 2 3" xfId="19650" xr:uid="{00000000-0005-0000-0000-0000E4430000}"/>
    <cellStyle name="Normal 7 2 4 2 3 2 3" xfId="13400" xr:uid="{00000000-0005-0000-0000-0000E5430000}"/>
    <cellStyle name="Normal 7 2 4 2 3 2 4" xfId="19649" xr:uid="{00000000-0005-0000-0000-0000E6430000}"/>
    <cellStyle name="Normal 7 2 4 2 3 3" xfId="7290" xr:uid="{00000000-0005-0000-0000-0000E7430000}"/>
    <cellStyle name="Normal 7 2 4 2 3 3 2" xfId="7291" xr:uid="{00000000-0005-0000-0000-0000E8430000}"/>
    <cellStyle name="Normal 7 2 4 2 3 3 2 2" xfId="13403" xr:uid="{00000000-0005-0000-0000-0000E9430000}"/>
    <cellStyle name="Normal 7 2 4 2 3 3 2 3" xfId="19652" xr:uid="{00000000-0005-0000-0000-0000EA430000}"/>
    <cellStyle name="Normal 7 2 4 2 3 3 3" xfId="13402" xr:uid="{00000000-0005-0000-0000-0000EB430000}"/>
    <cellStyle name="Normal 7 2 4 2 3 3 4" xfId="19651" xr:uid="{00000000-0005-0000-0000-0000EC430000}"/>
    <cellStyle name="Normal 7 2 4 2 3 4" xfId="7292" xr:uid="{00000000-0005-0000-0000-0000ED430000}"/>
    <cellStyle name="Normal 7 2 4 2 3 4 2" xfId="13404" xr:uid="{00000000-0005-0000-0000-0000EE430000}"/>
    <cellStyle name="Normal 7 2 4 2 3 4 3" xfId="19653" xr:uid="{00000000-0005-0000-0000-0000EF430000}"/>
    <cellStyle name="Normal 7 2 4 2 3 5" xfId="13399" xr:uid="{00000000-0005-0000-0000-0000F0430000}"/>
    <cellStyle name="Normal 7 2 4 2 3 6" xfId="19648" xr:uid="{00000000-0005-0000-0000-0000F1430000}"/>
    <cellStyle name="Normal 7 2 4 2 4" xfId="7293" xr:uid="{00000000-0005-0000-0000-0000F2430000}"/>
    <cellStyle name="Normal 7 2 4 2 4 2" xfId="7294" xr:uid="{00000000-0005-0000-0000-0000F3430000}"/>
    <cellStyle name="Normal 7 2 4 2 4 2 2" xfId="13406" xr:uid="{00000000-0005-0000-0000-0000F4430000}"/>
    <cellStyle name="Normal 7 2 4 2 4 2 3" xfId="19655" xr:uid="{00000000-0005-0000-0000-0000F5430000}"/>
    <cellStyle name="Normal 7 2 4 2 4 3" xfId="13405" xr:uid="{00000000-0005-0000-0000-0000F6430000}"/>
    <cellStyle name="Normal 7 2 4 2 4 4" xfId="19654" xr:uid="{00000000-0005-0000-0000-0000F7430000}"/>
    <cellStyle name="Normal 7 2 4 2 5" xfId="7295" xr:uid="{00000000-0005-0000-0000-0000F8430000}"/>
    <cellStyle name="Normal 7 2 4 2 5 2" xfId="7296" xr:uid="{00000000-0005-0000-0000-0000F9430000}"/>
    <cellStyle name="Normal 7 2 4 2 5 2 2" xfId="13408" xr:uid="{00000000-0005-0000-0000-0000FA430000}"/>
    <cellStyle name="Normal 7 2 4 2 5 2 3" xfId="19657" xr:uid="{00000000-0005-0000-0000-0000FB430000}"/>
    <cellStyle name="Normal 7 2 4 2 5 3" xfId="13407" xr:uid="{00000000-0005-0000-0000-0000FC430000}"/>
    <cellStyle name="Normal 7 2 4 2 5 4" xfId="19656" xr:uid="{00000000-0005-0000-0000-0000FD430000}"/>
    <cellStyle name="Normal 7 2 4 2 6" xfId="7297" xr:uid="{00000000-0005-0000-0000-0000FE430000}"/>
    <cellStyle name="Normal 7 2 4 2 6 2" xfId="13409" xr:uid="{00000000-0005-0000-0000-0000FF430000}"/>
    <cellStyle name="Normal 7 2 4 2 6 3" xfId="19658" xr:uid="{00000000-0005-0000-0000-000000440000}"/>
    <cellStyle name="Normal 7 2 4 2 7" xfId="13386" xr:uid="{00000000-0005-0000-0000-000001440000}"/>
    <cellStyle name="Normal 7 2 4 2 8" xfId="19635" xr:uid="{00000000-0005-0000-0000-000002440000}"/>
    <cellStyle name="Normal 7 2 4 3" xfId="7298" xr:uid="{00000000-0005-0000-0000-000003440000}"/>
    <cellStyle name="Normal 7 2 4 3 2" xfId="7299" xr:uid="{00000000-0005-0000-0000-000004440000}"/>
    <cellStyle name="Normal 7 2 4 3 2 2" xfId="7300" xr:uid="{00000000-0005-0000-0000-000005440000}"/>
    <cellStyle name="Normal 7 2 4 3 2 2 2" xfId="7301" xr:uid="{00000000-0005-0000-0000-000006440000}"/>
    <cellStyle name="Normal 7 2 4 3 2 2 2 2" xfId="13413" xr:uid="{00000000-0005-0000-0000-000007440000}"/>
    <cellStyle name="Normal 7 2 4 3 2 2 2 3" xfId="19662" xr:uid="{00000000-0005-0000-0000-000008440000}"/>
    <cellStyle name="Normal 7 2 4 3 2 2 3" xfId="13412" xr:uid="{00000000-0005-0000-0000-000009440000}"/>
    <cellStyle name="Normal 7 2 4 3 2 2 4" xfId="19661" xr:uid="{00000000-0005-0000-0000-00000A440000}"/>
    <cellStyle name="Normal 7 2 4 3 2 3" xfId="7302" xr:uid="{00000000-0005-0000-0000-00000B440000}"/>
    <cellStyle name="Normal 7 2 4 3 2 3 2" xfId="7303" xr:uid="{00000000-0005-0000-0000-00000C440000}"/>
    <cellStyle name="Normal 7 2 4 3 2 3 2 2" xfId="13415" xr:uid="{00000000-0005-0000-0000-00000D440000}"/>
    <cellStyle name="Normal 7 2 4 3 2 3 2 3" xfId="19664" xr:uid="{00000000-0005-0000-0000-00000E440000}"/>
    <cellStyle name="Normal 7 2 4 3 2 3 3" xfId="13414" xr:uid="{00000000-0005-0000-0000-00000F440000}"/>
    <cellStyle name="Normal 7 2 4 3 2 3 4" xfId="19663" xr:uid="{00000000-0005-0000-0000-000010440000}"/>
    <cellStyle name="Normal 7 2 4 3 2 4" xfId="7304" xr:uid="{00000000-0005-0000-0000-000011440000}"/>
    <cellStyle name="Normal 7 2 4 3 2 4 2" xfId="13416" xr:uid="{00000000-0005-0000-0000-000012440000}"/>
    <cellStyle name="Normal 7 2 4 3 2 4 3" xfId="19665" xr:uid="{00000000-0005-0000-0000-000013440000}"/>
    <cellStyle name="Normal 7 2 4 3 2 5" xfId="13411" xr:uid="{00000000-0005-0000-0000-000014440000}"/>
    <cellStyle name="Normal 7 2 4 3 2 6" xfId="19660" xr:uid="{00000000-0005-0000-0000-000015440000}"/>
    <cellStyle name="Normal 7 2 4 3 3" xfId="7305" xr:uid="{00000000-0005-0000-0000-000016440000}"/>
    <cellStyle name="Normal 7 2 4 3 3 2" xfId="7306" xr:uid="{00000000-0005-0000-0000-000017440000}"/>
    <cellStyle name="Normal 7 2 4 3 3 2 2" xfId="13418" xr:uid="{00000000-0005-0000-0000-000018440000}"/>
    <cellStyle name="Normal 7 2 4 3 3 2 3" xfId="19667" xr:uid="{00000000-0005-0000-0000-000019440000}"/>
    <cellStyle name="Normal 7 2 4 3 3 3" xfId="13417" xr:uid="{00000000-0005-0000-0000-00001A440000}"/>
    <cellStyle name="Normal 7 2 4 3 3 4" xfId="19666" xr:uid="{00000000-0005-0000-0000-00001B440000}"/>
    <cellStyle name="Normal 7 2 4 3 4" xfId="7307" xr:uid="{00000000-0005-0000-0000-00001C440000}"/>
    <cellStyle name="Normal 7 2 4 3 4 2" xfId="7308" xr:uid="{00000000-0005-0000-0000-00001D440000}"/>
    <cellStyle name="Normal 7 2 4 3 4 2 2" xfId="13420" xr:uid="{00000000-0005-0000-0000-00001E440000}"/>
    <cellStyle name="Normal 7 2 4 3 4 2 3" xfId="19669" xr:uid="{00000000-0005-0000-0000-00001F440000}"/>
    <cellStyle name="Normal 7 2 4 3 4 3" xfId="13419" xr:uid="{00000000-0005-0000-0000-000020440000}"/>
    <cellStyle name="Normal 7 2 4 3 4 4" xfId="19668" xr:uid="{00000000-0005-0000-0000-000021440000}"/>
    <cellStyle name="Normal 7 2 4 3 5" xfId="7309" xr:uid="{00000000-0005-0000-0000-000022440000}"/>
    <cellStyle name="Normal 7 2 4 3 5 2" xfId="13421" xr:uid="{00000000-0005-0000-0000-000023440000}"/>
    <cellStyle name="Normal 7 2 4 3 5 3" xfId="19670" xr:uid="{00000000-0005-0000-0000-000024440000}"/>
    <cellStyle name="Normal 7 2 4 3 6" xfId="13410" xr:uid="{00000000-0005-0000-0000-000025440000}"/>
    <cellStyle name="Normal 7 2 4 3 7" xfId="19659" xr:uid="{00000000-0005-0000-0000-000026440000}"/>
    <cellStyle name="Normal 7 2 4 4" xfId="7310" xr:uid="{00000000-0005-0000-0000-000027440000}"/>
    <cellStyle name="Normal 7 2 4 4 2" xfId="7311" xr:uid="{00000000-0005-0000-0000-000028440000}"/>
    <cellStyle name="Normal 7 2 4 4 2 2" xfId="7312" xr:uid="{00000000-0005-0000-0000-000029440000}"/>
    <cellStyle name="Normal 7 2 4 4 2 2 2" xfId="13424" xr:uid="{00000000-0005-0000-0000-00002A440000}"/>
    <cellStyle name="Normal 7 2 4 4 2 2 3" xfId="19673" xr:uid="{00000000-0005-0000-0000-00002B440000}"/>
    <cellStyle name="Normal 7 2 4 4 2 3" xfId="13423" xr:uid="{00000000-0005-0000-0000-00002C440000}"/>
    <cellStyle name="Normal 7 2 4 4 2 4" xfId="19672" xr:uid="{00000000-0005-0000-0000-00002D440000}"/>
    <cellStyle name="Normal 7 2 4 4 3" xfId="7313" xr:uid="{00000000-0005-0000-0000-00002E440000}"/>
    <cellStyle name="Normal 7 2 4 4 3 2" xfId="7314" xr:uid="{00000000-0005-0000-0000-00002F440000}"/>
    <cellStyle name="Normal 7 2 4 4 3 2 2" xfId="13426" xr:uid="{00000000-0005-0000-0000-000030440000}"/>
    <cellStyle name="Normal 7 2 4 4 3 2 3" xfId="19675" xr:uid="{00000000-0005-0000-0000-000031440000}"/>
    <cellStyle name="Normal 7 2 4 4 3 3" xfId="13425" xr:uid="{00000000-0005-0000-0000-000032440000}"/>
    <cellStyle name="Normal 7 2 4 4 3 4" xfId="19674" xr:uid="{00000000-0005-0000-0000-000033440000}"/>
    <cellStyle name="Normal 7 2 4 4 4" xfId="7315" xr:uid="{00000000-0005-0000-0000-000034440000}"/>
    <cellStyle name="Normal 7 2 4 4 4 2" xfId="13427" xr:uid="{00000000-0005-0000-0000-000035440000}"/>
    <cellStyle name="Normal 7 2 4 4 4 3" xfId="19676" xr:uid="{00000000-0005-0000-0000-000036440000}"/>
    <cellStyle name="Normal 7 2 4 4 5" xfId="13422" xr:uid="{00000000-0005-0000-0000-000037440000}"/>
    <cellStyle name="Normal 7 2 4 4 6" xfId="19671" xr:uid="{00000000-0005-0000-0000-000038440000}"/>
    <cellStyle name="Normal 7 2 4 5" xfId="7316" xr:uid="{00000000-0005-0000-0000-000039440000}"/>
    <cellStyle name="Normal 7 2 4 5 2" xfId="7317" xr:uid="{00000000-0005-0000-0000-00003A440000}"/>
    <cellStyle name="Normal 7 2 4 5 2 2" xfId="13429" xr:uid="{00000000-0005-0000-0000-00003B440000}"/>
    <cellStyle name="Normal 7 2 4 5 2 3" xfId="19678" xr:uid="{00000000-0005-0000-0000-00003C440000}"/>
    <cellStyle name="Normal 7 2 4 5 3" xfId="13428" xr:uid="{00000000-0005-0000-0000-00003D440000}"/>
    <cellStyle name="Normal 7 2 4 5 4" xfId="19677" xr:uid="{00000000-0005-0000-0000-00003E440000}"/>
    <cellStyle name="Normal 7 2 4 6" xfId="7318" xr:uid="{00000000-0005-0000-0000-00003F440000}"/>
    <cellStyle name="Normal 7 2 4 6 2" xfId="7319" xr:uid="{00000000-0005-0000-0000-000040440000}"/>
    <cellStyle name="Normal 7 2 4 6 2 2" xfId="13431" xr:uid="{00000000-0005-0000-0000-000041440000}"/>
    <cellStyle name="Normal 7 2 4 6 2 3" xfId="19680" xr:uid="{00000000-0005-0000-0000-000042440000}"/>
    <cellStyle name="Normal 7 2 4 6 3" xfId="13430" xr:uid="{00000000-0005-0000-0000-000043440000}"/>
    <cellStyle name="Normal 7 2 4 6 4" xfId="19679" xr:uid="{00000000-0005-0000-0000-000044440000}"/>
    <cellStyle name="Normal 7 2 4 7" xfId="7320" xr:uid="{00000000-0005-0000-0000-000045440000}"/>
    <cellStyle name="Normal 7 2 4 7 2" xfId="13432" xr:uid="{00000000-0005-0000-0000-000046440000}"/>
    <cellStyle name="Normal 7 2 4 7 3" xfId="19681" xr:uid="{00000000-0005-0000-0000-000047440000}"/>
    <cellStyle name="Normal 7 2 4 8" xfId="13385" xr:uid="{00000000-0005-0000-0000-000048440000}"/>
    <cellStyle name="Normal 7 2 4 9" xfId="19634" xr:uid="{00000000-0005-0000-0000-000049440000}"/>
    <cellStyle name="Normal 7 2 5" xfId="7321" xr:uid="{00000000-0005-0000-0000-00004A440000}"/>
    <cellStyle name="Normal 7 2 5 2" xfId="7322" xr:uid="{00000000-0005-0000-0000-00004B440000}"/>
    <cellStyle name="Normal 7 2 5 2 2" xfId="7323" xr:uid="{00000000-0005-0000-0000-00004C440000}"/>
    <cellStyle name="Normal 7 2 5 2 2 2" xfId="7324" xr:uid="{00000000-0005-0000-0000-00004D440000}"/>
    <cellStyle name="Normal 7 2 5 2 2 2 2" xfId="7325" xr:uid="{00000000-0005-0000-0000-00004E440000}"/>
    <cellStyle name="Normal 7 2 5 2 2 2 2 2" xfId="13437" xr:uid="{00000000-0005-0000-0000-00004F440000}"/>
    <cellStyle name="Normal 7 2 5 2 2 2 2 3" xfId="19686" xr:uid="{00000000-0005-0000-0000-000050440000}"/>
    <cellStyle name="Normal 7 2 5 2 2 2 3" xfId="13436" xr:uid="{00000000-0005-0000-0000-000051440000}"/>
    <cellStyle name="Normal 7 2 5 2 2 2 4" xfId="19685" xr:uid="{00000000-0005-0000-0000-000052440000}"/>
    <cellStyle name="Normal 7 2 5 2 2 3" xfId="7326" xr:uid="{00000000-0005-0000-0000-000053440000}"/>
    <cellStyle name="Normal 7 2 5 2 2 3 2" xfId="7327" xr:uid="{00000000-0005-0000-0000-000054440000}"/>
    <cellStyle name="Normal 7 2 5 2 2 3 2 2" xfId="13439" xr:uid="{00000000-0005-0000-0000-000055440000}"/>
    <cellStyle name="Normal 7 2 5 2 2 3 2 3" xfId="19688" xr:uid="{00000000-0005-0000-0000-000056440000}"/>
    <cellStyle name="Normal 7 2 5 2 2 3 3" xfId="13438" xr:uid="{00000000-0005-0000-0000-000057440000}"/>
    <cellStyle name="Normal 7 2 5 2 2 3 4" xfId="19687" xr:uid="{00000000-0005-0000-0000-000058440000}"/>
    <cellStyle name="Normal 7 2 5 2 2 4" xfId="7328" xr:uid="{00000000-0005-0000-0000-000059440000}"/>
    <cellStyle name="Normal 7 2 5 2 2 4 2" xfId="13440" xr:uid="{00000000-0005-0000-0000-00005A440000}"/>
    <cellStyle name="Normal 7 2 5 2 2 4 3" xfId="19689" xr:uid="{00000000-0005-0000-0000-00005B440000}"/>
    <cellStyle name="Normal 7 2 5 2 2 5" xfId="13435" xr:uid="{00000000-0005-0000-0000-00005C440000}"/>
    <cellStyle name="Normal 7 2 5 2 2 6" xfId="19684" xr:uid="{00000000-0005-0000-0000-00005D440000}"/>
    <cellStyle name="Normal 7 2 5 2 3" xfId="7329" xr:uid="{00000000-0005-0000-0000-00005E440000}"/>
    <cellStyle name="Normal 7 2 5 2 3 2" xfId="7330" xr:uid="{00000000-0005-0000-0000-00005F440000}"/>
    <cellStyle name="Normal 7 2 5 2 3 2 2" xfId="13442" xr:uid="{00000000-0005-0000-0000-000060440000}"/>
    <cellStyle name="Normal 7 2 5 2 3 2 3" xfId="19691" xr:uid="{00000000-0005-0000-0000-000061440000}"/>
    <cellStyle name="Normal 7 2 5 2 3 3" xfId="13441" xr:uid="{00000000-0005-0000-0000-000062440000}"/>
    <cellStyle name="Normal 7 2 5 2 3 4" xfId="19690" xr:uid="{00000000-0005-0000-0000-000063440000}"/>
    <cellStyle name="Normal 7 2 5 2 4" xfId="7331" xr:uid="{00000000-0005-0000-0000-000064440000}"/>
    <cellStyle name="Normal 7 2 5 2 4 2" xfId="7332" xr:uid="{00000000-0005-0000-0000-000065440000}"/>
    <cellStyle name="Normal 7 2 5 2 4 2 2" xfId="13444" xr:uid="{00000000-0005-0000-0000-000066440000}"/>
    <cellStyle name="Normal 7 2 5 2 4 2 3" xfId="19693" xr:uid="{00000000-0005-0000-0000-000067440000}"/>
    <cellStyle name="Normal 7 2 5 2 4 3" xfId="13443" xr:uid="{00000000-0005-0000-0000-000068440000}"/>
    <cellStyle name="Normal 7 2 5 2 4 4" xfId="19692" xr:uid="{00000000-0005-0000-0000-000069440000}"/>
    <cellStyle name="Normal 7 2 5 2 5" xfId="7333" xr:uid="{00000000-0005-0000-0000-00006A440000}"/>
    <cellStyle name="Normal 7 2 5 2 5 2" xfId="13445" xr:uid="{00000000-0005-0000-0000-00006B440000}"/>
    <cellStyle name="Normal 7 2 5 2 5 3" xfId="19694" xr:uid="{00000000-0005-0000-0000-00006C440000}"/>
    <cellStyle name="Normal 7 2 5 2 6" xfId="13434" xr:uid="{00000000-0005-0000-0000-00006D440000}"/>
    <cellStyle name="Normal 7 2 5 2 7" xfId="19683" xr:uid="{00000000-0005-0000-0000-00006E440000}"/>
    <cellStyle name="Normal 7 2 5 3" xfId="7334" xr:uid="{00000000-0005-0000-0000-00006F440000}"/>
    <cellStyle name="Normal 7 2 5 3 2" xfId="7335" xr:uid="{00000000-0005-0000-0000-000070440000}"/>
    <cellStyle name="Normal 7 2 5 3 2 2" xfId="7336" xr:uid="{00000000-0005-0000-0000-000071440000}"/>
    <cellStyle name="Normal 7 2 5 3 2 2 2" xfId="13448" xr:uid="{00000000-0005-0000-0000-000072440000}"/>
    <cellStyle name="Normal 7 2 5 3 2 2 3" xfId="19697" xr:uid="{00000000-0005-0000-0000-000073440000}"/>
    <cellStyle name="Normal 7 2 5 3 2 3" xfId="13447" xr:uid="{00000000-0005-0000-0000-000074440000}"/>
    <cellStyle name="Normal 7 2 5 3 2 4" xfId="19696" xr:uid="{00000000-0005-0000-0000-000075440000}"/>
    <cellStyle name="Normal 7 2 5 3 3" xfId="7337" xr:uid="{00000000-0005-0000-0000-000076440000}"/>
    <cellStyle name="Normal 7 2 5 3 3 2" xfId="7338" xr:uid="{00000000-0005-0000-0000-000077440000}"/>
    <cellStyle name="Normal 7 2 5 3 3 2 2" xfId="13450" xr:uid="{00000000-0005-0000-0000-000078440000}"/>
    <cellStyle name="Normal 7 2 5 3 3 2 3" xfId="19699" xr:uid="{00000000-0005-0000-0000-000079440000}"/>
    <cellStyle name="Normal 7 2 5 3 3 3" xfId="13449" xr:uid="{00000000-0005-0000-0000-00007A440000}"/>
    <cellStyle name="Normal 7 2 5 3 3 4" xfId="19698" xr:uid="{00000000-0005-0000-0000-00007B440000}"/>
    <cellStyle name="Normal 7 2 5 3 4" xfId="7339" xr:uid="{00000000-0005-0000-0000-00007C440000}"/>
    <cellStyle name="Normal 7 2 5 3 4 2" xfId="13451" xr:uid="{00000000-0005-0000-0000-00007D440000}"/>
    <cellStyle name="Normal 7 2 5 3 4 3" xfId="19700" xr:uid="{00000000-0005-0000-0000-00007E440000}"/>
    <cellStyle name="Normal 7 2 5 3 5" xfId="13446" xr:uid="{00000000-0005-0000-0000-00007F440000}"/>
    <cellStyle name="Normal 7 2 5 3 6" xfId="19695" xr:uid="{00000000-0005-0000-0000-000080440000}"/>
    <cellStyle name="Normal 7 2 5 4" xfId="7340" xr:uid="{00000000-0005-0000-0000-000081440000}"/>
    <cellStyle name="Normal 7 2 5 4 2" xfId="7341" xr:uid="{00000000-0005-0000-0000-000082440000}"/>
    <cellStyle name="Normal 7 2 5 4 2 2" xfId="13453" xr:uid="{00000000-0005-0000-0000-000083440000}"/>
    <cellStyle name="Normal 7 2 5 4 2 3" xfId="19702" xr:uid="{00000000-0005-0000-0000-000084440000}"/>
    <cellStyle name="Normal 7 2 5 4 3" xfId="13452" xr:uid="{00000000-0005-0000-0000-000085440000}"/>
    <cellStyle name="Normal 7 2 5 4 4" xfId="19701" xr:uid="{00000000-0005-0000-0000-000086440000}"/>
    <cellStyle name="Normal 7 2 5 5" xfId="7342" xr:uid="{00000000-0005-0000-0000-000087440000}"/>
    <cellStyle name="Normal 7 2 5 5 2" xfId="7343" xr:uid="{00000000-0005-0000-0000-000088440000}"/>
    <cellStyle name="Normal 7 2 5 5 2 2" xfId="13455" xr:uid="{00000000-0005-0000-0000-000089440000}"/>
    <cellStyle name="Normal 7 2 5 5 2 3" xfId="19704" xr:uid="{00000000-0005-0000-0000-00008A440000}"/>
    <cellStyle name="Normal 7 2 5 5 3" xfId="13454" xr:uid="{00000000-0005-0000-0000-00008B440000}"/>
    <cellStyle name="Normal 7 2 5 5 4" xfId="19703" xr:uid="{00000000-0005-0000-0000-00008C440000}"/>
    <cellStyle name="Normal 7 2 5 6" xfId="7344" xr:uid="{00000000-0005-0000-0000-00008D440000}"/>
    <cellStyle name="Normal 7 2 5 6 2" xfId="13456" xr:uid="{00000000-0005-0000-0000-00008E440000}"/>
    <cellStyle name="Normal 7 2 5 6 3" xfId="19705" xr:uid="{00000000-0005-0000-0000-00008F440000}"/>
    <cellStyle name="Normal 7 2 5 7" xfId="13433" xr:uid="{00000000-0005-0000-0000-000090440000}"/>
    <cellStyle name="Normal 7 2 5 8" xfId="19682" xr:uid="{00000000-0005-0000-0000-000091440000}"/>
    <cellStyle name="Normal 7 2 6" xfId="7345" xr:uid="{00000000-0005-0000-0000-000092440000}"/>
    <cellStyle name="Normal 7 2 6 2" xfId="7346" xr:uid="{00000000-0005-0000-0000-000093440000}"/>
    <cellStyle name="Normal 7 2 6 2 2" xfId="7347" xr:uid="{00000000-0005-0000-0000-000094440000}"/>
    <cellStyle name="Normal 7 2 6 2 2 2" xfId="7348" xr:uid="{00000000-0005-0000-0000-000095440000}"/>
    <cellStyle name="Normal 7 2 6 2 2 2 2" xfId="13460" xr:uid="{00000000-0005-0000-0000-000096440000}"/>
    <cellStyle name="Normal 7 2 6 2 2 2 3" xfId="19709" xr:uid="{00000000-0005-0000-0000-000097440000}"/>
    <cellStyle name="Normal 7 2 6 2 2 3" xfId="13459" xr:uid="{00000000-0005-0000-0000-000098440000}"/>
    <cellStyle name="Normal 7 2 6 2 2 4" xfId="19708" xr:uid="{00000000-0005-0000-0000-000099440000}"/>
    <cellStyle name="Normal 7 2 6 2 3" xfId="7349" xr:uid="{00000000-0005-0000-0000-00009A440000}"/>
    <cellStyle name="Normal 7 2 6 2 3 2" xfId="7350" xr:uid="{00000000-0005-0000-0000-00009B440000}"/>
    <cellStyle name="Normal 7 2 6 2 3 2 2" xfId="13462" xr:uid="{00000000-0005-0000-0000-00009C440000}"/>
    <cellStyle name="Normal 7 2 6 2 3 2 3" xfId="19711" xr:uid="{00000000-0005-0000-0000-00009D440000}"/>
    <cellStyle name="Normal 7 2 6 2 3 3" xfId="13461" xr:uid="{00000000-0005-0000-0000-00009E440000}"/>
    <cellStyle name="Normal 7 2 6 2 3 4" xfId="19710" xr:uid="{00000000-0005-0000-0000-00009F440000}"/>
    <cellStyle name="Normal 7 2 6 2 4" xfId="7351" xr:uid="{00000000-0005-0000-0000-0000A0440000}"/>
    <cellStyle name="Normal 7 2 6 2 4 2" xfId="13463" xr:uid="{00000000-0005-0000-0000-0000A1440000}"/>
    <cellStyle name="Normal 7 2 6 2 4 3" xfId="19712" xr:uid="{00000000-0005-0000-0000-0000A2440000}"/>
    <cellStyle name="Normal 7 2 6 2 5" xfId="13458" xr:uid="{00000000-0005-0000-0000-0000A3440000}"/>
    <cellStyle name="Normal 7 2 6 2 6" xfId="19707" xr:uid="{00000000-0005-0000-0000-0000A4440000}"/>
    <cellStyle name="Normal 7 2 6 3" xfId="7352" xr:uid="{00000000-0005-0000-0000-0000A5440000}"/>
    <cellStyle name="Normal 7 2 6 3 2" xfId="7353" xr:uid="{00000000-0005-0000-0000-0000A6440000}"/>
    <cellStyle name="Normal 7 2 6 3 2 2" xfId="13465" xr:uid="{00000000-0005-0000-0000-0000A7440000}"/>
    <cellStyle name="Normal 7 2 6 3 2 3" xfId="19714" xr:uid="{00000000-0005-0000-0000-0000A8440000}"/>
    <cellStyle name="Normal 7 2 6 3 3" xfId="13464" xr:uid="{00000000-0005-0000-0000-0000A9440000}"/>
    <cellStyle name="Normal 7 2 6 3 4" xfId="19713" xr:uid="{00000000-0005-0000-0000-0000AA440000}"/>
    <cellStyle name="Normal 7 2 6 4" xfId="7354" xr:uid="{00000000-0005-0000-0000-0000AB440000}"/>
    <cellStyle name="Normal 7 2 6 4 2" xfId="7355" xr:uid="{00000000-0005-0000-0000-0000AC440000}"/>
    <cellStyle name="Normal 7 2 6 4 2 2" xfId="13467" xr:uid="{00000000-0005-0000-0000-0000AD440000}"/>
    <cellStyle name="Normal 7 2 6 4 2 3" xfId="19716" xr:uid="{00000000-0005-0000-0000-0000AE440000}"/>
    <cellStyle name="Normal 7 2 6 4 3" xfId="13466" xr:uid="{00000000-0005-0000-0000-0000AF440000}"/>
    <cellStyle name="Normal 7 2 6 4 4" xfId="19715" xr:uid="{00000000-0005-0000-0000-0000B0440000}"/>
    <cellStyle name="Normal 7 2 6 5" xfId="7356" xr:uid="{00000000-0005-0000-0000-0000B1440000}"/>
    <cellStyle name="Normal 7 2 6 5 2" xfId="13468" xr:uid="{00000000-0005-0000-0000-0000B2440000}"/>
    <cellStyle name="Normal 7 2 6 5 3" xfId="19717" xr:uid="{00000000-0005-0000-0000-0000B3440000}"/>
    <cellStyle name="Normal 7 2 6 6" xfId="13457" xr:uid="{00000000-0005-0000-0000-0000B4440000}"/>
    <cellStyle name="Normal 7 2 6 7" xfId="19706" xr:uid="{00000000-0005-0000-0000-0000B5440000}"/>
    <cellStyle name="Normal 7 2 7" xfId="7357" xr:uid="{00000000-0005-0000-0000-0000B6440000}"/>
    <cellStyle name="Normal 7 2 7 2" xfId="7358" xr:uid="{00000000-0005-0000-0000-0000B7440000}"/>
    <cellStyle name="Normal 7 2 7 2 2" xfId="7359" xr:uid="{00000000-0005-0000-0000-0000B8440000}"/>
    <cellStyle name="Normal 7 2 7 2 2 2" xfId="13471" xr:uid="{00000000-0005-0000-0000-0000B9440000}"/>
    <cellStyle name="Normal 7 2 7 2 2 3" xfId="19720" xr:uid="{00000000-0005-0000-0000-0000BA440000}"/>
    <cellStyle name="Normal 7 2 7 2 3" xfId="13470" xr:uid="{00000000-0005-0000-0000-0000BB440000}"/>
    <cellStyle name="Normal 7 2 7 2 4" xfId="19719" xr:uid="{00000000-0005-0000-0000-0000BC440000}"/>
    <cellStyle name="Normal 7 2 7 3" xfId="7360" xr:uid="{00000000-0005-0000-0000-0000BD440000}"/>
    <cellStyle name="Normal 7 2 7 3 2" xfId="7361" xr:uid="{00000000-0005-0000-0000-0000BE440000}"/>
    <cellStyle name="Normal 7 2 7 3 2 2" xfId="13473" xr:uid="{00000000-0005-0000-0000-0000BF440000}"/>
    <cellStyle name="Normal 7 2 7 3 2 3" xfId="19722" xr:uid="{00000000-0005-0000-0000-0000C0440000}"/>
    <cellStyle name="Normal 7 2 7 3 3" xfId="13472" xr:uid="{00000000-0005-0000-0000-0000C1440000}"/>
    <cellStyle name="Normal 7 2 7 3 4" xfId="19721" xr:uid="{00000000-0005-0000-0000-0000C2440000}"/>
    <cellStyle name="Normal 7 2 7 4" xfId="7362" xr:uid="{00000000-0005-0000-0000-0000C3440000}"/>
    <cellStyle name="Normal 7 2 7 4 2" xfId="13474" xr:uid="{00000000-0005-0000-0000-0000C4440000}"/>
    <cellStyle name="Normal 7 2 7 4 3" xfId="19723" xr:uid="{00000000-0005-0000-0000-0000C5440000}"/>
    <cellStyle name="Normal 7 2 7 5" xfId="13469" xr:uid="{00000000-0005-0000-0000-0000C6440000}"/>
    <cellStyle name="Normal 7 2 7 6" xfId="19718" xr:uid="{00000000-0005-0000-0000-0000C7440000}"/>
    <cellStyle name="Normal 7 2 8" xfId="7363" xr:uid="{00000000-0005-0000-0000-0000C8440000}"/>
    <cellStyle name="Normal 7 2 8 2" xfId="7364" xr:uid="{00000000-0005-0000-0000-0000C9440000}"/>
    <cellStyle name="Normal 7 2 8 2 2" xfId="13476" xr:uid="{00000000-0005-0000-0000-0000CA440000}"/>
    <cellStyle name="Normal 7 2 8 2 3" xfId="19725" xr:uid="{00000000-0005-0000-0000-0000CB440000}"/>
    <cellStyle name="Normal 7 2 8 3" xfId="13475" xr:uid="{00000000-0005-0000-0000-0000CC440000}"/>
    <cellStyle name="Normal 7 2 8 4" xfId="19724" xr:uid="{00000000-0005-0000-0000-0000CD440000}"/>
    <cellStyle name="Normal 7 2 9" xfId="7365" xr:uid="{00000000-0005-0000-0000-0000CE440000}"/>
    <cellStyle name="Normal 7 2 9 2" xfId="7366" xr:uid="{00000000-0005-0000-0000-0000CF440000}"/>
    <cellStyle name="Normal 7 2 9 2 2" xfId="13478" xr:uid="{00000000-0005-0000-0000-0000D0440000}"/>
    <cellStyle name="Normal 7 2 9 2 3" xfId="19727" xr:uid="{00000000-0005-0000-0000-0000D1440000}"/>
    <cellStyle name="Normal 7 2 9 3" xfId="13477" xr:uid="{00000000-0005-0000-0000-0000D2440000}"/>
    <cellStyle name="Normal 7 2 9 4" xfId="19726" xr:uid="{00000000-0005-0000-0000-0000D3440000}"/>
    <cellStyle name="Normal 7 3" xfId="7367" xr:uid="{00000000-0005-0000-0000-0000D4440000}"/>
    <cellStyle name="Normal 7 3 10" xfId="7368" xr:uid="{00000000-0005-0000-0000-0000D5440000}"/>
    <cellStyle name="Normal 7 3 10 2" xfId="19729" xr:uid="{00000000-0005-0000-0000-0000D6440000}"/>
    <cellStyle name="Normal 7 3 11" xfId="13479" xr:uid="{00000000-0005-0000-0000-0000D7440000}"/>
    <cellStyle name="Normal 7 3 12" xfId="19728" xr:uid="{00000000-0005-0000-0000-0000D8440000}"/>
    <cellStyle name="Normal 7 3 2" xfId="7369" xr:uid="{00000000-0005-0000-0000-0000D9440000}"/>
    <cellStyle name="Normal 7 3 2 2" xfId="7370" xr:uid="{00000000-0005-0000-0000-0000DA440000}"/>
    <cellStyle name="Normal 7 3 2 2 2" xfId="7371" xr:uid="{00000000-0005-0000-0000-0000DB440000}"/>
    <cellStyle name="Normal 7 3 2 2 2 2" xfId="7372" xr:uid="{00000000-0005-0000-0000-0000DC440000}"/>
    <cellStyle name="Normal 7 3 2 2 2 2 2" xfId="7373" xr:uid="{00000000-0005-0000-0000-0000DD440000}"/>
    <cellStyle name="Normal 7 3 2 2 2 2 2 2" xfId="7374" xr:uid="{00000000-0005-0000-0000-0000DE440000}"/>
    <cellStyle name="Normal 7 3 2 2 2 2 2 2 2" xfId="13485" xr:uid="{00000000-0005-0000-0000-0000DF440000}"/>
    <cellStyle name="Normal 7 3 2 2 2 2 2 2 3" xfId="19735" xr:uid="{00000000-0005-0000-0000-0000E0440000}"/>
    <cellStyle name="Normal 7 3 2 2 2 2 2 3" xfId="13484" xr:uid="{00000000-0005-0000-0000-0000E1440000}"/>
    <cellStyle name="Normal 7 3 2 2 2 2 2 4" xfId="19734" xr:uid="{00000000-0005-0000-0000-0000E2440000}"/>
    <cellStyle name="Normal 7 3 2 2 2 2 3" xfId="7375" xr:uid="{00000000-0005-0000-0000-0000E3440000}"/>
    <cellStyle name="Normal 7 3 2 2 2 2 3 2" xfId="7376" xr:uid="{00000000-0005-0000-0000-0000E4440000}"/>
    <cellStyle name="Normal 7 3 2 2 2 2 3 2 2" xfId="13487" xr:uid="{00000000-0005-0000-0000-0000E5440000}"/>
    <cellStyle name="Normal 7 3 2 2 2 2 3 2 3" xfId="19737" xr:uid="{00000000-0005-0000-0000-0000E6440000}"/>
    <cellStyle name="Normal 7 3 2 2 2 2 3 3" xfId="13486" xr:uid="{00000000-0005-0000-0000-0000E7440000}"/>
    <cellStyle name="Normal 7 3 2 2 2 2 3 4" xfId="19736" xr:uid="{00000000-0005-0000-0000-0000E8440000}"/>
    <cellStyle name="Normal 7 3 2 2 2 2 4" xfId="7377" xr:uid="{00000000-0005-0000-0000-0000E9440000}"/>
    <cellStyle name="Normal 7 3 2 2 2 2 4 2" xfId="13488" xr:uid="{00000000-0005-0000-0000-0000EA440000}"/>
    <cellStyle name="Normal 7 3 2 2 2 2 4 3" xfId="19738" xr:uid="{00000000-0005-0000-0000-0000EB440000}"/>
    <cellStyle name="Normal 7 3 2 2 2 2 5" xfId="13483" xr:uid="{00000000-0005-0000-0000-0000EC440000}"/>
    <cellStyle name="Normal 7 3 2 2 2 2 6" xfId="19733" xr:uid="{00000000-0005-0000-0000-0000ED440000}"/>
    <cellStyle name="Normal 7 3 2 2 2 3" xfId="7378" xr:uid="{00000000-0005-0000-0000-0000EE440000}"/>
    <cellStyle name="Normal 7 3 2 2 2 3 2" xfId="7379" xr:uid="{00000000-0005-0000-0000-0000EF440000}"/>
    <cellStyle name="Normal 7 3 2 2 2 3 2 2" xfId="13490" xr:uid="{00000000-0005-0000-0000-0000F0440000}"/>
    <cellStyle name="Normal 7 3 2 2 2 3 2 3" xfId="19740" xr:uid="{00000000-0005-0000-0000-0000F1440000}"/>
    <cellStyle name="Normal 7 3 2 2 2 3 3" xfId="13489" xr:uid="{00000000-0005-0000-0000-0000F2440000}"/>
    <cellStyle name="Normal 7 3 2 2 2 3 4" xfId="19739" xr:uid="{00000000-0005-0000-0000-0000F3440000}"/>
    <cellStyle name="Normal 7 3 2 2 2 4" xfId="7380" xr:uid="{00000000-0005-0000-0000-0000F4440000}"/>
    <cellStyle name="Normal 7 3 2 2 2 4 2" xfId="7381" xr:uid="{00000000-0005-0000-0000-0000F5440000}"/>
    <cellStyle name="Normal 7 3 2 2 2 4 2 2" xfId="13492" xr:uid="{00000000-0005-0000-0000-0000F6440000}"/>
    <cellStyle name="Normal 7 3 2 2 2 4 2 3" xfId="19742" xr:uid="{00000000-0005-0000-0000-0000F7440000}"/>
    <cellStyle name="Normal 7 3 2 2 2 4 3" xfId="13491" xr:uid="{00000000-0005-0000-0000-0000F8440000}"/>
    <cellStyle name="Normal 7 3 2 2 2 4 4" xfId="19741" xr:uid="{00000000-0005-0000-0000-0000F9440000}"/>
    <cellStyle name="Normal 7 3 2 2 2 5" xfId="7382" xr:uid="{00000000-0005-0000-0000-0000FA440000}"/>
    <cellStyle name="Normal 7 3 2 2 2 5 2" xfId="13493" xr:uid="{00000000-0005-0000-0000-0000FB440000}"/>
    <cellStyle name="Normal 7 3 2 2 2 5 3" xfId="19743" xr:uid="{00000000-0005-0000-0000-0000FC440000}"/>
    <cellStyle name="Normal 7 3 2 2 2 6" xfId="13482" xr:uid="{00000000-0005-0000-0000-0000FD440000}"/>
    <cellStyle name="Normal 7 3 2 2 2 7" xfId="19732" xr:uid="{00000000-0005-0000-0000-0000FE440000}"/>
    <cellStyle name="Normal 7 3 2 2 3" xfId="7383" xr:uid="{00000000-0005-0000-0000-0000FF440000}"/>
    <cellStyle name="Normal 7 3 2 2 3 2" xfId="7384" xr:uid="{00000000-0005-0000-0000-000000450000}"/>
    <cellStyle name="Normal 7 3 2 2 3 2 2" xfId="7385" xr:uid="{00000000-0005-0000-0000-000001450000}"/>
    <cellStyle name="Normal 7 3 2 2 3 2 2 2" xfId="13496" xr:uid="{00000000-0005-0000-0000-000002450000}"/>
    <cellStyle name="Normal 7 3 2 2 3 2 2 3" xfId="19746" xr:uid="{00000000-0005-0000-0000-000003450000}"/>
    <cellStyle name="Normal 7 3 2 2 3 2 3" xfId="13495" xr:uid="{00000000-0005-0000-0000-000004450000}"/>
    <cellStyle name="Normal 7 3 2 2 3 2 4" xfId="19745" xr:uid="{00000000-0005-0000-0000-000005450000}"/>
    <cellStyle name="Normal 7 3 2 2 3 3" xfId="7386" xr:uid="{00000000-0005-0000-0000-000006450000}"/>
    <cellStyle name="Normal 7 3 2 2 3 3 2" xfId="7387" xr:uid="{00000000-0005-0000-0000-000007450000}"/>
    <cellStyle name="Normal 7 3 2 2 3 3 2 2" xfId="13498" xr:uid="{00000000-0005-0000-0000-000008450000}"/>
    <cellStyle name="Normal 7 3 2 2 3 3 2 3" xfId="19748" xr:uid="{00000000-0005-0000-0000-000009450000}"/>
    <cellStyle name="Normal 7 3 2 2 3 3 3" xfId="13497" xr:uid="{00000000-0005-0000-0000-00000A450000}"/>
    <cellStyle name="Normal 7 3 2 2 3 3 4" xfId="19747" xr:uid="{00000000-0005-0000-0000-00000B450000}"/>
    <cellStyle name="Normal 7 3 2 2 3 4" xfId="7388" xr:uid="{00000000-0005-0000-0000-00000C450000}"/>
    <cellStyle name="Normal 7 3 2 2 3 4 2" xfId="13499" xr:uid="{00000000-0005-0000-0000-00000D450000}"/>
    <cellStyle name="Normal 7 3 2 2 3 4 3" xfId="19749" xr:uid="{00000000-0005-0000-0000-00000E450000}"/>
    <cellStyle name="Normal 7 3 2 2 3 5" xfId="13494" xr:uid="{00000000-0005-0000-0000-00000F450000}"/>
    <cellStyle name="Normal 7 3 2 2 3 6" xfId="19744" xr:uid="{00000000-0005-0000-0000-000010450000}"/>
    <cellStyle name="Normal 7 3 2 2 4" xfId="7389" xr:uid="{00000000-0005-0000-0000-000011450000}"/>
    <cellStyle name="Normal 7 3 2 2 4 2" xfId="7390" xr:uid="{00000000-0005-0000-0000-000012450000}"/>
    <cellStyle name="Normal 7 3 2 2 4 2 2" xfId="13501" xr:uid="{00000000-0005-0000-0000-000013450000}"/>
    <cellStyle name="Normal 7 3 2 2 4 2 3" xfId="19751" xr:uid="{00000000-0005-0000-0000-000014450000}"/>
    <cellStyle name="Normal 7 3 2 2 4 3" xfId="13500" xr:uid="{00000000-0005-0000-0000-000015450000}"/>
    <cellStyle name="Normal 7 3 2 2 4 4" xfId="19750" xr:uid="{00000000-0005-0000-0000-000016450000}"/>
    <cellStyle name="Normal 7 3 2 2 5" xfId="7391" xr:uid="{00000000-0005-0000-0000-000017450000}"/>
    <cellStyle name="Normal 7 3 2 2 5 2" xfId="7392" xr:uid="{00000000-0005-0000-0000-000018450000}"/>
    <cellStyle name="Normal 7 3 2 2 5 2 2" xfId="13503" xr:uid="{00000000-0005-0000-0000-000019450000}"/>
    <cellStyle name="Normal 7 3 2 2 5 2 3" xfId="19753" xr:uid="{00000000-0005-0000-0000-00001A450000}"/>
    <cellStyle name="Normal 7 3 2 2 5 3" xfId="13502" xr:uid="{00000000-0005-0000-0000-00001B450000}"/>
    <cellStyle name="Normal 7 3 2 2 5 4" xfId="19752" xr:uid="{00000000-0005-0000-0000-00001C450000}"/>
    <cellStyle name="Normal 7 3 2 2 6" xfId="7393" xr:uid="{00000000-0005-0000-0000-00001D450000}"/>
    <cellStyle name="Normal 7 3 2 2 6 2" xfId="13504" xr:uid="{00000000-0005-0000-0000-00001E450000}"/>
    <cellStyle name="Normal 7 3 2 2 6 3" xfId="19754" xr:uid="{00000000-0005-0000-0000-00001F450000}"/>
    <cellStyle name="Normal 7 3 2 2 7" xfId="13481" xr:uid="{00000000-0005-0000-0000-000020450000}"/>
    <cellStyle name="Normal 7 3 2 2 8" xfId="19731" xr:uid="{00000000-0005-0000-0000-000021450000}"/>
    <cellStyle name="Normal 7 3 2 3" xfId="7394" xr:uid="{00000000-0005-0000-0000-000022450000}"/>
    <cellStyle name="Normal 7 3 2 3 2" xfId="7395" xr:uid="{00000000-0005-0000-0000-000023450000}"/>
    <cellStyle name="Normal 7 3 2 3 2 2" xfId="7396" xr:uid="{00000000-0005-0000-0000-000024450000}"/>
    <cellStyle name="Normal 7 3 2 3 2 2 2" xfId="7397" xr:uid="{00000000-0005-0000-0000-000025450000}"/>
    <cellStyle name="Normal 7 3 2 3 2 2 2 2" xfId="13508" xr:uid="{00000000-0005-0000-0000-000026450000}"/>
    <cellStyle name="Normal 7 3 2 3 2 2 2 3" xfId="19758" xr:uid="{00000000-0005-0000-0000-000027450000}"/>
    <cellStyle name="Normal 7 3 2 3 2 2 3" xfId="13507" xr:uid="{00000000-0005-0000-0000-000028450000}"/>
    <cellStyle name="Normal 7 3 2 3 2 2 4" xfId="19757" xr:uid="{00000000-0005-0000-0000-000029450000}"/>
    <cellStyle name="Normal 7 3 2 3 2 3" xfId="7398" xr:uid="{00000000-0005-0000-0000-00002A450000}"/>
    <cellStyle name="Normal 7 3 2 3 2 3 2" xfId="7399" xr:uid="{00000000-0005-0000-0000-00002B450000}"/>
    <cellStyle name="Normal 7 3 2 3 2 3 2 2" xfId="13510" xr:uid="{00000000-0005-0000-0000-00002C450000}"/>
    <cellStyle name="Normal 7 3 2 3 2 3 2 3" xfId="19760" xr:uid="{00000000-0005-0000-0000-00002D450000}"/>
    <cellStyle name="Normal 7 3 2 3 2 3 3" xfId="13509" xr:uid="{00000000-0005-0000-0000-00002E450000}"/>
    <cellStyle name="Normal 7 3 2 3 2 3 4" xfId="19759" xr:uid="{00000000-0005-0000-0000-00002F450000}"/>
    <cellStyle name="Normal 7 3 2 3 2 4" xfId="7400" xr:uid="{00000000-0005-0000-0000-000030450000}"/>
    <cellStyle name="Normal 7 3 2 3 2 4 2" xfId="13511" xr:uid="{00000000-0005-0000-0000-000031450000}"/>
    <cellStyle name="Normal 7 3 2 3 2 4 3" xfId="19761" xr:uid="{00000000-0005-0000-0000-000032450000}"/>
    <cellStyle name="Normal 7 3 2 3 2 5" xfId="13506" xr:uid="{00000000-0005-0000-0000-000033450000}"/>
    <cellStyle name="Normal 7 3 2 3 2 6" xfId="19756" xr:uid="{00000000-0005-0000-0000-000034450000}"/>
    <cellStyle name="Normal 7 3 2 3 3" xfId="7401" xr:uid="{00000000-0005-0000-0000-000035450000}"/>
    <cellStyle name="Normal 7 3 2 3 3 2" xfId="7402" xr:uid="{00000000-0005-0000-0000-000036450000}"/>
    <cellStyle name="Normal 7 3 2 3 3 2 2" xfId="13513" xr:uid="{00000000-0005-0000-0000-000037450000}"/>
    <cellStyle name="Normal 7 3 2 3 3 2 3" xfId="19763" xr:uid="{00000000-0005-0000-0000-000038450000}"/>
    <cellStyle name="Normal 7 3 2 3 3 3" xfId="13512" xr:uid="{00000000-0005-0000-0000-000039450000}"/>
    <cellStyle name="Normal 7 3 2 3 3 4" xfId="19762" xr:uid="{00000000-0005-0000-0000-00003A450000}"/>
    <cellStyle name="Normal 7 3 2 3 4" xfId="7403" xr:uid="{00000000-0005-0000-0000-00003B450000}"/>
    <cellStyle name="Normal 7 3 2 3 4 2" xfId="7404" xr:uid="{00000000-0005-0000-0000-00003C450000}"/>
    <cellStyle name="Normal 7 3 2 3 4 2 2" xfId="13515" xr:uid="{00000000-0005-0000-0000-00003D450000}"/>
    <cellStyle name="Normal 7 3 2 3 4 2 3" xfId="19765" xr:uid="{00000000-0005-0000-0000-00003E450000}"/>
    <cellStyle name="Normal 7 3 2 3 4 3" xfId="13514" xr:uid="{00000000-0005-0000-0000-00003F450000}"/>
    <cellStyle name="Normal 7 3 2 3 4 4" xfId="19764" xr:uid="{00000000-0005-0000-0000-000040450000}"/>
    <cellStyle name="Normal 7 3 2 3 5" xfId="7405" xr:uid="{00000000-0005-0000-0000-000041450000}"/>
    <cellStyle name="Normal 7 3 2 3 5 2" xfId="13516" xr:uid="{00000000-0005-0000-0000-000042450000}"/>
    <cellStyle name="Normal 7 3 2 3 5 3" xfId="19766" xr:uid="{00000000-0005-0000-0000-000043450000}"/>
    <cellStyle name="Normal 7 3 2 3 6" xfId="13505" xr:uid="{00000000-0005-0000-0000-000044450000}"/>
    <cellStyle name="Normal 7 3 2 3 7" xfId="19755" xr:uid="{00000000-0005-0000-0000-000045450000}"/>
    <cellStyle name="Normal 7 3 2 4" xfId="7406" xr:uid="{00000000-0005-0000-0000-000046450000}"/>
    <cellStyle name="Normal 7 3 2 4 2" xfId="7407" xr:uid="{00000000-0005-0000-0000-000047450000}"/>
    <cellStyle name="Normal 7 3 2 4 2 2" xfId="7408" xr:uid="{00000000-0005-0000-0000-000048450000}"/>
    <cellStyle name="Normal 7 3 2 4 2 2 2" xfId="13519" xr:uid="{00000000-0005-0000-0000-000049450000}"/>
    <cellStyle name="Normal 7 3 2 4 2 2 3" xfId="19769" xr:uid="{00000000-0005-0000-0000-00004A450000}"/>
    <cellStyle name="Normal 7 3 2 4 2 3" xfId="13518" xr:uid="{00000000-0005-0000-0000-00004B450000}"/>
    <cellStyle name="Normal 7 3 2 4 2 4" xfId="19768" xr:uid="{00000000-0005-0000-0000-00004C450000}"/>
    <cellStyle name="Normal 7 3 2 4 3" xfId="7409" xr:uid="{00000000-0005-0000-0000-00004D450000}"/>
    <cellStyle name="Normal 7 3 2 4 3 2" xfId="7410" xr:uid="{00000000-0005-0000-0000-00004E450000}"/>
    <cellStyle name="Normal 7 3 2 4 3 2 2" xfId="13521" xr:uid="{00000000-0005-0000-0000-00004F450000}"/>
    <cellStyle name="Normal 7 3 2 4 3 2 3" xfId="19771" xr:uid="{00000000-0005-0000-0000-000050450000}"/>
    <cellStyle name="Normal 7 3 2 4 3 3" xfId="13520" xr:uid="{00000000-0005-0000-0000-000051450000}"/>
    <cellStyle name="Normal 7 3 2 4 3 4" xfId="19770" xr:uid="{00000000-0005-0000-0000-000052450000}"/>
    <cellStyle name="Normal 7 3 2 4 4" xfId="7411" xr:uid="{00000000-0005-0000-0000-000053450000}"/>
    <cellStyle name="Normal 7 3 2 4 4 2" xfId="13522" xr:uid="{00000000-0005-0000-0000-000054450000}"/>
    <cellStyle name="Normal 7 3 2 4 4 3" xfId="19772" xr:uid="{00000000-0005-0000-0000-000055450000}"/>
    <cellStyle name="Normal 7 3 2 4 5" xfId="13517" xr:uid="{00000000-0005-0000-0000-000056450000}"/>
    <cellStyle name="Normal 7 3 2 4 6" xfId="19767" xr:uid="{00000000-0005-0000-0000-000057450000}"/>
    <cellStyle name="Normal 7 3 2 5" xfId="7412" xr:uid="{00000000-0005-0000-0000-000058450000}"/>
    <cellStyle name="Normal 7 3 2 5 2" xfId="7413" xr:uid="{00000000-0005-0000-0000-000059450000}"/>
    <cellStyle name="Normal 7 3 2 5 2 2" xfId="13524" xr:uid="{00000000-0005-0000-0000-00005A450000}"/>
    <cellStyle name="Normal 7 3 2 5 2 3" xfId="19774" xr:uid="{00000000-0005-0000-0000-00005B450000}"/>
    <cellStyle name="Normal 7 3 2 5 3" xfId="13523" xr:uid="{00000000-0005-0000-0000-00005C450000}"/>
    <cellStyle name="Normal 7 3 2 5 4" xfId="19773" xr:uid="{00000000-0005-0000-0000-00005D450000}"/>
    <cellStyle name="Normal 7 3 2 6" xfId="7414" xr:uid="{00000000-0005-0000-0000-00005E450000}"/>
    <cellStyle name="Normal 7 3 2 6 2" xfId="7415" xr:uid="{00000000-0005-0000-0000-00005F450000}"/>
    <cellStyle name="Normal 7 3 2 6 2 2" xfId="13526" xr:uid="{00000000-0005-0000-0000-000060450000}"/>
    <cellStyle name="Normal 7 3 2 6 2 3" xfId="19776" xr:uid="{00000000-0005-0000-0000-000061450000}"/>
    <cellStyle name="Normal 7 3 2 6 3" xfId="13525" xr:uid="{00000000-0005-0000-0000-000062450000}"/>
    <cellStyle name="Normal 7 3 2 6 4" xfId="19775" xr:uid="{00000000-0005-0000-0000-000063450000}"/>
    <cellStyle name="Normal 7 3 2 7" xfId="7416" xr:uid="{00000000-0005-0000-0000-000064450000}"/>
    <cellStyle name="Normal 7 3 2 7 2" xfId="13527" xr:uid="{00000000-0005-0000-0000-000065450000}"/>
    <cellStyle name="Normal 7 3 2 7 3" xfId="19777" xr:uid="{00000000-0005-0000-0000-000066450000}"/>
    <cellStyle name="Normal 7 3 2 8" xfId="13480" xr:uid="{00000000-0005-0000-0000-000067450000}"/>
    <cellStyle name="Normal 7 3 2 9" xfId="19730" xr:uid="{00000000-0005-0000-0000-000068450000}"/>
    <cellStyle name="Normal 7 3 3" xfId="7417" xr:uid="{00000000-0005-0000-0000-000069450000}"/>
    <cellStyle name="Normal 7 3 3 2" xfId="7418" xr:uid="{00000000-0005-0000-0000-00006A450000}"/>
    <cellStyle name="Normal 7 3 3 2 2" xfId="7419" xr:uid="{00000000-0005-0000-0000-00006B450000}"/>
    <cellStyle name="Normal 7 3 3 2 2 2" xfId="7420" xr:uid="{00000000-0005-0000-0000-00006C450000}"/>
    <cellStyle name="Normal 7 3 3 2 2 2 2" xfId="7421" xr:uid="{00000000-0005-0000-0000-00006D450000}"/>
    <cellStyle name="Normal 7 3 3 2 2 2 2 2" xfId="13532" xr:uid="{00000000-0005-0000-0000-00006E450000}"/>
    <cellStyle name="Normal 7 3 3 2 2 2 2 3" xfId="19782" xr:uid="{00000000-0005-0000-0000-00006F450000}"/>
    <cellStyle name="Normal 7 3 3 2 2 2 3" xfId="13531" xr:uid="{00000000-0005-0000-0000-000070450000}"/>
    <cellStyle name="Normal 7 3 3 2 2 2 4" xfId="19781" xr:uid="{00000000-0005-0000-0000-000071450000}"/>
    <cellStyle name="Normal 7 3 3 2 2 3" xfId="7422" xr:uid="{00000000-0005-0000-0000-000072450000}"/>
    <cellStyle name="Normal 7 3 3 2 2 3 2" xfId="7423" xr:uid="{00000000-0005-0000-0000-000073450000}"/>
    <cellStyle name="Normal 7 3 3 2 2 3 2 2" xfId="13534" xr:uid="{00000000-0005-0000-0000-000074450000}"/>
    <cellStyle name="Normal 7 3 3 2 2 3 2 3" xfId="19784" xr:uid="{00000000-0005-0000-0000-000075450000}"/>
    <cellStyle name="Normal 7 3 3 2 2 3 3" xfId="13533" xr:uid="{00000000-0005-0000-0000-000076450000}"/>
    <cellStyle name="Normal 7 3 3 2 2 3 4" xfId="19783" xr:uid="{00000000-0005-0000-0000-000077450000}"/>
    <cellStyle name="Normal 7 3 3 2 2 4" xfId="7424" xr:uid="{00000000-0005-0000-0000-000078450000}"/>
    <cellStyle name="Normal 7 3 3 2 2 4 2" xfId="13535" xr:uid="{00000000-0005-0000-0000-000079450000}"/>
    <cellStyle name="Normal 7 3 3 2 2 4 3" xfId="19785" xr:uid="{00000000-0005-0000-0000-00007A450000}"/>
    <cellStyle name="Normal 7 3 3 2 2 5" xfId="13530" xr:uid="{00000000-0005-0000-0000-00007B450000}"/>
    <cellStyle name="Normal 7 3 3 2 2 6" xfId="19780" xr:uid="{00000000-0005-0000-0000-00007C450000}"/>
    <cellStyle name="Normal 7 3 3 2 3" xfId="7425" xr:uid="{00000000-0005-0000-0000-00007D450000}"/>
    <cellStyle name="Normal 7 3 3 2 3 2" xfId="7426" xr:uid="{00000000-0005-0000-0000-00007E450000}"/>
    <cellStyle name="Normal 7 3 3 2 3 2 2" xfId="13537" xr:uid="{00000000-0005-0000-0000-00007F450000}"/>
    <cellStyle name="Normal 7 3 3 2 3 2 3" xfId="19787" xr:uid="{00000000-0005-0000-0000-000080450000}"/>
    <cellStyle name="Normal 7 3 3 2 3 3" xfId="13536" xr:uid="{00000000-0005-0000-0000-000081450000}"/>
    <cellStyle name="Normal 7 3 3 2 3 4" xfId="19786" xr:uid="{00000000-0005-0000-0000-000082450000}"/>
    <cellStyle name="Normal 7 3 3 2 4" xfId="7427" xr:uid="{00000000-0005-0000-0000-000083450000}"/>
    <cellStyle name="Normal 7 3 3 2 4 2" xfId="7428" xr:uid="{00000000-0005-0000-0000-000084450000}"/>
    <cellStyle name="Normal 7 3 3 2 4 2 2" xfId="13539" xr:uid="{00000000-0005-0000-0000-000085450000}"/>
    <cellStyle name="Normal 7 3 3 2 4 2 3" xfId="19789" xr:uid="{00000000-0005-0000-0000-000086450000}"/>
    <cellStyle name="Normal 7 3 3 2 4 3" xfId="13538" xr:uid="{00000000-0005-0000-0000-000087450000}"/>
    <cellStyle name="Normal 7 3 3 2 4 4" xfId="19788" xr:uid="{00000000-0005-0000-0000-000088450000}"/>
    <cellStyle name="Normal 7 3 3 2 5" xfId="7429" xr:uid="{00000000-0005-0000-0000-000089450000}"/>
    <cellStyle name="Normal 7 3 3 2 5 2" xfId="13540" xr:uid="{00000000-0005-0000-0000-00008A450000}"/>
    <cellStyle name="Normal 7 3 3 2 5 3" xfId="19790" xr:uid="{00000000-0005-0000-0000-00008B450000}"/>
    <cellStyle name="Normal 7 3 3 2 6" xfId="13529" xr:uid="{00000000-0005-0000-0000-00008C450000}"/>
    <cellStyle name="Normal 7 3 3 2 7" xfId="19779" xr:uid="{00000000-0005-0000-0000-00008D450000}"/>
    <cellStyle name="Normal 7 3 3 3" xfId="7430" xr:uid="{00000000-0005-0000-0000-00008E450000}"/>
    <cellStyle name="Normal 7 3 3 3 2" xfId="7431" xr:uid="{00000000-0005-0000-0000-00008F450000}"/>
    <cellStyle name="Normal 7 3 3 3 2 2" xfId="7432" xr:uid="{00000000-0005-0000-0000-000090450000}"/>
    <cellStyle name="Normal 7 3 3 3 2 2 2" xfId="13543" xr:uid="{00000000-0005-0000-0000-000091450000}"/>
    <cellStyle name="Normal 7 3 3 3 2 2 3" xfId="19793" xr:uid="{00000000-0005-0000-0000-000092450000}"/>
    <cellStyle name="Normal 7 3 3 3 2 3" xfId="13542" xr:uid="{00000000-0005-0000-0000-000093450000}"/>
    <cellStyle name="Normal 7 3 3 3 2 4" xfId="19792" xr:uid="{00000000-0005-0000-0000-000094450000}"/>
    <cellStyle name="Normal 7 3 3 3 3" xfId="7433" xr:uid="{00000000-0005-0000-0000-000095450000}"/>
    <cellStyle name="Normal 7 3 3 3 3 2" xfId="7434" xr:uid="{00000000-0005-0000-0000-000096450000}"/>
    <cellStyle name="Normal 7 3 3 3 3 2 2" xfId="13545" xr:uid="{00000000-0005-0000-0000-000097450000}"/>
    <cellStyle name="Normal 7 3 3 3 3 2 3" xfId="19795" xr:uid="{00000000-0005-0000-0000-000098450000}"/>
    <cellStyle name="Normal 7 3 3 3 3 3" xfId="13544" xr:uid="{00000000-0005-0000-0000-000099450000}"/>
    <cellStyle name="Normal 7 3 3 3 3 4" xfId="19794" xr:uid="{00000000-0005-0000-0000-00009A450000}"/>
    <cellStyle name="Normal 7 3 3 3 4" xfId="7435" xr:uid="{00000000-0005-0000-0000-00009B450000}"/>
    <cellStyle name="Normal 7 3 3 3 4 2" xfId="13546" xr:uid="{00000000-0005-0000-0000-00009C450000}"/>
    <cellStyle name="Normal 7 3 3 3 4 3" xfId="19796" xr:uid="{00000000-0005-0000-0000-00009D450000}"/>
    <cellStyle name="Normal 7 3 3 3 5" xfId="13541" xr:uid="{00000000-0005-0000-0000-00009E450000}"/>
    <cellStyle name="Normal 7 3 3 3 6" xfId="19791" xr:uid="{00000000-0005-0000-0000-00009F450000}"/>
    <cellStyle name="Normal 7 3 3 4" xfId="7436" xr:uid="{00000000-0005-0000-0000-0000A0450000}"/>
    <cellStyle name="Normal 7 3 3 4 2" xfId="7437" xr:uid="{00000000-0005-0000-0000-0000A1450000}"/>
    <cellStyle name="Normal 7 3 3 4 2 2" xfId="13548" xr:uid="{00000000-0005-0000-0000-0000A2450000}"/>
    <cellStyle name="Normal 7 3 3 4 2 3" xfId="19798" xr:uid="{00000000-0005-0000-0000-0000A3450000}"/>
    <cellStyle name="Normal 7 3 3 4 3" xfId="13547" xr:uid="{00000000-0005-0000-0000-0000A4450000}"/>
    <cellStyle name="Normal 7 3 3 4 4" xfId="19797" xr:uid="{00000000-0005-0000-0000-0000A5450000}"/>
    <cellStyle name="Normal 7 3 3 5" xfId="7438" xr:uid="{00000000-0005-0000-0000-0000A6450000}"/>
    <cellStyle name="Normal 7 3 3 5 2" xfId="7439" xr:uid="{00000000-0005-0000-0000-0000A7450000}"/>
    <cellStyle name="Normal 7 3 3 5 2 2" xfId="13550" xr:uid="{00000000-0005-0000-0000-0000A8450000}"/>
    <cellStyle name="Normal 7 3 3 5 2 3" xfId="19800" xr:uid="{00000000-0005-0000-0000-0000A9450000}"/>
    <cellStyle name="Normal 7 3 3 5 3" xfId="13549" xr:uid="{00000000-0005-0000-0000-0000AA450000}"/>
    <cellStyle name="Normal 7 3 3 5 4" xfId="19799" xr:uid="{00000000-0005-0000-0000-0000AB450000}"/>
    <cellStyle name="Normal 7 3 3 6" xfId="7440" xr:uid="{00000000-0005-0000-0000-0000AC450000}"/>
    <cellStyle name="Normal 7 3 3 6 2" xfId="13551" xr:uid="{00000000-0005-0000-0000-0000AD450000}"/>
    <cellStyle name="Normal 7 3 3 6 3" xfId="19801" xr:uid="{00000000-0005-0000-0000-0000AE450000}"/>
    <cellStyle name="Normal 7 3 3 7" xfId="13528" xr:uid="{00000000-0005-0000-0000-0000AF450000}"/>
    <cellStyle name="Normal 7 3 3 8" xfId="19778" xr:uid="{00000000-0005-0000-0000-0000B0450000}"/>
    <cellStyle name="Normal 7 3 4" xfId="7441" xr:uid="{00000000-0005-0000-0000-0000B1450000}"/>
    <cellStyle name="Normal 7 3 4 2" xfId="7442" xr:uid="{00000000-0005-0000-0000-0000B2450000}"/>
    <cellStyle name="Normal 7 3 4 2 2" xfId="7443" xr:uid="{00000000-0005-0000-0000-0000B3450000}"/>
    <cellStyle name="Normal 7 3 4 2 2 2" xfId="7444" xr:uid="{00000000-0005-0000-0000-0000B4450000}"/>
    <cellStyle name="Normal 7 3 4 2 2 2 2" xfId="13555" xr:uid="{00000000-0005-0000-0000-0000B5450000}"/>
    <cellStyle name="Normal 7 3 4 2 2 2 3" xfId="19805" xr:uid="{00000000-0005-0000-0000-0000B6450000}"/>
    <cellStyle name="Normal 7 3 4 2 2 3" xfId="13554" xr:uid="{00000000-0005-0000-0000-0000B7450000}"/>
    <cellStyle name="Normal 7 3 4 2 2 4" xfId="19804" xr:uid="{00000000-0005-0000-0000-0000B8450000}"/>
    <cellStyle name="Normal 7 3 4 2 3" xfId="7445" xr:uid="{00000000-0005-0000-0000-0000B9450000}"/>
    <cellStyle name="Normal 7 3 4 2 3 2" xfId="7446" xr:uid="{00000000-0005-0000-0000-0000BA450000}"/>
    <cellStyle name="Normal 7 3 4 2 3 2 2" xfId="13557" xr:uid="{00000000-0005-0000-0000-0000BB450000}"/>
    <cellStyle name="Normal 7 3 4 2 3 2 3" xfId="19807" xr:uid="{00000000-0005-0000-0000-0000BC450000}"/>
    <cellStyle name="Normal 7 3 4 2 3 3" xfId="13556" xr:uid="{00000000-0005-0000-0000-0000BD450000}"/>
    <cellStyle name="Normal 7 3 4 2 3 4" xfId="19806" xr:uid="{00000000-0005-0000-0000-0000BE450000}"/>
    <cellStyle name="Normal 7 3 4 2 4" xfId="7447" xr:uid="{00000000-0005-0000-0000-0000BF450000}"/>
    <cellStyle name="Normal 7 3 4 2 4 2" xfId="13558" xr:uid="{00000000-0005-0000-0000-0000C0450000}"/>
    <cellStyle name="Normal 7 3 4 2 4 3" xfId="19808" xr:uid="{00000000-0005-0000-0000-0000C1450000}"/>
    <cellStyle name="Normal 7 3 4 2 5" xfId="13553" xr:uid="{00000000-0005-0000-0000-0000C2450000}"/>
    <cellStyle name="Normal 7 3 4 2 6" xfId="19803" xr:uid="{00000000-0005-0000-0000-0000C3450000}"/>
    <cellStyle name="Normal 7 3 4 3" xfId="7448" xr:uid="{00000000-0005-0000-0000-0000C4450000}"/>
    <cellStyle name="Normal 7 3 4 3 2" xfId="7449" xr:uid="{00000000-0005-0000-0000-0000C5450000}"/>
    <cellStyle name="Normal 7 3 4 3 2 2" xfId="13560" xr:uid="{00000000-0005-0000-0000-0000C6450000}"/>
    <cellStyle name="Normal 7 3 4 3 2 3" xfId="19810" xr:uid="{00000000-0005-0000-0000-0000C7450000}"/>
    <cellStyle name="Normal 7 3 4 3 3" xfId="13559" xr:uid="{00000000-0005-0000-0000-0000C8450000}"/>
    <cellStyle name="Normal 7 3 4 3 4" xfId="19809" xr:uid="{00000000-0005-0000-0000-0000C9450000}"/>
    <cellStyle name="Normal 7 3 4 4" xfId="7450" xr:uid="{00000000-0005-0000-0000-0000CA450000}"/>
    <cellStyle name="Normal 7 3 4 4 2" xfId="7451" xr:uid="{00000000-0005-0000-0000-0000CB450000}"/>
    <cellStyle name="Normal 7 3 4 4 2 2" xfId="13562" xr:uid="{00000000-0005-0000-0000-0000CC450000}"/>
    <cellStyle name="Normal 7 3 4 4 2 3" xfId="19812" xr:uid="{00000000-0005-0000-0000-0000CD450000}"/>
    <cellStyle name="Normal 7 3 4 4 3" xfId="13561" xr:uid="{00000000-0005-0000-0000-0000CE450000}"/>
    <cellStyle name="Normal 7 3 4 4 4" xfId="19811" xr:uid="{00000000-0005-0000-0000-0000CF450000}"/>
    <cellStyle name="Normal 7 3 4 5" xfId="7452" xr:uid="{00000000-0005-0000-0000-0000D0450000}"/>
    <cellStyle name="Normal 7 3 4 5 2" xfId="13563" xr:uid="{00000000-0005-0000-0000-0000D1450000}"/>
    <cellStyle name="Normal 7 3 4 5 3" xfId="19813" xr:uid="{00000000-0005-0000-0000-0000D2450000}"/>
    <cellStyle name="Normal 7 3 4 6" xfId="13552" xr:uid="{00000000-0005-0000-0000-0000D3450000}"/>
    <cellStyle name="Normal 7 3 4 7" xfId="19802" xr:uid="{00000000-0005-0000-0000-0000D4450000}"/>
    <cellStyle name="Normal 7 3 5" xfId="7453" xr:uid="{00000000-0005-0000-0000-0000D5450000}"/>
    <cellStyle name="Normal 7 3 5 2" xfId="7454" xr:uid="{00000000-0005-0000-0000-0000D6450000}"/>
    <cellStyle name="Normal 7 3 5 2 2" xfId="7455" xr:uid="{00000000-0005-0000-0000-0000D7450000}"/>
    <cellStyle name="Normal 7 3 5 2 2 2" xfId="13566" xr:uid="{00000000-0005-0000-0000-0000D8450000}"/>
    <cellStyle name="Normal 7 3 5 2 2 3" xfId="19816" xr:uid="{00000000-0005-0000-0000-0000D9450000}"/>
    <cellStyle name="Normal 7 3 5 2 3" xfId="13565" xr:uid="{00000000-0005-0000-0000-0000DA450000}"/>
    <cellStyle name="Normal 7 3 5 2 4" xfId="19815" xr:uid="{00000000-0005-0000-0000-0000DB450000}"/>
    <cellStyle name="Normal 7 3 5 3" xfId="7456" xr:uid="{00000000-0005-0000-0000-0000DC450000}"/>
    <cellStyle name="Normal 7 3 5 3 2" xfId="7457" xr:uid="{00000000-0005-0000-0000-0000DD450000}"/>
    <cellStyle name="Normal 7 3 5 3 2 2" xfId="13568" xr:uid="{00000000-0005-0000-0000-0000DE450000}"/>
    <cellStyle name="Normal 7 3 5 3 2 3" xfId="19818" xr:uid="{00000000-0005-0000-0000-0000DF450000}"/>
    <cellStyle name="Normal 7 3 5 3 3" xfId="13567" xr:uid="{00000000-0005-0000-0000-0000E0450000}"/>
    <cellStyle name="Normal 7 3 5 3 4" xfId="19817" xr:uid="{00000000-0005-0000-0000-0000E1450000}"/>
    <cellStyle name="Normal 7 3 5 4" xfId="7458" xr:uid="{00000000-0005-0000-0000-0000E2450000}"/>
    <cellStyle name="Normal 7 3 5 4 2" xfId="13569" xr:uid="{00000000-0005-0000-0000-0000E3450000}"/>
    <cellStyle name="Normal 7 3 5 4 3" xfId="19819" xr:uid="{00000000-0005-0000-0000-0000E4450000}"/>
    <cellStyle name="Normal 7 3 5 5" xfId="13564" xr:uid="{00000000-0005-0000-0000-0000E5450000}"/>
    <cellStyle name="Normal 7 3 5 6" xfId="19814" xr:uid="{00000000-0005-0000-0000-0000E6450000}"/>
    <cellStyle name="Normal 7 3 6" xfId="7459" xr:uid="{00000000-0005-0000-0000-0000E7450000}"/>
    <cellStyle name="Normal 7 3 6 2" xfId="7460" xr:uid="{00000000-0005-0000-0000-0000E8450000}"/>
    <cellStyle name="Normal 7 3 6 2 2" xfId="13571" xr:uid="{00000000-0005-0000-0000-0000E9450000}"/>
    <cellStyle name="Normal 7 3 6 2 3" xfId="19821" xr:uid="{00000000-0005-0000-0000-0000EA450000}"/>
    <cellStyle name="Normal 7 3 6 3" xfId="13570" xr:uid="{00000000-0005-0000-0000-0000EB450000}"/>
    <cellStyle name="Normal 7 3 6 4" xfId="19820" xr:uid="{00000000-0005-0000-0000-0000EC450000}"/>
    <cellStyle name="Normal 7 3 7" xfId="7461" xr:uid="{00000000-0005-0000-0000-0000ED450000}"/>
    <cellStyle name="Normal 7 3 7 2" xfId="7462" xr:uid="{00000000-0005-0000-0000-0000EE450000}"/>
    <cellStyle name="Normal 7 3 7 2 2" xfId="13573" xr:uid="{00000000-0005-0000-0000-0000EF450000}"/>
    <cellStyle name="Normal 7 3 7 2 3" xfId="19823" xr:uid="{00000000-0005-0000-0000-0000F0450000}"/>
    <cellStyle name="Normal 7 3 7 3" xfId="13572" xr:uid="{00000000-0005-0000-0000-0000F1450000}"/>
    <cellStyle name="Normal 7 3 7 4" xfId="19822" xr:uid="{00000000-0005-0000-0000-0000F2450000}"/>
    <cellStyle name="Normal 7 3 8" xfId="7463" xr:uid="{00000000-0005-0000-0000-0000F3450000}"/>
    <cellStyle name="Normal 7 3 8 2" xfId="13574" xr:uid="{00000000-0005-0000-0000-0000F4450000}"/>
    <cellStyle name="Normal 7 3 8 3" xfId="19824" xr:uid="{00000000-0005-0000-0000-0000F5450000}"/>
    <cellStyle name="Normal 7 3 9" xfId="7464" xr:uid="{00000000-0005-0000-0000-0000F6450000}"/>
    <cellStyle name="Normal 7 3 9 2" xfId="13575" xr:uid="{00000000-0005-0000-0000-0000F7450000}"/>
    <cellStyle name="Normal 7 3 9 3" xfId="19825" xr:uid="{00000000-0005-0000-0000-0000F8450000}"/>
    <cellStyle name="Normal 7 4" xfId="7465" xr:uid="{00000000-0005-0000-0000-0000F9450000}"/>
    <cellStyle name="Normal 7 4 2" xfId="7466" xr:uid="{00000000-0005-0000-0000-0000FA450000}"/>
    <cellStyle name="Normal 7 4 2 2" xfId="7467" xr:uid="{00000000-0005-0000-0000-0000FB450000}"/>
    <cellStyle name="Normal 7 4 2 2 2" xfId="7468" xr:uid="{00000000-0005-0000-0000-0000FC450000}"/>
    <cellStyle name="Normal 7 4 2 2 2 2" xfId="7469" xr:uid="{00000000-0005-0000-0000-0000FD450000}"/>
    <cellStyle name="Normal 7 4 2 2 2 2 2" xfId="7470" xr:uid="{00000000-0005-0000-0000-0000FE450000}"/>
    <cellStyle name="Normal 7 4 2 2 2 2 2 2" xfId="13581" xr:uid="{00000000-0005-0000-0000-0000FF450000}"/>
    <cellStyle name="Normal 7 4 2 2 2 2 2 3" xfId="19831" xr:uid="{00000000-0005-0000-0000-000000460000}"/>
    <cellStyle name="Normal 7 4 2 2 2 2 3" xfId="13580" xr:uid="{00000000-0005-0000-0000-000001460000}"/>
    <cellStyle name="Normal 7 4 2 2 2 2 4" xfId="19830" xr:uid="{00000000-0005-0000-0000-000002460000}"/>
    <cellStyle name="Normal 7 4 2 2 2 3" xfId="7471" xr:uid="{00000000-0005-0000-0000-000003460000}"/>
    <cellStyle name="Normal 7 4 2 2 2 3 2" xfId="7472" xr:uid="{00000000-0005-0000-0000-000004460000}"/>
    <cellStyle name="Normal 7 4 2 2 2 3 2 2" xfId="13583" xr:uid="{00000000-0005-0000-0000-000005460000}"/>
    <cellStyle name="Normal 7 4 2 2 2 3 2 3" xfId="19833" xr:uid="{00000000-0005-0000-0000-000006460000}"/>
    <cellStyle name="Normal 7 4 2 2 2 3 3" xfId="13582" xr:uid="{00000000-0005-0000-0000-000007460000}"/>
    <cellStyle name="Normal 7 4 2 2 2 3 4" xfId="19832" xr:uid="{00000000-0005-0000-0000-000008460000}"/>
    <cellStyle name="Normal 7 4 2 2 2 4" xfId="7473" xr:uid="{00000000-0005-0000-0000-000009460000}"/>
    <cellStyle name="Normal 7 4 2 2 2 4 2" xfId="13584" xr:uid="{00000000-0005-0000-0000-00000A460000}"/>
    <cellStyle name="Normal 7 4 2 2 2 4 3" xfId="19834" xr:uid="{00000000-0005-0000-0000-00000B460000}"/>
    <cellStyle name="Normal 7 4 2 2 2 5" xfId="13579" xr:uid="{00000000-0005-0000-0000-00000C460000}"/>
    <cellStyle name="Normal 7 4 2 2 2 6" xfId="19829" xr:uid="{00000000-0005-0000-0000-00000D460000}"/>
    <cellStyle name="Normal 7 4 2 2 3" xfId="7474" xr:uid="{00000000-0005-0000-0000-00000E460000}"/>
    <cellStyle name="Normal 7 4 2 2 3 2" xfId="7475" xr:uid="{00000000-0005-0000-0000-00000F460000}"/>
    <cellStyle name="Normal 7 4 2 2 3 2 2" xfId="13586" xr:uid="{00000000-0005-0000-0000-000010460000}"/>
    <cellStyle name="Normal 7 4 2 2 3 2 3" xfId="19836" xr:uid="{00000000-0005-0000-0000-000011460000}"/>
    <cellStyle name="Normal 7 4 2 2 3 3" xfId="13585" xr:uid="{00000000-0005-0000-0000-000012460000}"/>
    <cellStyle name="Normal 7 4 2 2 3 4" xfId="19835" xr:uid="{00000000-0005-0000-0000-000013460000}"/>
    <cellStyle name="Normal 7 4 2 2 4" xfId="7476" xr:uid="{00000000-0005-0000-0000-000014460000}"/>
    <cellStyle name="Normal 7 4 2 2 4 2" xfId="7477" xr:uid="{00000000-0005-0000-0000-000015460000}"/>
    <cellStyle name="Normal 7 4 2 2 4 2 2" xfId="13588" xr:uid="{00000000-0005-0000-0000-000016460000}"/>
    <cellStyle name="Normal 7 4 2 2 4 2 3" xfId="19838" xr:uid="{00000000-0005-0000-0000-000017460000}"/>
    <cellStyle name="Normal 7 4 2 2 4 3" xfId="13587" xr:uid="{00000000-0005-0000-0000-000018460000}"/>
    <cellStyle name="Normal 7 4 2 2 4 4" xfId="19837" xr:uid="{00000000-0005-0000-0000-000019460000}"/>
    <cellStyle name="Normal 7 4 2 2 5" xfId="7478" xr:uid="{00000000-0005-0000-0000-00001A460000}"/>
    <cellStyle name="Normal 7 4 2 2 5 2" xfId="13589" xr:uid="{00000000-0005-0000-0000-00001B460000}"/>
    <cellStyle name="Normal 7 4 2 2 5 3" xfId="19839" xr:uid="{00000000-0005-0000-0000-00001C460000}"/>
    <cellStyle name="Normal 7 4 2 2 6" xfId="13578" xr:uid="{00000000-0005-0000-0000-00001D460000}"/>
    <cellStyle name="Normal 7 4 2 2 7" xfId="19828" xr:uid="{00000000-0005-0000-0000-00001E460000}"/>
    <cellStyle name="Normal 7 4 2 3" xfId="7479" xr:uid="{00000000-0005-0000-0000-00001F460000}"/>
    <cellStyle name="Normal 7 4 2 3 2" xfId="7480" xr:uid="{00000000-0005-0000-0000-000020460000}"/>
    <cellStyle name="Normal 7 4 2 3 2 2" xfId="7481" xr:uid="{00000000-0005-0000-0000-000021460000}"/>
    <cellStyle name="Normal 7 4 2 3 2 2 2" xfId="13592" xr:uid="{00000000-0005-0000-0000-000022460000}"/>
    <cellStyle name="Normal 7 4 2 3 2 2 3" xfId="19842" xr:uid="{00000000-0005-0000-0000-000023460000}"/>
    <cellStyle name="Normal 7 4 2 3 2 3" xfId="13591" xr:uid="{00000000-0005-0000-0000-000024460000}"/>
    <cellStyle name="Normal 7 4 2 3 2 4" xfId="19841" xr:uid="{00000000-0005-0000-0000-000025460000}"/>
    <cellStyle name="Normal 7 4 2 3 3" xfId="7482" xr:uid="{00000000-0005-0000-0000-000026460000}"/>
    <cellStyle name="Normal 7 4 2 3 3 2" xfId="7483" xr:uid="{00000000-0005-0000-0000-000027460000}"/>
    <cellStyle name="Normal 7 4 2 3 3 2 2" xfId="13594" xr:uid="{00000000-0005-0000-0000-000028460000}"/>
    <cellStyle name="Normal 7 4 2 3 3 2 3" xfId="19844" xr:uid="{00000000-0005-0000-0000-000029460000}"/>
    <cellStyle name="Normal 7 4 2 3 3 3" xfId="13593" xr:uid="{00000000-0005-0000-0000-00002A460000}"/>
    <cellStyle name="Normal 7 4 2 3 3 4" xfId="19843" xr:uid="{00000000-0005-0000-0000-00002B460000}"/>
    <cellStyle name="Normal 7 4 2 3 4" xfId="7484" xr:uid="{00000000-0005-0000-0000-00002C460000}"/>
    <cellStyle name="Normal 7 4 2 3 4 2" xfId="13595" xr:uid="{00000000-0005-0000-0000-00002D460000}"/>
    <cellStyle name="Normal 7 4 2 3 4 3" xfId="19845" xr:uid="{00000000-0005-0000-0000-00002E460000}"/>
    <cellStyle name="Normal 7 4 2 3 5" xfId="13590" xr:uid="{00000000-0005-0000-0000-00002F460000}"/>
    <cellStyle name="Normal 7 4 2 3 6" xfId="19840" xr:uid="{00000000-0005-0000-0000-000030460000}"/>
    <cellStyle name="Normal 7 4 2 4" xfId="7485" xr:uid="{00000000-0005-0000-0000-000031460000}"/>
    <cellStyle name="Normal 7 4 2 4 2" xfId="7486" xr:uid="{00000000-0005-0000-0000-000032460000}"/>
    <cellStyle name="Normal 7 4 2 4 2 2" xfId="13597" xr:uid="{00000000-0005-0000-0000-000033460000}"/>
    <cellStyle name="Normal 7 4 2 4 2 3" xfId="19847" xr:uid="{00000000-0005-0000-0000-000034460000}"/>
    <cellStyle name="Normal 7 4 2 4 3" xfId="13596" xr:uid="{00000000-0005-0000-0000-000035460000}"/>
    <cellStyle name="Normal 7 4 2 4 4" xfId="19846" xr:uid="{00000000-0005-0000-0000-000036460000}"/>
    <cellStyle name="Normal 7 4 2 5" xfId="7487" xr:uid="{00000000-0005-0000-0000-000037460000}"/>
    <cellStyle name="Normal 7 4 2 5 2" xfId="7488" xr:uid="{00000000-0005-0000-0000-000038460000}"/>
    <cellStyle name="Normal 7 4 2 5 2 2" xfId="13599" xr:uid="{00000000-0005-0000-0000-000039460000}"/>
    <cellStyle name="Normal 7 4 2 5 2 3" xfId="19849" xr:uid="{00000000-0005-0000-0000-00003A460000}"/>
    <cellStyle name="Normal 7 4 2 5 3" xfId="13598" xr:uid="{00000000-0005-0000-0000-00003B460000}"/>
    <cellStyle name="Normal 7 4 2 5 4" xfId="19848" xr:uid="{00000000-0005-0000-0000-00003C460000}"/>
    <cellStyle name="Normal 7 4 2 6" xfId="7489" xr:uid="{00000000-0005-0000-0000-00003D460000}"/>
    <cellStyle name="Normal 7 4 2 6 2" xfId="13600" xr:uid="{00000000-0005-0000-0000-00003E460000}"/>
    <cellStyle name="Normal 7 4 2 6 3" xfId="19850" xr:uid="{00000000-0005-0000-0000-00003F460000}"/>
    <cellStyle name="Normal 7 4 2 7" xfId="13577" xr:uid="{00000000-0005-0000-0000-000040460000}"/>
    <cellStyle name="Normal 7 4 2 8" xfId="19827" xr:uid="{00000000-0005-0000-0000-000041460000}"/>
    <cellStyle name="Normal 7 4 3" xfId="7490" xr:uid="{00000000-0005-0000-0000-000042460000}"/>
    <cellStyle name="Normal 7 4 3 2" xfId="7491" xr:uid="{00000000-0005-0000-0000-000043460000}"/>
    <cellStyle name="Normal 7 4 3 2 2" xfId="7492" xr:uid="{00000000-0005-0000-0000-000044460000}"/>
    <cellStyle name="Normal 7 4 3 2 2 2" xfId="7493" xr:uid="{00000000-0005-0000-0000-000045460000}"/>
    <cellStyle name="Normal 7 4 3 2 2 2 2" xfId="13604" xr:uid="{00000000-0005-0000-0000-000046460000}"/>
    <cellStyle name="Normal 7 4 3 2 2 2 3" xfId="19854" xr:uid="{00000000-0005-0000-0000-000047460000}"/>
    <cellStyle name="Normal 7 4 3 2 2 3" xfId="13603" xr:uid="{00000000-0005-0000-0000-000048460000}"/>
    <cellStyle name="Normal 7 4 3 2 2 4" xfId="19853" xr:uid="{00000000-0005-0000-0000-000049460000}"/>
    <cellStyle name="Normal 7 4 3 2 3" xfId="7494" xr:uid="{00000000-0005-0000-0000-00004A460000}"/>
    <cellStyle name="Normal 7 4 3 2 3 2" xfId="7495" xr:uid="{00000000-0005-0000-0000-00004B460000}"/>
    <cellStyle name="Normal 7 4 3 2 3 2 2" xfId="13606" xr:uid="{00000000-0005-0000-0000-00004C460000}"/>
    <cellStyle name="Normal 7 4 3 2 3 2 3" xfId="19856" xr:uid="{00000000-0005-0000-0000-00004D460000}"/>
    <cellStyle name="Normal 7 4 3 2 3 3" xfId="13605" xr:uid="{00000000-0005-0000-0000-00004E460000}"/>
    <cellStyle name="Normal 7 4 3 2 3 4" xfId="19855" xr:uid="{00000000-0005-0000-0000-00004F460000}"/>
    <cellStyle name="Normal 7 4 3 2 4" xfId="7496" xr:uid="{00000000-0005-0000-0000-000050460000}"/>
    <cellStyle name="Normal 7 4 3 2 4 2" xfId="13607" xr:uid="{00000000-0005-0000-0000-000051460000}"/>
    <cellStyle name="Normal 7 4 3 2 4 3" xfId="19857" xr:uid="{00000000-0005-0000-0000-000052460000}"/>
    <cellStyle name="Normal 7 4 3 2 5" xfId="13602" xr:uid="{00000000-0005-0000-0000-000053460000}"/>
    <cellStyle name="Normal 7 4 3 2 6" xfId="19852" xr:uid="{00000000-0005-0000-0000-000054460000}"/>
    <cellStyle name="Normal 7 4 3 3" xfId="7497" xr:uid="{00000000-0005-0000-0000-000055460000}"/>
    <cellStyle name="Normal 7 4 3 3 2" xfId="7498" xr:uid="{00000000-0005-0000-0000-000056460000}"/>
    <cellStyle name="Normal 7 4 3 3 2 2" xfId="13609" xr:uid="{00000000-0005-0000-0000-000057460000}"/>
    <cellStyle name="Normal 7 4 3 3 2 3" xfId="19859" xr:uid="{00000000-0005-0000-0000-000058460000}"/>
    <cellStyle name="Normal 7 4 3 3 3" xfId="13608" xr:uid="{00000000-0005-0000-0000-000059460000}"/>
    <cellStyle name="Normal 7 4 3 3 4" xfId="19858" xr:uid="{00000000-0005-0000-0000-00005A460000}"/>
    <cellStyle name="Normal 7 4 3 4" xfId="7499" xr:uid="{00000000-0005-0000-0000-00005B460000}"/>
    <cellStyle name="Normal 7 4 3 4 2" xfId="7500" xr:uid="{00000000-0005-0000-0000-00005C460000}"/>
    <cellStyle name="Normal 7 4 3 4 2 2" xfId="13611" xr:uid="{00000000-0005-0000-0000-00005D460000}"/>
    <cellStyle name="Normal 7 4 3 4 2 3" xfId="19861" xr:uid="{00000000-0005-0000-0000-00005E460000}"/>
    <cellStyle name="Normal 7 4 3 4 3" xfId="13610" xr:uid="{00000000-0005-0000-0000-00005F460000}"/>
    <cellStyle name="Normal 7 4 3 4 4" xfId="19860" xr:uid="{00000000-0005-0000-0000-000060460000}"/>
    <cellStyle name="Normal 7 4 3 5" xfId="7501" xr:uid="{00000000-0005-0000-0000-000061460000}"/>
    <cellStyle name="Normal 7 4 3 5 2" xfId="13612" xr:uid="{00000000-0005-0000-0000-000062460000}"/>
    <cellStyle name="Normal 7 4 3 5 3" xfId="19862" xr:uid="{00000000-0005-0000-0000-000063460000}"/>
    <cellStyle name="Normal 7 4 3 6" xfId="13601" xr:uid="{00000000-0005-0000-0000-000064460000}"/>
    <cellStyle name="Normal 7 4 3 7" xfId="19851" xr:uid="{00000000-0005-0000-0000-000065460000}"/>
    <cellStyle name="Normal 7 4 4" xfId="7502" xr:uid="{00000000-0005-0000-0000-000066460000}"/>
    <cellStyle name="Normal 7 4 4 2" xfId="7503" xr:uid="{00000000-0005-0000-0000-000067460000}"/>
    <cellStyle name="Normal 7 4 4 2 2" xfId="7504" xr:uid="{00000000-0005-0000-0000-000068460000}"/>
    <cellStyle name="Normal 7 4 4 2 2 2" xfId="13615" xr:uid="{00000000-0005-0000-0000-000069460000}"/>
    <cellStyle name="Normal 7 4 4 2 2 3" xfId="19865" xr:uid="{00000000-0005-0000-0000-00006A460000}"/>
    <cellStyle name="Normal 7 4 4 2 3" xfId="13614" xr:uid="{00000000-0005-0000-0000-00006B460000}"/>
    <cellStyle name="Normal 7 4 4 2 4" xfId="19864" xr:uid="{00000000-0005-0000-0000-00006C460000}"/>
    <cellStyle name="Normal 7 4 4 3" xfId="7505" xr:uid="{00000000-0005-0000-0000-00006D460000}"/>
    <cellStyle name="Normal 7 4 4 3 2" xfId="7506" xr:uid="{00000000-0005-0000-0000-00006E460000}"/>
    <cellStyle name="Normal 7 4 4 3 2 2" xfId="13617" xr:uid="{00000000-0005-0000-0000-00006F460000}"/>
    <cellStyle name="Normal 7 4 4 3 2 3" xfId="19867" xr:uid="{00000000-0005-0000-0000-000070460000}"/>
    <cellStyle name="Normal 7 4 4 3 3" xfId="13616" xr:uid="{00000000-0005-0000-0000-000071460000}"/>
    <cellStyle name="Normal 7 4 4 3 4" xfId="19866" xr:uid="{00000000-0005-0000-0000-000072460000}"/>
    <cellStyle name="Normal 7 4 4 4" xfId="7507" xr:uid="{00000000-0005-0000-0000-000073460000}"/>
    <cellStyle name="Normal 7 4 4 4 2" xfId="13618" xr:uid="{00000000-0005-0000-0000-000074460000}"/>
    <cellStyle name="Normal 7 4 4 4 3" xfId="19868" xr:uid="{00000000-0005-0000-0000-000075460000}"/>
    <cellStyle name="Normal 7 4 4 5" xfId="13613" xr:uid="{00000000-0005-0000-0000-000076460000}"/>
    <cellStyle name="Normal 7 4 4 6" xfId="19863" xr:uid="{00000000-0005-0000-0000-000077460000}"/>
    <cellStyle name="Normal 7 4 5" xfId="7508" xr:uid="{00000000-0005-0000-0000-000078460000}"/>
    <cellStyle name="Normal 7 4 5 2" xfId="7509" xr:uid="{00000000-0005-0000-0000-000079460000}"/>
    <cellStyle name="Normal 7 4 5 2 2" xfId="13620" xr:uid="{00000000-0005-0000-0000-00007A460000}"/>
    <cellStyle name="Normal 7 4 5 2 3" xfId="19870" xr:uid="{00000000-0005-0000-0000-00007B460000}"/>
    <cellStyle name="Normal 7 4 5 3" xfId="13619" xr:uid="{00000000-0005-0000-0000-00007C460000}"/>
    <cellStyle name="Normal 7 4 5 4" xfId="19869" xr:uid="{00000000-0005-0000-0000-00007D460000}"/>
    <cellStyle name="Normal 7 4 6" xfId="7510" xr:uid="{00000000-0005-0000-0000-00007E460000}"/>
    <cellStyle name="Normal 7 4 6 2" xfId="7511" xr:uid="{00000000-0005-0000-0000-00007F460000}"/>
    <cellStyle name="Normal 7 4 6 2 2" xfId="13622" xr:uid="{00000000-0005-0000-0000-000080460000}"/>
    <cellStyle name="Normal 7 4 6 2 3" xfId="19872" xr:uid="{00000000-0005-0000-0000-000081460000}"/>
    <cellStyle name="Normal 7 4 6 3" xfId="13621" xr:uid="{00000000-0005-0000-0000-000082460000}"/>
    <cellStyle name="Normal 7 4 6 4" xfId="19871" xr:uid="{00000000-0005-0000-0000-000083460000}"/>
    <cellStyle name="Normal 7 4 7" xfId="7512" xr:uid="{00000000-0005-0000-0000-000084460000}"/>
    <cellStyle name="Normal 7 4 7 2" xfId="13623" xr:uid="{00000000-0005-0000-0000-000085460000}"/>
    <cellStyle name="Normal 7 4 7 3" xfId="19873" xr:uid="{00000000-0005-0000-0000-000086460000}"/>
    <cellStyle name="Normal 7 4 8" xfId="13576" xr:uid="{00000000-0005-0000-0000-000087460000}"/>
    <cellStyle name="Normal 7 4 9" xfId="19826" xr:uid="{00000000-0005-0000-0000-000088460000}"/>
    <cellStyle name="Normal 7 5" xfId="7513" xr:uid="{00000000-0005-0000-0000-000089460000}"/>
    <cellStyle name="Normal 7 5 2" xfId="7514" xr:uid="{00000000-0005-0000-0000-00008A460000}"/>
    <cellStyle name="Normal 7 5 2 2" xfId="7515" xr:uid="{00000000-0005-0000-0000-00008B460000}"/>
    <cellStyle name="Normal 7 5 2 2 2" xfId="7516" xr:uid="{00000000-0005-0000-0000-00008C460000}"/>
    <cellStyle name="Normal 7 5 2 2 2 2" xfId="7517" xr:uid="{00000000-0005-0000-0000-00008D460000}"/>
    <cellStyle name="Normal 7 5 2 2 2 2 2" xfId="7518" xr:uid="{00000000-0005-0000-0000-00008E460000}"/>
    <cellStyle name="Normal 7 5 2 2 2 2 2 2" xfId="13629" xr:uid="{00000000-0005-0000-0000-00008F460000}"/>
    <cellStyle name="Normal 7 5 2 2 2 2 2 3" xfId="19879" xr:uid="{00000000-0005-0000-0000-000090460000}"/>
    <cellStyle name="Normal 7 5 2 2 2 2 3" xfId="13628" xr:uid="{00000000-0005-0000-0000-000091460000}"/>
    <cellStyle name="Normal 7 5 2 2 2 2 4" xfId="19878" xr:uid="{00000000-0005-0000-0000-000092460000}"/>
    <cellStyle name="Normal 7 5 2 2 2 3" xfId="7519" xr:uid="{00000000-0005-0000-0000-000093460000}"/>
    <cellStyle name="Normal 7 5 2 2 2 3 2" xfId="7520" xr:uid="{00000000-0005-0000-0000-000094460000}"/>
    <cellStyle name="Normal 7 5 2 2 2 3 2 2" xfId="13631" xr:uid="{00000000-0005-0000-0000-000095460000}"/>
    <cellStyle name="Normal 7 5 2 2 2 3 2 3" xfId="19881" xr:uid="{00000000-0005-0000-0000-000096460000}"/>
    <cellStyle name="Normal 7 5 2 2 2 3 3" xfId="13630" xr:uid="{00000000-0005-0000-0000-000097460000}"/>
    <cellStyle name="Normal 7 5 2 2 2 3 4" xfId="19880" xr:uid="{00000000-0005-0000-0000-000098460000}"/>
    <cellStyle name="Normal 7 5 2 2 2 4" xfId="7521" xr:uid="{00000000-0005-0000-0000-000099460000}"/>
    <cellStyle name="Normal 7 5 2 2 2 4 2" xfId="13632" xr:uid="{00000000-0005-0000-0000-00009A460000}"/>
    <cellStyle name="Normal 7 5 2 2 2 4 3" xfId="19882" xr:uid="{00000000-0005-0000-0000-00009B460000}"/>
    <cellStyle name="Normal 7 5 2 2 2 5" xfId="13627" xr:uid="{00000000-0005-0000-0000-00009C460000}"/>
    <cellStyle name="Normal 7 5 2 2 2 6" xfId="19877" xr:uid="{00000000-0005-0000-0000-00009D460000}"/>
    <cellStyle name="Normal 7 5 2 2 3" xfId="7522" xr:uid="{00000000-0005-0000-0000-00009E460000}"/>
    <cellStyle name="Normal 7 5 2 2 3 2" xfId="7523" xr:uid="{00000000-0005-0000-0000-00009F460000}"/>
    <cellStyle name="Normal 7 5 2 2 3 2 2" xfId="13634" xr:uid="{00000000-0005-0000-0000-0000A0460000}"/>
    <cellStyle name="Normal 7 5 2 2 3 2 3" xfId="19884" xr:uid="{00000000-0005-0000-0000-0000A1460000}"/>
    <cellStyle name="Normal 7 5 2 2 3 3" xfId="13633" xr:uid="{00000000-0005-0000-0000-0000A2460000}"/>
    <cellStyle name="Normal 7 5 2 2 3 4" xfId="19883" xr:uid="{00000000-0005-0000-0000-0000A3460000}"/>
    <cellStyle name="Normal 7 5 2 2 4" xfId="7524" xr:uid="{00000000-0005-0000-0000-0000A4460000}"/>
    <cellStyle name="Normal 7 5 2 2 4 2" xfId="7525" xr:uid="{00000000-0005-0000-0000-0000A5460000}"/>
    <cellStyle name="Normal 7 5 2 2 4 2 2" xfId="13636" xr:uid="{00000000-0005-0000-0000-0000A6460000}"/>
    <cellStyle name="Normal 7 5 2 2 4 2 3" xfId="19886" xr:uid="{00000000-0005-0000-0000-0000A7460000}"/>
    <cellStyle name="Normal 7 5 2 2 4 3" xfId="13635" xr:uid="{00000000-0005-0000-0000-0000A8460000}"/>
    <cellStyle name="Normal 7 5 2 2 4 4" xfId="19885" xr:uid="{00000000-0005-0000-0000-0000A9460000}"/>
    <cellStyle name="Normal 7 5 2 2 5" xfId="7526" xr:uid="{00000000-0005-0000-0000-0000AA460000}"/>
    <cellStyle name="Normal 7 5 2 2 5 2" xfId="13637" xr:uid="{00000000-0005-0000-0000-0000AB460000}"/>
    <cellStyle name="Normal 7 5 2 2 5 3" xfId="19887" xr:uid="{00000000-0005-0000-0000-0000AC460000}"/>
    <cellStyle name="Normal 7 5 2 2 6" xfId="13626" xr:uid="{00000000-0005-0000-0000-0000AD460000}"/>
    <cellStyle name="Normal 7 5 2 2 7" xfId="19876" xr:uid="{00000000-0005-0000-0000-0000AE460000}"/>
    <cellStyle name="Normal 7 5 2 3" xfId="7527" xr:uid="{00000000-0005-0000-0000-0000AF460000}"/>
    <cellStyle name="Normal 7 5 2 3 2" xfId="7528" xr:uid="{00000000-0005-0000-0000-0000B0460000}"/>
    <cellStyle name="Normal 7 5 2 3 2 2" xfId="7529" xr:uid="{00000000-0005-0000-0000-0000B1460000}"/>
    <cellStyle name="Normal 7 5 2 3 2 2 2" xfId="13640" xr:uid="{00000000-0005-0000-0000-0000B2460000}"/>
    <cellStyle name="Normal 7 5 2 3 2 2 3" xfId="19890" xr:uid="{00000000-0005-0000-0000-0000B3460000}"/>
    <cellStyle name="Normal 7 5 2 3 2 3" xfId="13639" xr:uid="{00000000-0005-0000-0000-0000B4460000}"/>
    <cellStyle name="Normal 7 5 2 3 2 4" xfId="19889" xr:uid="{00000000-0005-0000-0000-0000B5460000}"/>
    <cellStyle name="Normal 7 5 2 3 3" xfId="7530" xr:uid="{00000000-0005-0000-0000-0000B6460000}"/>
    <cellStyle name="Normal 7 5 2 3 3 2" xfId="7531" xr:uid="{00000000-0005-0000-0000-0000B7460000}"/>
    <cellStyle name="Normal 7 5 2 3 3 2 2" xfId="13642" xr:uid="{00000000-0005-0000-0000-0000B8460000}"/>
    <cellStyle name="Normal 7 5 2 3 3 2 3" xfId="19892" xr:uid="{00000000-0005-0000-0000-0000B9460000}"/>
    <cellStyle name="Normal 7 5 2 3 3 3" xfId="13641" xr:uid="{00000000-0005-0000-0000-0000BA460000}"/>
    <cellStyle name="Normal 7 5 2 3 3 4" xfId="19891" xr:uid="{00000000-0005-0000-0000-0000BB460000}"/>
    <cellStyle name="Normal 7 5 2 3 4" xfId="7532" xr:uid="{00000000-0005-0000-0000-0000BC460000}"/>
    <cellStyle name="Normal 7 5 2 3 4 2" xfId="13643" xr:uid="{00000000-0005-0000-0000-0000BD460000}"/>
    <cellStyle name="Normal 7 5 2 3 4 3" xfId="19893" xr:uid="{00000000-0005-0000-0000-0000BE460000}"/>
    <cellStyle name="Normal 7 5 2 3 5" xfId="13638" xr:uid="{00000000-0005-0000-0000-0000BF460000}"/>
    <cellStyle name="Normal 7 5 2 3 6" xfId="19888" xr:uid="{00000000-0005-0000-0000-0000C0460000}"/>
    <cellStyle name="Normal 7 5 2 4" xfId="7533" xr:uid="{00000000-0005-0000-0000-0000C1460000}"/>
    <cellStyle name="Normal 7 5 2 4 2" xfId="7534" xr:uid="{00000000-0005-0000-0000-0000C2460000}"/>
    <cellStyle name="Normal 7 5 2 4 2 2" xfId="13645" xr:uid="{00000000-0005-0000-0000-0000C3460000}"/>
    <cellStyle name="Normal 7 5 2 4 2 3" xfId="19895" xr:uid="{00000000-0005-0000-0000-0000C4460000}"/>
    <cellStyle name="Normal 7 5 2 4 3" xfId="13644" xr:uid="{00000000-0005-0000-0000-0000C5460000}"/>
    <cellStyle name="Normal 7 5 2 4 4" xfId="19894" xr:uid="{00000000-0005-0000-0000-0000C6460000}"/>
    <cellStyle name="Normal 7 5 2 5" xfId="7535" xr:uid="{00000000-0005-0000-0000-0000C7460000}"/>
    <cellStyle name="Normal 7 5 2 5 2" xfId="7536" xr:uid="{00000000-0005-0000-0000-0000C8460000}"/>
    <cellStyle name="Normal 7 5 2 5 2 2" xfId="13647" xr:uid="{00000000-0005-0000-0000-0000C9460000}"/>
    <cellStyle name="Normal 7 5 2 5 2 3" xfId="19897" xr:uid="{00000000-0005-0000-0000-0000CA460000}"/>
    <cellStyle name="Normal 7 5 2 5 3" xfId="13646" xr:uid="{00000000-0005-0000-0000-0000CB460000}"/>
    <cellStyle name="Normal 7 5 2 5 4" xfId="19896" xr:uid="{00000000-0005-0000-0000-0000CC460000}"/>
    <cellStyle name="Normal 7 5 2 6" xfId="7537" xr:uid="{00000000-0005-0000-0000-0000CD460000}"/>
    <cellStyle name="Normal 7 5 2 6 2" xfId="13648" xr:uid="{00000000-0005-0000-0000-0000CE460000}"/>
    <cellStyle name="Normal 7 5 2 6 3" xfId="19898" xr:uid="{00000000-0005-0000-0000-0000CF460000}"/>
    <cellStyle name="Normal 7 5 2 7" xfId="13625" xr:uid="{00000000-0005-0000-0000-0000D0460000}"/>
    <cellStyle name="Normal 7 5 2 8" xfId="19875" xr:uid="{00000000-0005-0000-0000-0000D1460000}"/>
    <cellStyle name="Normal 7 5 3" xfId="7538" xr:uid="{00000000-0005-0000-0000-0000D2460000}"/>
    <cellStyle name="Normal 7 5 3 2" xfId="7539" xr:uid="{00000000-0005-0000-0000-0000D3460000}"/>
    <cellStyle name="Normal 7 5 3 2 2" xfId="7540" xr:uid="{00000000-0005-0000-0000-0000D4460000}"/>
    <cellStyle name="Normal 7 5 3 2 2 2" xfId="7541" xr:uid="{00000000-0005-0000-0000-0000D5460000}"/>
    <cellStyle name="Normal 7 5 3 2 2 2 2" xfId="13652" xr:uid="{00000000-0005-0000-0000-0000D6460000}"/>
    <cellStyle name="Normal 7 5 3 2 2 2 3" xfId="19902" xr:uid="{00000000-0005-0000-0000-0000D7460000}"/>
    <cellStyle name="Normal 7 5 3 2 2 3" xfId="13651" xr:uid="{00000000-0005-0000-0000-0000D8460000}"/>
    <cellStyle name="Normal 7 5 3 2 2 4" xfId="19901" xr:uid="{00000000-0005-0000-0000-0000D9460000}"/>
    <cellStyle name="Normal 7 5 3 2 3" xfId="7542" xr:uid="{00000000-0005-0000-0000-0000DA460000}"/>
    <cellStyle name="Normal 7 5 3 2 3 2" xfId="7543" xr:uid="{00000000-0005-0000-0000-0000DB460000}"/>
    <cellStyle name="Normal 7 5 3 2 3 2 2" xfId="13654" xr:uid="{00000000-0005-0000-0000-0000DC460000}"/>
    <cellStyle name="Normal 7 5 3 2 3 2 3" xfId="19904" xr:uid="{00000000-0005-0000-0000-0000DD460000}"/>
    <cellStyle name="Normal 7 5 3 2 3 3" xfId="13653" xr:uid="{00000000-0005-0000-0000-0000DE460000}"/>
    <cellStyle name="Normal 7 5 3 2 3 4" xfId="19903" xr:uid="{00000000-0005-0000-0000-0000DF460000}"/>
    <cellStyle name="Normal 7 5 3 2 4" xfId="7544" xr:uid="{00000000-0005-0000-0000-0000E0460000}"/>
    <cellStyle name="Normal 7 5 3 2 4 2" xfId="13655" xr:uid="{00000000-0005-0000-0000-0000E1460000}"/>
    <cellStyle name="Normal 7 5 3 2 4 3" xfId="19905" xr:uid="{00000000-0005-0000-0000-0000E2460000}"/>
    <cellStyle name="Normal 7 5 3 2 5" xfId="13650" xr:uid="{00000000-0005-0000-0000-0000E3460000}"/>
    <cellStyle name="Normal 7 5 3 2 6" xfId="19900" xr:uid="{00000000-0005-0000-0000-0000E4460000}"/>
    <cellStyle name="Normal 7 5 3 3" xfId="7545" xr:uid="{00000000-0005-0000-0000-0000E5460000}"/>
    <cellStyle name="Normal 7 5 3 3 2" xfId="7546" xr:uid="{00000000-0005-0000-0000-0000E6460000}"/>
    <cellStyle name="Normal 7 5 3 3 2 2" xfId="13657" xr:uid="{00000000-0005-0000-0000-0000E7460000}"/>
    <cellStyle name="Normal 7 5 3 3 2 3" xfId="19907" xr:uid="{00000000-0005-0000-0000-0000E8460000}"/>
    <cellStyle name="Normal 7 5 3 3 3" xfId="13656" xr:uid="{00000000-0005-0000-0000-0000E9460000}"/>
    <cellStyle name="Normal 7 5 3 3 4" xfId="19906" xr:uid="{00000000-0005-0000-0000-0000EA460000}"/>
    <cellStyle name="Normal 7 5 3 4" xfId="7547" xr:uid="{00000000-0005-0000-0000-0000EB460000}"/>
    <cellStyle name="Normal 7 5 3 4 2" xfId="7548" xr:uid="{00000000-0005-0000-0000-0000EC460000}"/>
    <cellStyle name="Normal 7 5 3 4 2 2" xfId="13659" xr:uid="{00000000-0005-0000-0000-0000ED460000}"/>
    <cellStyle name="Normal 7 5 3 4 2 3" xfId="19909" xr:uid="{00000000-0005-0000-0000-0000EE460000}"/>
    <cellStyle name="Normal 7 5 3 4 3" xfId="13658" xr:uid="{00000000-0005-0000-0000-0000EF460000}"/>
    <cellStyle name="Normal 7 5 3 4 4" xfId="19908" xr:uid="{00000000-0005-0000-0000-0000F0460000}"/>
    <cellStyle name="Normal 7 5 3 5" xfId="7549" xr:uid="{00000000-0005-0000-0000-0000F1460000}"/>
    <cellStyle name="Normal 7 5 3 5 2" xfId="13660" xr:uid="{00000000-0005-0000-0000-0000F2460000}"/>
    <cellStyle name="Normal 7 5 3 5 3" xfId="19910" xr:uid="{00000000-0005-0000-0000-0000F3460000}"/>
    <cellStyle name="Normal 7 5 3 6" xfId="13649" xr:uid="{00000000-0005-0000-0000-0000F4460000}"/>
    <cellStyle name="Normal 7 5 3 7" xfId="19899" xr:uid="{00000000-0005-0000-0000-0000F5460000}"/>
    <cellStyle name="Normal 7 5 4" xfId="7550" xr:uid="{00000000-0005-0000-0000-0000F6460000}"/>
    <cellStyle name="Normal 7 5 4 2" xfId="7551" xr:uid="{00000000-0005-0000-0000-0000F7460000}"/>
    <cellStyle name="Normal 7 5 4 2 2" xfId="7552" xr:uid="{00000000-0005-0000-0000-0000F8460000}"/>
    <cellStyle name="Normal 7 5 4 2 2 2" xfId="13663" xr:uid="{00000000-0005-0000-0000-0000F9460000}"/>
    <cellStyle name="Normal 7 5 4 2 2 3" xfId="19913" xr:uid="{00000000-0005-0000-0000-0000FA460000}"/>
    <cellStyle name="Normal 7 5 4 2 3" xfId="13662" xr:uid="{00000000-0005-0000-0000-0000FB460000}"/>
    <cellStyle name="Normal 7 5 4 2 4" xfId="19912" xr:uid="{00000000-0005-0000-0000-0000FC460000}"/>
    <cellStyle name="Normal 7 5 4 3" xfId="7553" xr:uid="{00000000-0005-0000-0000-0000FD460000}"/>
    <cellStyle name="Normal 7 5 4 3 2" xfId="7554" xr:uid="{00000000-0005-0000-0000-0000FE460000}"/>
    <cellStyle name="Normal 7 5 4 3 2 2" xfId="13665" xr:uid="{00000000-0005-0000-0000-0000FF460000}"/>
    <cellStyle name="Normal 7 5 4 3 2 3" xfId="19915" xr:uid="{00000000-0005-0000-0000-000000470000}"/>
    <cellStyle name="Normal 7 5 4 3 3" xfId="13664" xr:uid="{00000000-0005-0000-0000-000001470000}"/>
    <cellStyle name="Normal 7 5 4 3 4" xfId="19914" xr:uid="{00000000-0005-0000-0000-000002470000}"/>
    <cellStyle name="Normal 7 5 4 4" xfId="7555" xr:uid="{00000000-0005-0000-0000-000003470000}"/>
    <cellStyle name="Normal 7 5 4 4 2" xfId="13666" xr:uid="{00000000-0005-0000-0000-000004470000}"/>
    <cellStyle name="Normal 7 5 4 4 3" xfId="19916" xr:uid="{00000000-0005-0000-0000-000005470000}"/>
    <cellStyle name="Normal 7 5 4 5" xfId="13661" xr:uid="{00000000-0005-0000-0000-000006470000}"/>
    <cellStyle name="Normal 7 5 4 6" xfId="19911" xr:uid="{00000000-0005-0000-0000-000007470000}"/>
    <cellStyle name="Normal 7 5 5" xfId="7556" xr:uid="{00000000-0005-0000-0000-000008470000}"/>
    <cellStyle name="Normal 7 5 5 2" xfId="7557" xr:uid="{00000000-0005-0000-0000-000009470000}"/>
    <cellStyle name="Normal 7 5 5 2 2" xfId="13668" xr:uid="{00000000-0005-0000-0000-00000A470000}"/>
    <cellStyle name="Normal 7 5 5 2 3" xfId="19918" xr:uid="{00000000-0005-0000-0000-00000B470000}"/>
    <cellStyle name="Normal 7 5 5 3" xfId="13667" xr:uid="{00000000-0005-0000-0000-00000C470000}"/>
    <cellStyle name="Normal 7 5 5 4" xfId="19917" xr:uid="{00000000-0005-0000-0000-00000D470000}"/>
    <cellStyle name="Normal 7 5 6" xfId="7558" xr:uid="{00000000-0005-0000-0000-00000E470000}"/>
    <cellStyle name="Normal 7 5 6 2" xfId="7559" xr:uid="{00000000-0005-0000-0000-00000F470000}"/>
    <cellStyle name="Normal 7 5 6 2 2" xfId="13670" xr:uid="{00000000-0005-0000-0000-000010470000}"/>
    <cellStyle name="Normal 7 5 6 2 3" xfId="19920" xr:uid="{00000000-0005-0000-0000-000011470000}"/>
    <cellStyle name="Normal 7 5 6 3" xfId="13669" xr:uid="{00000000-0005-0000-0000-000012470000}"/>
    <cellStyle name="Normal 7 5 6 4" xfId="19919" xr:uid="{00000000-0005-0000-0000-000013470000}"/>
    <cellStyle name="Normal 7 5 7" xfId="7560" xr:uid="{00000000-0005-0000-0000-000014470000}"/>
    <cellStyle name="Normal 7 5 7 2" xfId="13671" xr:uid="{00000000-0005-0000-0000-000015470000}"/>
    <cellStyle name="Normal 7 5 7 3" xfId="19921" xr:uid="{00000000-0005-0000-0000-000016470000}"/>
    <cellStyle name="Normal 7 5 8" xfId="13624" xr:uid="{00000000-0005-0000-0000-000017470000}"/>
    <cellStyle name="Normal 7 5 9" xfId="19874" xr:uid="{00000000-0005-0000-0000-000018470000}"/>
    <cellStyle name="Normal 7 6" xfId="7561" xr:uid="{00000000-0005-0000-0000-000019470000}"/>
    <cellStyle name="Normal 7 6 2" xfId="7562" xr:uid="{00000000-0005-0000-0000-00001A470000}"/>
    <cellStyle name="Normal 7 6 2 2" xfId="7563" xr:uid="{00000000-0005-0000-0000-00001B470000}"/>
    <cellStyle name="Normal 7 6 2 2 2" xfId="7564" xr:uid="{00000000-0005-0000-0000-00001C470000}"/>
    <cellStyle name="Normal 7 6 2 2 2 2" xfId="7565" xr:uid="{00000000-0005-0000-0000-00001D470000}"/>
    <cellStyle name="Normal 7 6 2 2 2 2 2" xfId="13676" xr:uid="{00000000-0005-0000-0000-00001E470000}"/>
    <cellStyle name="Normal 7 6 2 2 2 2 3" xfId="19926" xr:uid="{00000000-0005-0000-0000-00001F470000}"/>
    <cellStyle name="Normal 7 6 2 2 2 3" xfId="13675" xr:uid="{00000000-0005-0000-0000-000020470000}"/>
    <cellStyle name="Normal 7 6 2 2 2 4" xfId="19925" xr:uid="{00000000-0005-0000-0000-000021470000}"/>
    <cellStyle name="Normal 7 6 2 2 3" xfId="7566" xr:uid="{00000000-0005-0000-0000-000022470000}"/>
    <cellStyle name="Normal 7 6 2 2 3 2" xfId="7567" xr:uid="{00000000-0005-0000-0000-000023470000}"/>
    <cellStyle name="Normal 7 6 2 2 3 2 2" xfId="13678" xr:uid="{00000000-0005-0000-0000-000024470000}"/>
    <cellStyle name="Normal 7 6 2 2 3 2 3" xfId="19928" xr:uid="{00000000-0005-0000-0000-000025470000}"/>
    <cellStyle name="Normal 7 6 2 2 3 3" xfId="13677" xr:uid="{00000000-0005-0000-0000-000026470000}"/>
    <cellStyle name="Normal 7 6 2 2 3 4" xfId="19927" xr:uid="{00000000-0005-0000-0000-000027470000}"/>
    <cellStyle name="Normal 7 6 2 2 4" xfId="7568" xr:uid="{00000000-0005-0000-0000-000028470000}"/>
    <cellStyle name="Normal 7 6 2 2 4 2" xfId="13679" xr:uid="{00000000-0005-0000-0000-000029470000}"/>
    <cellStyle name="Normal 7 6 2 2 4 3" xfId="19929" xr:uid="{00000000-0005-0000-0000-00002A470000}"/>
    <cellStyle name="Normal 7 6 2 2 5" xfId="13674" xr:uid="{00000000-0005-0000-0000-00002B470000}"/>
    <cellStyle name="Normal 7 6 2 2 6" xfId="19924" xr:uid="{00000000-0005-0000-0000-00002C470000}"/>
    <cellStyle name="Normal 7 6 2 3" xfId="7569" xr:uid="{00000000-0005-0000-0000-00002D470000}"/>
    <cellStyle name="Normal 7 6 2 3 2" xfId="7570" xr:uid="{00000000-0005-0000-0000-00002E470000}"/>
    <cellStyle name="Normal 7 6 2 3 2 2" xfId="13681" xr:uid="{00000000-0005-0000-0000-00002F470000}"/>
    <cellStyle name="Normal 7 6 2 3 2 3" xfId="19931" xr:uid="{00000000-0005-0000-0000-000030470000}"/>
    <cellStyle name="Normal 7 6 2 3 3" xfId="13680" xr:uid="{00000000-0005-0000-0000-000031470000}"/>
    <cellStyle name="Normal 7 6 2 3 4" xfId="19930" xr:uid="{00000000-0005-0000-0000-000032470000}"/>
    <cellStyle name="Normal 7 6 2 4" xfId="7571" xr:uid="{00000000-0005-0000-0000-000033470000}"/>
    <cellStyle name="Normal 7 6 2 4 2" xfId="7572" xr:uid="{00000000-0005-0000-0000-000034470000}"/>
    <cellStyle name="Normal 7 6 2 4 2 2" xfId="13683" xr:uid="{00000000-0005-0000-0000-000035470000}"/>
    <cellStyle name="Normal 7 6 2 4 2 3" xfId="19933" xr:uid="{00000000-0005-0000-0000-000036470000}"/>
    <cellStyle name="Normal 7 6 2 4 3" xfId="13682" xr:uid="{00000000-0005-0000-0000-000037470000}"/>
    <cellStyle name="Normal 7 6 2 4 4" xfId="19932" xr:uid="{00000000-0005-0000-0000-000038470000}"/>
    <cellStyle name="Normal 7 6 2 5" xfId="7573" xr:uid="{00000000-0005-0000-0000-000039470000}"/>
    <cellStyle name="Normal 7 6 2 5 2" xfId="13684" xr:uid="{00000000-0005-0000-0000-00003A470000}"/>
    <cellStyle name="Normal 7 6 2 5 3" xfId="19934" xr:uid="{00000000-0005-0000-0000-00003B470000}"/>
    <cellStyle name="Normal 7 6 2 6" xfId="13673" xr:uid="{00000000-0005-0000-0000-00003C470000}"/>
    <cellStyle name="Normal 7 6 2 7" xfId="19923" xr:uid="{00000000-0005-0000-0000-00003D470000}"/>
    <cellStyle name="Normal 7 6 3" xfId="7574" xr:uid="{00000000-0005-0000-0000-00003E470000}"/>
    <cellStyle name="Normal 7 6 3 2" xfId="7575" xr:uid="{00000000-0005-0000-0000-00003F470000}"/>
    <cellStyle name="Normal 7 6 3 2 2" xfId="7576" xr:uid="{00000000-0005-0000-0000-000040470000}"/>
    <cellStyle name="Normal 7 6 3 2 2 2" xfId="13687" xr:uid="{00000000-0005-0000-0000-000041470000}"/>
    <cellStyle name="Normal 7 6 3 2 2 3" xfId="19937" xr:uid="{00000000-0005-0000-0000-000042470000}"/>
    <cellStyle name="Normal 7 6 3 2 3" xfId="13686" xr:uid="{00000000-0005-0000-0000-000043470000}"/>
    <cellStyle name="Normal 7 6 3 2 4" xfId="19936" xr:uid="{00000000-0005-0000-0000-000044470000}"/>
    <cellStyle name="Normal 7 6 3 3" xfId="7577" xr:uid="{00000000-0005-0000-0000-000045470000}"/>
    <cellStyle name="Normal 7 6 3 3 2" xfId="7578" xr:uid="{00000000-0005-0000-0000-000046470000}"/>
    <cellStyle name="Normal 7 6 3 3 2 2" xfId="13689" xr:uid="{00000000-0005-0000-0000-000047470000}"/>
    <cellStyle name="Normal 7 6 3 3 2 3" xfId="19939" xr:uid="{00000000-0005-0000-0000-000048470000}"/>
    <cellStyle name="Normal 7 6 3 3 3" xfId="13688" xr:uid="{00000000-0005-0000-0000-000049470000}"/>
    <cellStyle name="Normal 7 6 3 3 4" xfId="19938" xr:uid="{00000000-0005-0000-0000-00004A470000}"/>
    <cellStyle name="Normal 7 6 3 4" xfId="7579" xr:uid="{00000000-0005-0000-0000-00004B470000}"/>
    <cellStyle name="Normal 7 6 3 4 2" xfId="13690" xr:uid="{00000000-0005-0000-0000-00004C470000}"/>
    <cellStyle name="Normal 7 6 3 4 3" xfId="19940" xr:uid="{00000000-0005-0000-0000-00004D470000}"/>
    <cellStyle name="Normal 7 6 3 5" xfId="13685" xr:uid="{00000000-0005-0000-0000-00004E470000}"/>
    <cellStyle name="Normal 7 6 3 6" xfId="19935" xr:uid="{00000000-0005-0000-0000-00004F470000}"/>
    <cellStyle name="Normal 7 6 4" xfId="7580" xr:uid="{00000000-0005-0000-0000-000050470000}"/>
    <cellStyle name="Normal 7 6 4 2" xfId="7581" xr:uid="{00000000-0005-0000-0000-000051470000}"/>
    <cellStyle name="Normal 7 6 4 2 2" xfId="13692" xr:uid="{00000000-0005-0000-0000-000052470000}"/>
    <cellStyle name="Normal 7 6 4 2 3" xfId="19942" xr:uid="{00000000-0005-0000-0000-000053470000}"/>
    <cellStyle name="Normal 7 6 4 3" xfId="13691" xr:uid="{00000000-0005-0000-0000-000054470000}"/>
    <cellStyle name="Normal 7 6 4 4" xfId="19941" xr:uid="{00000000-0005-0000-0000-000055470000}"/>
    <cellStyle name="Normal 7 6 5" xfId="7582" xr:uid="{00000000-0005-0000-0000-000056470000}"/>
    <cellStyle name="Normal 7 6 5 2" xfId="7583" xr:uid="{00000000-0005-0000-0000-000057470000}"/>
    <cellStyle name="Normal 7 6 5 2 2" xfId="13694" xr:uid="{00000000-0005-0000-0000-000058470000}"/>
    <cellStyle name="Normal 7 6 5 2 3" xfId="19944" xr:uid="{00000000-0005-0000-0000-000059470000}"/>
    <cellStyle name="Normal 7 6 5 3" xfId="13693" xr:uid="{00000000-0005-0000-0000-00005A470000}"/>
    <cellStyle name="Normal 7 6 5 4" xfId="19943" xr:uid="{00000000-0005-0000-0000-00005B470000}"/>
    <cellStyle name="Normal 7 6 6" xfId="7584" xr:uid="{00000000-0005-0000-0000-00005C470000}"/>
    <cellStyle name="Normal 7 6 6 2" xfId="13695" xr:uid="{00000000-0005-0000-0000-00005D470000}"/>
    <cellStyle name="Normal 7 6 6 3" xfId="19945" xr:uid="{00000000-0005-0000-0000-00005E470000}"/>
    <cellStyle name="Normal 7 6 7" xfId="13672" xr:uid="{00000000-0005-0000-0000-00005F470000}"/>
    <cellStyle name="Normal 7 6 8" xfId="19922" xr:uid="{00000000-0005-0000-0000-000060470000}"/>
    <cellStyle name="Normal 7 7" xfId="7585" xr:uid="{00000000-0005-0000-0000-000061470000}"/>
    <cellStyle name="Normal 7 7 2" xfId="7586" xr:uid="{00000000-0005-0000-0000-000062470000}"/>
    <cellStyle name="Normal 7 7 2 2" xfId="7587" xr:uid="{00000000-0005-0000-0000-000063470000}"/>
    <cellStyle name="Normal 7 7 2 2 2" xfId="7588" xr:uid="{00000000-0005-0000-0000-000064470000}"/>
    <cellStyle name="Normal 7 7 2 2 2 2" xfId="13699" xr:uid="{00000000-0005-0000-0000-000065470000}"/>
    <cellStyle name="Normal 7 7 2 2 2 3" xfId="19949" xr:uid="{00000000-0005-0000-0000-000066470000}"/>
    <cellStyle name="Normal 7 7 2 2 3" xfId="13698" xr:uid="{00000000-0005-0000-0000-000067470000}"/>
    <cellStyle name="Normal 7 7 2 2 4" xfId="19948" xr:uid="{00000000-0005-0000-0000-000068470000}"/>
    <cellStyle name="Normal 7 7 2 3" xfId="7589" xr:uid="{00000000-0005-0000-0000-000069470000}"/>
    <cellStyle name="Normal 7 7 2 3 2" xfId="7590" xr:uid="{00000000-0005-0000-0000-00006A470000}"/>
    <cellStyle name="Normal 7 7 2 3 2 2" xfId="13701" xr:uid="{00000000-0005-0000-0000-00006B470000}"/>
    <cellStyle name="Normal 7 7 2 3 2 3" xfId="19951" xr:uid="{00000000-0005-0000-0000-00006C470000}"/>
    <cellStyle name="Normal 7 7 2 3 3" xfId="13700" xr:uid="{00000000-0005-0000-0000-00006D470000}"/>
    <cellStyle name="Normal 7 7 2 3 4" xfId="19950" xr:uid="{00000000-0005-0000-0000-00006E470000}"/>
    <cellStyle name="Normal 7 7 2 4" xfId="7591" xr:uid="{00000000-0005-0000-0000-00006F470000}"/>
    <cellStyle name="Normal 7 7 2 4 2" xfId="13702" xr:uid="{00000000-0005-0000-0000-000070470000}"/>
    <cellStyle name="Normal 7 7 2 4 3" xfId="19952" xr:uid="{00000000-0005-0000-0000-000071470000}"/>
    <cellStyle name="Normal 7 7 2 5" xfId="13697" xr:uid="{00000000-0005-0000-0000-000072470000}"/>
    <cellStyle name="Normal 7 7 2 6" xfId="19947" xr:uid="{00000000-0005-0000-0000-000073470000}"/>
    <cellStyle name="Normal 7 7 3" xfId="7592" xr:uid="{00000000-0005-0000-0000-000074470000}"/>
    <cellStyle name="Normal 7 7 3 2" xfId="7593" xr:uid="{00000000-0005-0000-0000-000075470000}"/>
    <cellStyle name="Normal 7 7 3 2 2" xfId="13704" xr:uid="{00000000-0005-0000-0000-000076470000}"/>
    <cellStyle name="Normal 7 7 3 2 3" xfId="19954" xr:uid="{00000000-0005-0000-0000-000077470000}"/>
    <cellStyle name="Normal 7 7 3 3" xfId="13703" xr:uid="{00000000-0005-0000-0000-000078470000}"/>
    <cellStyle name="Normal 7 7 3 4" xfId="19953" xr:uid="{00000000-0005-0000-0000-000079470000}"/>
    <cellStyle name="Normal 7 7 4" xfId="7594" xr:uid="{00000000-0005-0000-0000-00007A470000}"/>
    <cellStyle name="Normal 7 7 4 2" xfId="7595" xr:uid="{00000000-0005-0000-0000-00007B470000}"/>
    <cellStyle name="Normal 7 7 4 2 2" xfId="13706" xr:uid="{00000000-0005-0000-0000-00007C470000}"/>
    <cellStyle name="Normal 7 7 4 2 3" xfId="19956" xr:uid="{00000000-0005-0000-0000-00007D470000}"/>
    <cellStyle name="Normal 7 7 4 3" xfId="13705" xr:uid="{00000000-0005-0000-0000-00007E470000}"/>
    <cellStyle name="Normal 7 7 4 4" xfId="19955" xr:uid="{00000000-0005-0000-0000-00007F470000}"/>
    <cellStyle name="Normal 7 7 5" xfId="7596" xr:uid="{00000000-0005-0000-0000-000080470000}"/>
    <cellStyle name="Normal 7 7 5 2" xfId="13707" xr:uid="{00000000-0005-0000-0000-000081470000}"/>
    <cellStyle name="Normal 7 7 5 3" xfId="19957" xr:uid="{00000000-0005-0000-0000-000082470000}"/>
    <cellStyle name="Normal 7 7 6" xfId="13696" xr:uid="{00000000-0005-0000-0000-000083470000}"/>
    <cellStyle name="Normal 7 7 7" xfId="19946" xr:uid="{00000000-0005-0000-0000-000084470000}"/>
    <cellStyle name="Normal 7 8" xfId="7597" xr:uid="{00000000-0005-0000-0000-000085470000}"/>
    <cellStyle name="Normal 7 8 2" xfId="7598" xr:uid="{00000000-0005-0000-0000-000086470000}"/>
    <cellStyle name="Normal 7 8 2 2" xfId="7599" xr:uid="{00000000-0005-0000-0000-000087470000}"/>
    <cellStyle name="Normal 7 8 2 2 2" xfId="13710" xr:uid="{00000000-0005-0000-0000-000088470000}"/>
    <cellStyle name="Normal 7 8 2 2 3" xfId="19960" xr:uid="{00000000-0005-0000-0000-000089470000}"/>
    <cellStyle name="Normal 7 8 2 3" xfId="13709" xr:uid="{00000000-0005-0000-0000-00008A470000}"/>
    <cellStyle name="Normal 7 8 2 4" xfId="19959" xr:uid="{00000000-0005-0000-0000-00008B470000}"/>
    <cellStyle name="Normal 7 8 3" xfId="7600" xr:uid="{00000000-0005-0000-0000-00008C470000}"/>
    <cellStyle name="Normal 7 8 3 2" xfId="7601" xr:uid="{00000000-0005-0000-0000-00008D470000}"/>
    <cellStyle name="Normal 7 8 3 2 2" xfId="13712" xr:uid="{00000000-0005-0000-0000-00008E470000}"/>
    <cellStyle name="Normal 7 8 3 2 3" xfId="19962" xr:uid="{00000000-0005-0000-0000-00008F470000}"/>
    <cellStyle name="Normal 7 8 3 3" xfId="13711" xr:uid="{00000000-0005-0000-0000-000090470000}"/>
    <cellStyle name="Normal 7 8 3 4" xfId="19961" xr:uid="{00000000-0005-0000-0000-000091470000}"/>
    <cellStyle name="Normal 7 8 4" xfId="7602" xr:uid="{00000000-0005-0000-0000-000092470000}"/>
    <cellStyle name="Normal 7 8 4 2" xfId="13713" xr:uid="{00000000-0005-0000-0000-000093470000}"/>
    <cellStyle name="Normal 7 8 4 3" xfId="19963" xr:uid="{00000000-0005-0000-0000-000094470000}"/>
    <cellStyle name="Normal 7 8 5" xfId="13708" xr:uid="{00000000-0005-0000-0000-000095470000}"/>
    <cellStyle name="Normal 7 8 6" xfId="19958" xr:uid="{00000000-0005-0000-0000-000096470000}"/>
    <cellStyle name="Normal 7 9" xfId="7603" xr:uid="{00000000-0005-0000-0000-000097470000}"/>
    <cellStyle name="Normal 7 9 2" xfId="7604" xr:uid="{00000000-0005-0000-0000-000098470000}"/>
    <cellStyle name="Normal 7 9 2 2" xfId="13715" xr:uid="{00000000-0005-0000-0000-000099470000}"/>
    <cellStyle name="Normal 7 9 2 3" xfId="19965" xr:uid="{00000000-0005-0000-0000-00009A470000}"/>
    <cellStyle name="Normal 7 9 3" xfId="13714" xr:uid="{00000000-0005-0000-0000-00009B470000}"/>
    <cellStyle name="Normal 7 9 4" xfId="19964" xr:uid="{00000000-0005-0000-0000-00009C470000}"/>
    <cellStyle name="Normal 7_2180" xfId="13716" xr:uid="{00000000-0005-0000-0000-00009D470000}"/>
    <cellStyle name="Normal 70" xfId="7605" xr:uid="{00000000-0005-0000-0000-00009E470000}"/>
    <cellStyle name="Normal 70 2" xfId="7606" xr:uid="{00000000-0005-0000-0000-00009F470000}"/>
    <cellStyle name="Normal 70 2 2" xfId="13718" xr:uid="{00000000-0005-0000-0000-0000A0470000}"/>
    <cellStyle name="Normal 70 2 3" xfId="19967" xr:uid="{00000000-0005-0000-0000-0000A1470000}"/>
    <cellStyle name="Normal 70 3" xfId="7607" xr:uid="{00000000-0005-0000-0000-0000A2470000}"/>
    <cellStyle name="Normal 70 3 2" xfId="13719" xr:uid="{00000000-0005-0000-0000-0000A3470000}"/>
    <cellStyle name="Normal 70 3 3" xfId="19968" xr:uid="{00000000-0005-0000-0000-0000A4470000}"/>
    <cellStyle name="Normal 70 4" xfId="7608" xr:uid="{00000000-0005-0000-0000-0000A5470000}"/>
    <cellStyle name="Normal 70 4 2" xfId="19969" xr:uid="{00000000-0005-0000-0000-0000A6470000}"/>
    <cellStyle name="Normal 70 5" xfId="13717" xr:uid="{00000000-0005-0000-0000-0000A7470000}"/>
    <cellStyle name="Normal 70 6" xfId="19966" xr:uid="{00000000-0005-0000-0000-0000A8470000}"/>
    <cellStyle name="Normal 71" xfId="7609" xr:uid="{00000000-0005-0000-0000-0000A9470000}"/>
    <cellStyle name="Normal 71 2" xfId="7610" xr:uid="{00000000-0005-0000-0000-0000AA470000}"/>
    <cellStyle name="Normal 71 2 2" xfId="19971" xr:uid="{00000000-0005-0000-0000-0000AB470000}"/>
    <cellStyle name="Normal 71 3" xfId="13720" xr:uid="{00000000-0005-0000-0000-0000AC470000}"/>
    <cellStyle name="Normal 71 4" xfId="19970" xr:uid="{00000000-0005-0000-0000-0000AD470000}"/>
    <cellStyle name="Normal 72" xfId="7611" xr:uid="{00000000-0005-0000-0000-0000AE470000}"/>
    <cellStyle name="Normal 72 2" xfId="7612" xr:uid="{00000000-0005-0000-0000-0000AF470000}"/>
    <cellStyle name="Normal 72 2 2" xfId="7613" xr:uid="{00000000-0005-0000-0000-0000B0470000}"/>
    <cellStyle name="Normal 72 2 2 2" xfId="7614" xr:uid="{00000000-0005-0000-0000-0000B1470000}"/>
    <cellStyle name="Normal 72 2 2 2 2" xfId="7615" xr:uid="{00000000-0005-0000-0000-0000B2470000}"/>
    <cellStyle name="Normal 72 2 2 2 2 2" xfId="13725" xr:uid="{00000000-0005-0000-0000-0000B3470000}"/>
    <cellStyle name="Normal 72 2 2 2 2 3" xfId="19976" xr:uid="{00000000-0005-0000-0000-0000B4470000}"/>
    <cellStyle name="Normal 72 2 2 2 3" xfId="13724" xr:uid="{00000000-0005-0000-0000-0000B5470000}"/>
    <cellStyle name="Normal 72 2 2 2 4" xfId="19975" xr:uid="{00000000-0005-0000-0000-0000B6470000}"/>
    <cellStyle name="Normal 72 2 2 3" xfId="7616" xr:uid="{00000000-0005-0000-0000-0000B7470000}"/>
    <cellStyle name="Normal 72 2 2 3 2" xfId="7617" xr:uid="{00000000-0005-0000-0000-0000B8470000}"/>
    <cellStyle name="Normal 72 2 2 3 2 2" xfId="13727" xr:uid="{00000000-0005-0000-0000-0000B9470000}"/>
    <cellStyle name="Normal 72 2 2 3 2 3" xfId="19978" xr:uid="{00000000-0005-0000-0000-0000BA470000}"/>
    <cellStyle name="Normal 72 2 2 3 3" xfId="13726" xr:uid="{00000000-0005-0000-0000-0000BB470000}"/>
    <cellStyle name="Normal 72 2 2 3 4" xfId="19977" xr:uid="{00000000-0005-0000-0000-0000BC470000}"/>
    <cellStyle name="Normal 72 2 2 4" xfId="7618" xr:uid="{00000000-0005-0000-0000-0000BD470000}"/>
    <cellStyle name="Normal 72 2 2 4 2" xfId="13728" xr:uid="{00000000-0005-0000-0000-0000BE470000}"/>
    <cellStyle name="Normal 72 2 2 4 3" xfId="19979" xr:uid="{00000000-0005-0000-0000-0000BF470000}"/>
    <cellStyle name="Normal 72 2 2 5" xfId="13723" xr:uid="{00000000-0005-0000-0000-0000C0470000}"/>
    <cellStyle name="Normal 72 2 2 6" xfId="19974" xr:uid="{00000000-0005-0000-0000-0000C1470000}"/>
    <cellStyle name="Normal 72 2 3" xfId="7619" xr:uid="{00000000-0005-0000-0000-0000C2470000}"/>
    <cellStyle name="Normal 72 2 3 2" xfId="7620" xr:uid="{00000000-0005-0000-0000-0000C3470000}"/>
    <cellStyle name="Normal 72 2 3 2 2" xfId="13730" xr:uid="{00000000-0005-0000-0000-0000C4470000}"/>
    <cellStyle name="Normal 72 2 3 2 3" xfId="19981" xr:uid="{00000000-0005-0000-0000-0000C5470000}"/>
    <cellStyle name="Normal 72 2 3 3" xfId="13729" xr:uid="{00000000-0005-0000-0000-0000C6470000}"/>
    <cellStyle name="Normal 72 2 3 4" xfId="19980" xr:uid="{00000000-0005-0000-0000-0000C7470000}"/>
    <cellStyle name="Normal 72 2 4" xfId="7621" xr:uid="{00000000-0005-0000-0000-0000C8470000}"/>
    <cellStyle name="Normal 72 2 4 2" xfId="7622" xr:uid="{00000000-0005-0000-0000-0000C9470000}"/>
    <cellStyle name="Normal 72 2 4 2 2" xfId="13732" xr:uid="{00000000-0005-0000-0000-0000CA470000}"/>
    <cellStyle name="Normal 72 2 4 2 3" xfId="19983" xr:uid="{00000000-0005-0000-0000-0000CB470000}"/>
    <cellStyle name="Normal 72 2 4 3" xfId="13731" xr:uid="{00000000-0005-0000-0000-0000CC470000}"/>
    <cellStyle name="Normal 72 2 4 4" xfId="19982" xr:uid="{00000000-0005-0000-0000-0000CD470000}"/>
    <cellStyle name="Normal 72 2 5" xfId="7623" xr:uid="{00000000-0005-0000-0000-0000CE470000}"/>
    <cellStyle name="Normal 72 2 5 2" xfId="13733" xr:uid="{00000000-0005-0000-0000-0000CF470000}"/>
    <cellStyle name="Normal 72 2 5 3" xfId="19984" xr:uid="{00000000-0005-0000-0000-0000D0470000}"/>
    <cellStyle name="Normal 72 2 6" xfId="13722" xr:uid="{00000000-0005-0000-0000-0000D1470000}"/>
    <cellStyle name="Normal 72 2 7" xfId="19973" xr:uid="{00000000-0005-0000-0000-0000D2470000}"/>
    <cellStyle name="Normal 72 3" xfId="7624" xr:uid="{00000000-0005-0000-0000-0000D3470000}"/>
    <cellStyle name="Normal 72 3 2" xfId="7625" xr:uid="{00000000-0005-0000-0000-0000D4470000}"/>
    <cellStyle name="Normal 72 3 2 2" xfId="7626" xr:uid="{00000000-0005-0000-0000-0000D5470000}"/>
    <cellStyle name="Normal 72 3 2 2 2" xfId="13736" xr:uid="{00000000-0005-0000-0000-0000D6470000}"/>
    <cellStyle name="Normal 72 3 2 2 3" xfId="19987" xr:uid="{00000000-0005-0000-0000-0000D7470000}"/>
    <cellStyle name="Normal 72 3 2 3" xfId="13735" xr:uid="{00000000-0005-0000-0000-0000D8470000}"/>
    <cellStyle name="Normal 72 3 2 4" xfId="19986" xr:uid="{00000000-0005-0000-0000-0000D9470000}"/>
    <cellStyle name="Normal 72 3 3" xfId="7627" xr:uid="{00000000-0005-0000-0000-0000DA470000}"/>
    <cellStyle name="Normal 72 3 3 2" xfId="7628" xr:uid="{00000000-0005-0000-0000-0000DB470000}"/>
    <cellStyle name="Normal 72 3 3 2 2" xfId="13738" xr:uid="{00000000-0005-0000-0000-0000DC470000}"/>
    <cellStyle name="Normal 72 3 3 2 3" xfId="19989" xr:uid="{00000000-0005-0000-0000-0000DD470000}"/>
    <cellStyle name="Normal 72 3 3 3" xfId="13737" xr:uid="{00000000-0005-0000-0000-0000DE470000}"/>
    <cellStyle name="Normal 72 3 3 4" xfId="19988" xr:uid="{00000000-0005-0000-0000-0000DF470000}"/>
    <cellStyle name="Normal 72 3 4" xfId="7629" xr:uid="{00000000-0005-0000-0000-0000E0470000}"/>
    <cellStyle name="Normal 72 3 4 2" xfId="13739" xr:uid="{00000000-0005-0000-0000-0000E1470000}"/>
    <cellStyle name="Normal 72 3 4 3" xfId="19990" xr:uid="{00000000-0005-0000-0000-0000E2470000}"/>
    <cellStyle name="Normal 72 3 5" xfId="13734" xr:uid="{00000000-0005-0000-0000-0000E3470000}"/>
    <cellStyle name="Normal 72 3 6" xfId="19985" xr:uid="{00000000-0005-0000-0000-0000E4470000}"/>
    <cellStyle name="Normal 72 4" xfId="7630" xr:uid="{00000000-0005-0000-0000-0000E5470000}"/>
    <cellStyle name="Normal 72 4 2" xfId="7631" xr:uid="{00000000-0005-0000-0000-0000E6470000}"/>
    <cellStyle name="Normal 72 4 2 2" xfId="13741" xr:uid="{00000000-0005-0000-0000-0000E7470000}"/>
    <cellStyle name="Normal 72 4 2 3" xfId="19992" xr:uid="{00000000-0005-0000-0000-0000E8470000}"/>
    <cellStyle name="Normal 72 4 3" xfId="13740" xr:uid="{00000000-0005-0000-0000-0000E9470000}"/>
    <cellStyle name="Normal 72 4 4" xfId="19991" xr:uid="{00000000-0005-0000-0000-0000EA470000}"/>
    <cellStyle name="Normal 72 5" xfId="7632" xr:uid="{00000000-0005-0000-0000-0000EB470000}"/>
    <cellStyle name="Normal 72 5 2" xfId="7633" xr:uid="{00000000-0005-0000-0000-0000EC470000}"/>
    <cellStyle name="Normal 72 5 2 2" xfId="13743" xr:uid="{00000000-0005-0000-0000-0000ED470000}"/>
    <cellStyle name="Normal 72 5 2 3" xfId="19994" xr:uid="{00000000-0005-0000-0000-0000EE470000}"/>
    <cellStyle name="Normal 72 5 3" xfId="13742" xr:uid="{00000000-0005-0000-0000-0000EF470000}"/>
    <cellStyle name="Normal 72 5 4" xfId="19993" xr:uid="{00000000-0005-0000-0000-0000F0470000}"/>
    <cellStyle name="Normal 72 6" xfId="7634" xr:uid="{00000000-0005-0000-0000-0000F1470000}"/>
    <cellStyle name="Normal 72 6 2" xfId="13744" xr:uid="{00000000-0005-0000-0000-0000F2470000}"/>
    <cellStyle name="Normal 72 6 3" xfId="19995" xr:uid="{00000000-0005-0000-0000-0000F3470000}"/>
    <cellStyle name="Normal 72 7" xfId="7635" xr:uid="{00000000-0005-0000-0000-0000F4470000}"/>
    <cellStyle name="Normal 72 7 2" xfId="19996" xr:uid="{00000000-0005-0000-0000-0000F5470000}"/>
    <cellStyle name="Normal 72 8" xfId="13721" xr:uid="{00000000-0005-0000-0000-0000F6470000}"/>
    <cellStyle name="Normal 72 9" xfId="19972" xr:uid="{00000000-0005-0000-0000-0000F7470000}"/>
    <cellStyle name="Normal 73" xfId="7636" xr:uid="{00000000-0005-0000-0000-0000F8470000}"/>
    <cellStyle name="Normal 73 2" xfId="7637" xr:uid="{00000000-0005-0000-0000-0000F9470000}"/>
    <cellStyle name="Normal 73 2 2" xfId="13746" xr:uid="{00000000-0005-0000-0000-0000FA470000}"/>
    <cellStyle name="Normal 73 2 3" xfId="19998" xr:uid="{00000000-0005-0000-0000-0000FB470000}"/>
    <cellStyle name="Normal 73 3" xfId="7638" xr:uid="{00000000-0005-0000-0000-0000FC470000}"/>
    <cellStyle name="Normal 73 3 2" xfId="19999" xr:uid="{00000000-0005-0000-0000-0000FD470000}"/>
    <cellStyle name="Normal 73 4" xfId="13745" xr:uid="{00000000-0005-0000-0000-0000FE470000}"/>
    <cellStyle name="Normal 73 5" xfId="19997" xr:uid="{00000000-0005-0000-0000-0000FF470000}"/>
    <cellStyle name="Normal 74" xfId="7639" xr:uid="{00000000-0005-0000-0000-000000480000}"/>
    <cellStyle name="Normal 74 2" xfId="7640" xr:uid="{00000000-0005-0000-0000-000001480000}"/>
    <cellStyle name="Normal 74 2 2" xfId="20001" xr:uid="{00000000-0005-0000-0000-000002480000}"/>
    <cellStyle name="Normal 74 3" xfId="13747" xr:uid="{00000000-0005-0000-0000-000003480000}"/>
    <cellStyle name="Normal 74 4" xfId="20000" xr:uid="{00000000-0005-0000-0000-000004480000}"/>
    <cellStyle name="Normal 75" xfId="7641" xr:uid="{00000000-0005-0000-0000-000005480000}"/>
    <cellStyle name="Normal 75 2" xfId="7642" xr:uid="{00000000-0005-0000-0000-000006480000}"/>
    <cellStyle name="Normal 75 2 2" xfId="20003" xr:uid="{00000000-0005-0000-0000-000007480000}"/>
    <cellStyle name="Normal 75 3" xfId="13748" xr:uid="{00000000-0005-0000-0000-000008480000}"/>
    <cellStyle name="Normal 75 4" xfId="20002" xr:uid="{00000000-0005-0000-0000-000009480000}"/>
    <cellStyle name="Normal 76" xfId="7643" xr:uid="{00000000-0005-0000-0000-00000A480000}"/>
    <cellStyle name="Normal 76 2" xfId="7644" xr:uid="{00000000-0005-0000-0000-00000B480000}"/>
    <cellStyle name="Normal 76 2 2" xfId="20005" xr:uid="{00000000-0005-0000-0000-00000C480000}"/>
    <cellStyle name="Normal 76 3" xfId="13749" xr:uid="{00000000-0005-0000-0000-00000D480000}"/>
    <cellStyle name="Normal 76 4" xfId="20004" xr:uid="{00000000-0005-0000-0000-00000E480000}"/>
    <cellStyle name="Normal 77" xfId="7645" xr:uid="{00000000-0005-0000-0000-00000F480000}"/>
    <cellStyle name="Normal 77 2" xfId="7646" xr:uid="{00000000-0005-0000-0000-000010480000}"/>
    <cellStyle name="Normal 77 2 2" xfId="20007" xr:uid="{00000000-0005-0000-0000-000011480000}"/>
    <cellStyle name="Normal 77 3" xfId="13750" xr:uid="{00000000-0005-0000-0000-000012480000}"/>
    <cellStyle name="Normal 77 4" xfId="20006" xr:uid="{00000000-0005-0000-0000-000013480000}"/>
    <cellStyle name="Normal 78" xfId="7647" xr:uid="{00000000-0005-0000-0000-000014480000}"/>
    <cellStyle name="Normal 78 2" xfId="7648" xr:uid="{00000000-0005-0000-0000-000015480000}"/>
    <cellStyle name="Normal 78 2 2" xfId="20009" xr:uid="{00000000-0005-0000-0000-000016480000}"/>
    <cellStyle name="Normal 78 3" xfId="13751" xr:uid="{00000000-0005-0000-0000-000017480000}"/>
    <cellStyle name="Normal 78 4" xfId="20008" xr:uid="{00000000-0005-0000-0000-000018480000}"/>
    <cellStyle name="Normal 79" xfId="7649" xr:uid="{00000000-0005-0000-0000-000019480000}"/>
    <cellStyle name="Normal 79 2" xfId="7650" xr:uid="{00000000-0005-0000-0000-00001A480000}"/>
    <cellStyle name="Normal 79 2 2" xfId="20011" xr:uid="{00000000-0005-0000-0000-00001B480000}"/>
    <cellStyle name="Normal 79 3" xfId="13752" xr:uid="{00000000-0005-0000-0000-00001C480000}"/>
    <cellStyle name="Normal 79 4" xfId="20010" xr:uid="{00000000-0005-0000-0000-00001D480000}"/>
    <cellStyle name="Normal 8" xfId="13753" xr:uid="{00000000-0005-0000-0000-00001E480000}"/>
    <cellStyle name="Normal 8 10" xfId="7651" xr:uid="{00000000-0005-0000-0000-00001F480000}"/>
    <cellStyle name="Normal 8 10 2" xfId="13754" xr:uid="{00000000-0005-0000-0000-000020480000}"/>
    <cellStyle name="Normal 8 10 3" xfId="20012" xr:uid="{00000000-0005-0000-0000-000021480000}"/>
    <cellStyle name="Normal 8 11" xfId="7652" xr:uid="{00000000-0005-0000-0000-000022480000}"/>
    <cellStyle name="Normal 8 11 2" xfId="20013" xr:uid="{00000000-0005-0000-0000-000023480000}"/>
    <cellStyle name="Normal 8 2" xfId="7653" xr:uid="{00000000-0005-0000-0000-000024480000}"/>
    <cellStyle name="Normal 8 2 10" xfId="7654" xr:uid="{00000000-0005-0000-0000-000025480000}"/>
    <cellStyle name="Normal 8 2 10 2" xfId="20015" xr:uid="{00000000-0005-0000-0000-000026480000}"/>
    <cellStyle name="Normal 8 2 11" xfId="13755" xr:uid="{00000000-0005-0000-0000-000027480000}"/>
    <cellStyle name="Normal 8 2 12" xfId="20014" xr:uid="{00000000-0005-0000-0000-000028480000}"/>
    <cellStyle name="Normal 8 2 2" xfId="7655" xr:uid="{00000000-0005-0000-0000-000029480000}"/>
    <cellStyle name="Normal 8 2 2 10" xfId="20016" xr:uid="{00000000-0005-0000-0000-00002A480000}"/>
    <cellStyle name="Normal 8 2 2 2" xfId="7656" xr:uid="{00000000-0005-0000-0000-00002B480000}"/>
    <cellStyle name="Normal 8 2 2 2 2" xfId="7657" xr:uid="{00000000-0005-0000-0000-00002C480000}"/>
    <cellStyle name="Normal 8 2 2 2 2 2" xfId="7658" xr:uid="{00000000-0005-0000-0000-00002D480000}"/>
    <cellStyle name="Normal 8 2 2 2 2 2 2" xfId="7659" xr:uid="{00000000-0005-0000-0000-00002E480000}"/>
    <cellStyle name="Normal 8 2 2 2 2 2 2 2" xfId="7660" xr:uid="{00000000-0005-0000-0000-00002F480000}"/>
    <cellStyle name="Normal 8 2 2 2 2 2 2 2 2" xfId="13761" xr:uid="{00000000-0005-0000-0000-000030480000}"/>
    <cellStyle name="Normal 8 2 2 2 2 2 2 2 3" xfId="20021" xr:uid="{00000000-0005-0000-0000-000031480000}"/>
    <cellStyle name="Normal 8 2 2 2 2 2 2 3" xfId="13760" xr:uid="{00000000-0005-0000-0000-000032480000}"/>
    <cellStyle name="Normal 8 2 2 2 2 2 2 4" xfId="20020" xr:uid="{00000000-0005-0000-0000-000033480000}"/>
    <cellStyle name="Normal 8 2 2 2 2 2 3" xfId="7661" xr:uid="{00000000-0005-0000-0000-000034480000}"/>
    <cellStyle name="Normal 8 2 2 2 2 2 3 2" xfId="7662" xr:uid="{00000000-0005-0000-0000-000035480000}"/>
    <cellStyle name="Normal 8 2 2 2 2 2 3 2 2" xfId="13763" xr:uid="{00000000-0005-0000-0000-000036480000}"/>
    <cellStyle name="Normal 8 2 2 2 2 2 3 2 3" xfId="20023" xr:uid="{00000000-0005-0000-0000-000037480000}"/>
    <cellStyle name="Normal 8 2 2 2 2 2 3 3" xfId="13762" xr:uid="{00000000-0005-0000-0000-000038480000}"/>
    <cellStyle name="Normal 8 2 2 2 2 2 3 4" xfId="20022" xr:uid="{00000000-0005-0000-0000-000039480000}"/>
    <cellStyle name="Normal 8 2 2 2 2 2 4" xfId="7663" xr:uid="{00000000-0005-0000-0000-00003A480000}"/>
    <cellStyle name="Normal 8 2 2 2 2 2 4 2" xfId="13764" xr:uid="{00000000-0005-0000-0000-00003B480000}"/>
    <cellStyle name="Normal 8 2 2 2 2 2 4 3" xfId="20024" xr:uid="{00000000-0005-0000-0000-00003C480000}"/>
    <cellStyle name="Normal 8 2 2 2 2 2 5" xfId="13759" xr:uid="{00000000-0005-0000-0000-00003D480000}"/>
    <cellStyle name="Normal 8 2 2 2 2 2 6" xfId="20019" xr:uid="{00000000-0005-0000-0000-00003E480000}"/>
    <cellStyle name="Normal 8 2 2 2 2 3" xfId="7664" xr:uid="{00000000-0005-0000-0000-00003F480000}"/>
    <cellStyle name="Normal 8 2 2 2 2 3 2" xfId="7665" xr:uid="{00000000-0005-0000-0000-000040480000}"/>
    <cellStyle name="Normal 8 2 2 2 2 3 2 2" xfId="13766" xr:uid="{00000000-0005-0000-0000-000041480000}"/>
    <cellStyle name="Normal 8 2 2 2 2 3 2 3" xfId="20026" xr:uid="{00000000-0005-0000-0000-000042480000}"/>
    <cellStyle name="Normal 8 2 2 2 2 3 3" xfId="13765" xr:uid="{00000000-0005-0000-0000-000043480000}"/>
    <cellStyle name="Normal 8 2 2 2 2 3 4" xfId="20025" xr:uid="{00000000-0005-0000-0000-000044480000}"/>
    <cellStyle name="Normal 8 2 2 2 2 4" xfId="7666" xr:uid="{00000000-0005-0000-0000-000045480000}"/>
    <cellStyle name="Normal 8 2 2 2 2 4 2" xfId="7667" xr:uid="{00000000-0005-0000-0000-000046480000}"/>
    <cellStyle name="Normal 8 2 2 2 2 4 2 2" xfId="13768" xr:uid="{00000000-0005-0000-0000-000047480000}"/>
    <cellStyle name="Normal 8 2 2 2 2 4 2 3" xfId="20028" xr:uid="{00000000-0005-0000-0000-000048480000}"/>
    <cellStyle name="Normal 8 2 2 2 2 4 3" xfId="13767" xr:uid="{00000000-0005-0000-0000-000049480000}"/>
    <cellStyle name="Normal 8 2 2 2 2 4 4" xfId="20027" xr:uid="{00000000-0005-0000-0000-00004A480000}"/>
    <cellStyle name="Normal 8 2 2 2 2 5" xfId="7668" xr:uid="{00000000-0005-0000-0000-00004B480000}"/>
    <cellStyle name="Normal 8 2 2 2 2 5 2" xfId="13769" xr:uid="{00000000-0005-0000-0000-00004C480000}"/>
    <cellStyle name="Normal 8 2 2 2 2 5 3" xfId="20029" xr:uid="{00000000-0005-0000-0000-00004D480000}"/>
    <cellStyle name="Normal 8 2 2 2 2 6" xfId="13758" xr:uid="{00000000-0005-0000-0000-00004E480000}"/>
    <cellStyle name="Normal 8 2 2 2 2 7" xfId="20018" xr:uid="{00000000-0005-0000-0000-00004F480000}"/>
    <cellStyle name="Normal 8 2 2 2 3" xfId="7669" xr:uid="{00000000-0005-0000-0000-000050480000}"/>
    <cellStyle name="Normal 8 2 2 2 3 2" xfId="7670" xr:uid="{00000000-0005-0000-0000-000051480000}"/>
    <cellStyle name="Normal 8 2 2 2 3 2 2" xfId="7671" xr:uid="{00000000-0005-0000-0000-000052480000}"/>
    <cellStyle name="Normal 8 2 2 2 3 2 2 2" xfId="13772" xr:uid="{00000000-0005-0000-0000-000053480000}"/>
    <cellStyle name="Normal 8 2 2 2 3 2 2 3" xfId="20032" xr:uid="{00000000-0005-0000-0000-000054480000}"/>
    <cellStyle name="Normal 8 2 2 2 3 2 3" xfId="13771" xr:uid="{00000000-0005-0000-0000-000055480000}"/>
    <cellStyle name="Normal 8 2 2 2 3 2 4" xfId="20031" xr:uid="{00000000-0005-0000-0000-000056480000}"/>
    <cellStyle name="Normal 8 2 2 2 3 3" xfId="7672" xr:uid="{00000000-0005-0000-0000-000057480000}"/>
    <cellStyle name="Normal 8 2 2 2 3 3 2" xfId="7673" xr:uid="{00000000-0005-0000-0000-000058480000}"/>
    <cellStyle name="Normal 8 2 2 2 3 3 2 2" xfId="13774" xr:uid="{00000000-0005-0000-0000-000059480000}"/>
    <cellStyle name="Normal 8 2 2 2 3 3 2 3" xfId="20034" xr:uid="{00000000-0005-0000-0000-00005A480000}"/>
    <cellStyle name="Normal 8 2 2 2 3 3 3" xfId="13773" xr:uid="{00000000-0005-0000-0000-00005B480000}"/>
    <cellStyle name="Normal 8 2 2 2 3 3 4" xfId="20033" xr:uid="{00000000-0005-0000-0000-00005C480000}"/>
    <cellStyle name="Normal 8 2 2 2 3 4" xfId="7674" xr:uid="{00000000-0005-0000-0000-00005D480000}"/>
    <cellStyle name="Normal 8 2 2 2 3 4 2" xfId="13775" xr:uid="{00000000-0005-0000-0000-00005E480000}"/>
    <cellStyle name="Normal 8 2 2 2 3 4 3" xfId="20035" xr:uid="{00000000-0005-0000-0000-00005F480000}"/>
    <cellStyle name="Normal 8 2 2 2 3 5" xfId="13770" xr:uid="{00000000-0005-0000-0000-000060480000}"/>
    <cellStyle name="Normal 8 2 2 2 3 6" xfId="20030" xr:uid="{00000000-0005-0000-0000-000061480000}"/>
    <cellStyle name="Normal 8 2 2 2 4" xfId="7675" xr:uid="{00000000-0005-0000-0000-000062480000}"/>
    <cellStyle name="Normal 8 2 2 2 4 2" xfId="7676" xr:uid="{00000000-0005-0000-0000-000063480000}"/>
    <cellStyle name="Normal 8 2 2 2 4 2 2" xfId="13777" xr:uid="{00000000-0005-0000-0000-000064480000}"/>
    <cellStyle name="Normal 8 2 2 2 4 2 3" xfId="20037" xr:uid="{00000000-0005-0000-0000-000065480000}"/>
    <cellStyle name="Normal 8 2 2 2 4 3" xfId="13776" xr:uid="{00000000-0005-0000-0000-000066480000}"/>
    <cellStyle name="Normal 8 2 2 2 4 4" xfId="20036" xr:uid="{00000000-0005-0000-0000-000067480000}"/>
    <cellStyle name="Normal 8 2 2 2 5" xfId="7677" xr:uid="{00000000-0005-0000-0000-000068480000}"/>
    <cellStyle name="Normal 8 2 2 2 5 2" xfId="7678" xr:uid="{00000000-0005-0000-0000-000069480000}"/>
    <cellStyle name="Normal 8 2 2 2 5 2 2" xfId="13779" xr:uid="{00000000-0005-0000-0000-00006A480000}"/>
    <cellStyle name="Normal 8 2 2 2 5 2 3" xfId="20039" xr:uid="{00000000-0005-0000-0000-00006B480000}"/>
    <cellStyle name="Normal 8 2 2 2 5 3" xfId="13778" xr:uid="{00000000-0005-0000-0000-00006C480000}"/>
    <cellStyle name="Normal 8 2 2 2 5 4" xfId="20038" xr:uid="{00000000-0005-0000-0000-00006D480000}"/>
    <cellStyle name="Normal 8 2 2 2 6" xfId="7679" xr:uid="{00000000-0005-0000-0000-00006E480000}"/>
    <cellStyle name="Normal 8 2 2 2 6 2" xfId="13780" xr:uid="{00000000-0005-0000-0000-00006F480000}"/>
    <cellStyle name="Normal 8 2 2 2 6 3" xfId="20040" xr:uid="{00000000-0005-0000-0000-000070480000}"/>
    <cellStyle name="Normal 8 2 2 2 7" xfId="13757" xr:uid="{00000000-0005-0000-0000-000071480000}"/>
    <cellStyle name="Normal 8 2 2 2 8" xfId="20017" xr:uid="{00000000-0005-0000-0000-000072480000}"/>
    <cellStyle name="Normal 8 2 2 3" xfId="7680" xr:uid="{00000000-0005-0000-0000-000073480000}"/>
    <cellStyle name="Normal 8 2 2 3 2" xfId="7681" xr:uid="{00000000-0005-0000-0000-000074480000}"/>
    <cellStyle name="Normal 8 2 2 3 2 2" xfId="7682" xr:uid="{00000000-0005-0000-0000-000075480000}"/>
    <cellStyle name="Normal 8 2 2 3 2 2 2" xfId="7683" xr:uid="{00000000-0005-0000-0000-000076480000}"/>
    <cellStyle name="Normal 8 2 2 3 2 2 2 2" xfId="13784" xr:uid="{00000000-0005-0000-0000-000077480000}"/>
    <cellStyle name="Normal 8 2 2 3 2 2 2 3" xfId="20044" xr:uid="{00000000-0005-0000-0000-000078480000}"/>
    <cellStyle name="Normal 8 2 2 3 2 2 3" xfId="13783" xr:uid="{00000000-0005-0000-0000-000079480000}"/>
    <cellStyle name="Normal 8 2 2 3 2 2 4" xfId="20043" xr:uid="{00000000-0005-0000-0000-00007A480000}"/>
    <cellStyle name="Normal 8 2 2 3 2 3" xfId="7684" xr:uid="{00000000-0005-0000-0000-00007B480000}"/>
    <cellStyle name="Normal 8 2 2 3 2 3 2" xfId="7685" xr:uid="{00000000-0005-0000-0000-00007C480000}"/>
    <cellStyle name="Normal 8 2 2 3 2 3 2 2" xfId="13786" xr:uid="{00000000-0005-0000-0000-00007D480000}"/>
    <cellStyle name="Normal 8 2 2 3 2 3 2 3" xfId="20046" xr:uid="{00000000-0005-0000-0000-00007E480000}"/>
    <cellStyle name="Normal 8 2 2 3 2 3 3" xfId="13785" xr:uid="{00000000-0005-0000-0000-00007F480000}"/>
    <cellStyle name="Normal 8 2 2 3 2 3 4" xfId="20045" xr:uid="{00000000-0005-0000-0000-000080480000}"/>
    <cellStyle name="Normal 8 2 2 3 2 4" xfId="7686" xr:uid="{00000000-0005-0000-0000-000081480000}"/>
    <cellStyle name="Normal 8 2 2 3 2 4 2" xfId="13787" xr:uid="{00000000-0005-0000-0000-000082480000}"/>
    <cellStyle name="Normal 8 2 2 3 2 4 3" xfId="20047" xr:uid="{00000000-0005-0000-0000-000083480000}"/>
    <cellStyle name="Normal 8 2 2 3 2 5" xfId="13782" xr:uid="{00000000-0005-0000-0000-000084480000}"/>
    <cellStyle name="Normal 8 2 2 3 2 6" xfId="20042" xr:uid="{00000000-0005-0000-0000-000085480000}"/>
    <cellStyle name="Normal 8 2 2 3 3" xfId="7687" xr:uid="{00000000-0005-0000-0000-000086480000}"/>
    <cellStyle name="Normal 8 2 2 3 3 2" xfId="7688" xr:uid="{00000000-0005-0000-0000-000087480000}"/>
    <cellStyle name="Normal 8 2 2 3 3 2 2" xfId="13789" xr:uid="{00000000-0005-0000-0000-000088480000}"/>
    <cellStyle name="Normal 8 2 2 3 3 2 3" xfId="20049" xr:uid="{00000000-0005-0000-0000-000089480000}"/>
    <cellStyle name="Normal 8 2 2 3 3 3" xfId="13788" xr:uid="{00000000-0005-0000-0000-00008A480000}"/>
    <cellStyle name="Normal 8 2 2 3 3 4" xfId="20048" xr:uid="{00000000-0005-0000-0000-00008B480000}"/>
    <cellStyle name="Normal 8 2 2 3 4" xfId="7689" xr:uid="{00000000-0005-0000-0000-00008C480000}"/>
    <cellStyle name="Normal 8 2 2 3 4 2" xfId="7690" xr:uid="{00000000-0005-0000-0000-00008D480000}"/>
    <cellStyle name="Normal 8 2 2 3 4 2 2" xfId="13791" xr:uid="{00000000-0005-0000-0000-00008E480000}"/>
    <cellStyle name="Normal 8 2 2 3 4 2 3" xfId="20051" xr:uid="{00000000-0005-0000-0000-00008F480000}"/>
    <cellStyle name="Normal 8 2 2 3 4 3" xfId="13790" xr:uid="{00000000-0005-0000-0000-000090480000}"/>
    <cellStyle name="Normal 8 2 2 3 4 4" xfId="20050" xr:uid="{00000000-0005-0000-0000-000091480000}"/>
    <cellStyle name="Normal 8 2 2 3 5" xfId="7691" xr:uid="{00000000-0005-0000-0000-000092480000}"/>
    <cellStyle name="Normal 8 2 2 3 5 2" xfId="13792" xr:uid="{00000000-0005-0000-0000-000093480000}"/>
    <cellStyle name="Normal 8 2 2 3 5 3" xfId="20052" xr:uid="{00000000-0005-0000-0000-000094480000}"/>
    <cellStyle name="Normal 8 2 2 3 6" xfId="13781" xr:uid="{00000000-0005-0000-0000-000095480000}"/>
    <cellStyle name="Normal 8 2 2 3 7" xfId="20041" xr:uid="{00000000-0005-0000-0000-000096480000}"/>
    <cellStyle name="Normal 8 2 2 4" xfId="7692" xr:uid="{00000000-0005-0000-0000-000097480000}"/>
    <cellStyle name="Normal 8 2 2 4 2" xfId="7693" xr:uid="{00000000-0005-0000-0000-000098480000}"/>
    <cellStyle name="Normal 8 2 2 4 2 2" xfId="7694" xr:uid="{00000000-0005-0000-0000-000099480000}"/>
    <cellStyle name="Normal 8 2 2 4 2 2 2" xfId="13795" xr:uid="{00000000-0005-0000-0000-00009A480000}"/>
    <cellStyle name="Normal 8 2 2 4 2 2 3" xfId="20055" xr:uid="{00000000-0005-0000-0000-00009B480000}"/>
    <cellStyle name="Normal 8 2 2 4 2 3" xfId="13794" xr:uid="{00000000-0005-0000-0000-00009C480000}"/>
    <cellStyle name="Normal 8 2 2 4 2 4" xfId="20054" xr:uid="{00000000-0005-0000-0000-00009D480000}"/>
    <cellStyle name="Normal 8 2 2 4 3" xfId="7695" xr:uid="{00000000-0005-0000-0000-00009E480000}"/>
    <cellStyle name="Normal 8 2 2 4 3 2" xfId="7696" xr:uid="{00000000-0005-0000-0000-00009F480000}"/>
    <cellStyle name="Normal 8 2 2 4 3 2 2" xfId="13797" xr:uid="{00000000-0005-0000-0000-0000A0480000}"/>
    <cellStyle name="Normal 8 2 2 4 3 2 3" xfId="20057" xr:uid="{00000000-0005-0000-0000-0000A1480000}"/>
    <cellStyle name="Normal 8 2 2 4 3 3" xfId="13796" xr:uid="{00000000-0005-0000-0000-0000A2480000}"/>
    <cellStyle name="Normal 8 2 2 4 3 4" xfId="20056" xr:uid="{00000000-0005-0000-0000-0000A3480000}"/>
    <cellStyle name="Normal 8 2 2 4 4" xfId="7697" xr:uid="{00000000-0005-0000-0000-0000A4480000}"/>
    <cellStyle name="Normal 8 2 2 4 4 2" xfId="13798" xr:uid="{00000000-0005-0000-0000-0000A5480000}"/>
    <cellStyle name="Normal 8 2 2 4 4 3" xfId="20058" xr:uid="{00000000-0005-0000-0000-0000A6480000}"/>
    <cellStyle name="Normal 8 2 2 4 5" xfId="13793" xr:uid="{00000000-0005-0000-0000-0000A7480000}"/>
    <cellStyle name="Normal 8 2 2 4 6" xfId="20053" xr:uid="{00000000-0005-0000-0000-0000A8480000}"/>
    <cellStyle name="Normal 8 2 2 5" xfId="7698" xr:uid="{00000000-0005-0000-0000-0000A9480000}"/>
    <cellStyle name="Normal 8 2 2 5 2" xfId="7699" xr:uid="{00000000-0005-0000-0000-0000AA480000}"/>
    <cellStyle name="Normal 8 2 2 5 2 2" xfId="13800" xr:uid="{00000000-0005-0000-0000-0000AB480000}"/>
    <cellStyle name="Normal 8 2 2 5 2 3" xfId="20060" xr:uid="{00000000-0005-0000-0000-0000AC480000}"/>
    <cellStyle name="Normal 8 2 2 5 3" xfId="13799" xr:uid="{00000000-0005-0000-0000-0000AD480000}"/>
    <cellStyle name="Normal 8 2 2 5 4" xfId="20059" xr:uid="{00000000-0005-0000-0000-0000AE480000}"/>
    <cellStyle name="Normal 8 2 2 6" xfId="7700" xr:uid="{00000000-0005-0000-0000-0000AF480000}"/>
    <cellStyle name="Normal 8 2 2 6 2" xfId="7701" xr:uid="{00000000-0005-0000-0000-0000B0480000}"/>
    <cellStyle name="Normal 8 2 2 6 2 2" xfId="13802" xr:uid="{00000000-0005-0000-0000-0000B1480000}"/>
    <cellStyle name="Normal 8 2 2 6 2 3" xfId="20062" xr:uid="{00000000-0005-0000-0000-0000B2480000}"/>
    <cellStyle name="Normal 8 2 2 6 3" xfId="13801" xr:uid="{00000000-0005-0000-0000-0000B3480000}"/>
    <cellStyle name="Normal 8 2 2 6 4" xfId="20061" xr:uid="{00000000-0005-0000-0000-0000B4480000}"/>
    <cellStyle name="Normal 8 2 2 7" xfId="7702" xr:uid="{00000000-0005-0000-0000-0000B5480000}"/>
    <cellStyle name="Normal 8 2 2 7 2" xfId="13803" xr:uid="{00000000-0005-0000-0000-0000B6480000}"/>
    <cellStyle name="Normal 8 2 2 7 3" xfId="20063" xr:uid="{00000000-0005-0000-0000-0000B7480000}"/>
    <cellStyle name="Normal 8 2 2 8" xfId="7703" xr:uid="{00000000-0005-0000-0000-0000B8480000}"/>
    <cellStyle name="Normal 8 2 2 8 2" xfId="20064" xr:uid="{00000000-0005-0000-0000-0000B9480000}"/>
    <cellStyle name="Normal 8 2 2 9" xfId="13756" xr:uid="{00000000-0005-0000-0000-0000BA480000}"/>
    <cellStyle name="Normal 8 2 3" xfId="7704" xr:uid="{00000000-0005-0000-0000-0000BB480000}"/>
    <cellStyle name="Normal 8 2 3 2" xfId="7705" xr:uid="{00000000-0005-0000-0000-0000BC480000}"/>
    <cellStyle name="Normal 8 2 3 2 2" xfId="7706" xr:uid="{00000000-0005-0000-0000-0000BD480000}"/>
    <cellStyle name="Normal 8 2 3 2 2 2" xfId="7707" xr:uid="{00000000-0005-0000-0000-0000BE480000}"/>
    <cellStyle name="Normal 8 2 3 2 2 2 2" xfId="7708" xr:uid="{00000000-0005-0000-0000-0000BF480000}"/>
    <cellStyle name="Normal 8 2 3 2 2 2 2 2" xfId="13808" xr:uid="{00000000-0005-0000-0000-0000C0480000}"/>
    <cellStyle name="Normal 8 2 3 2 2 2 2 3" xfId="20069" xr:uid="{00000000-0005-0000-0000-0000C1480000}"/>
    <cellStyle name="Normal 8 2 3 2 2 2 3" xfId="13807" xr:uid="{00000000-0005-0000-0000-0000C2480000}"/>
    <cellStyle name="Normal 8 2 3 2 2 2 4" xfId="20068" xr:uid="{00000000-0005-0000-0000-0000C3480000}"/>
    <cellStyle name="Normal 8 2 3 2 2 3" xfId="7709" xr:uid="{00000000-0005-0000-0000-0000C4480000}"/>
    <cellStyle name="Normal 8 2 3 2 2 3 2" xfId="7710" xr:uid="{00000000-0005-0000-0000-0000C5480000}"/>
    <cellStyle name="Normal 8 2 3 2 2 3 2 2" xfId="13810" xr:uid="{00000000-0005-0000-0000-0000C6480000}"/>
    <cellStyle name="Normal 8 2 3 2 2 3 2 3" xfId="20071" xr:uid="{00000000-0005-0000-0000-0000C7480000}"/>
    <cellStyle name="Normal 8 2 3 2 2 3 3" xfId="13809" xr:uid="{00000000-0005-0000-0000-0000C8480000}"/>
    <cellStyle name="Normal 8 2 3 2 2 3 4" xfId="20070" xr:uid="{00000000-0005-0000-0000-0000C9480000}"/>
    <cellStyle name="Normal 8 2 3 2 2 4" xfId="7711" xr:uid="{00000000-0005-0000-0000-0000CA480000}"/>
    <cellStyle name="Normal 8 2 3 2 2 4 2" xfId="13811" xr:uid="{00000000-0005-0000-0000-0000CB480000}"/>
    <cellStyle name="Normal 8 2 3 2 2 4 3" xfId="20072" xr:uid="{00000000-0005-0000-0000-0000CC480000}"/>
    <cellStyle name="Normal 8 2 3 2 2 5" xfId="13806" xr:uid="{00000000-0005-0000-0000-0000CD480000}"/>
    <cellStyle name="Normal 8 2 3 2 2 6" xfId="20067" xr:uid="{00000000-0005-0000-0000-0000CE480000}"/>
    <cellStyle name="Normal 8 2 3 2 3" xfId="7712" xr:uid="{00000000-0005-0000-0000-0000CF480000}"/>
    <cellStyle name="Normal 8 2 3 2 3 2" xfId="7713" xr:uid="{00000000-0005-0000-0000-0000D0480000}"/>
    <cellStyle name="Normal 8 2 3 2 3 2 2" xfId="13813" xr:uid="{00000000-0005-0000-0000-0000D1480000}"/>
    <cellStyle name="Normal 8 2 3 2 3 2 3" xfId="20074" xr:uid="{00000000-0005-0000-0000-0000D2480000}"/>
    <cellStyle name="Normal 8 2 3 2 3 3" xfId="13812" xr:uid="{00000000-0005-0000-0000-0000D3480000}"/>
    <cellStyle name="Normal 8 2 3 2 3 4" xfId="20073" xr:uid="{00000000-0005-0000-0000-0000D4480000}"/>
    <cellStyle name="Normal 8 2 3 2 4" xfId="7714" xr:uid="{00000000-0005-0000-0000-0000D5480000}"/>
    <cellStyle name="Normal 8 2 3 2 4 2" xfId="7715" xr:uid="{00000000-0005-0000-0000-0000D6480000}"/>
    <cellStyle name="Normal 8 2 3 2 4 2 2" xfId="13815" xr:uid="{00000000-0005-0000-0000-0000D7480000}"/>
    <cellStyle name="Normal 8 2 3 2 4 2 3" xfId="20076" xr:uid="{00000000-0005-0000-0000-0000D8480000}"/>
    <cellStyle name="Normal 8 2 3 2 4 3" xfId="13814" xr:uid="{00000000-0005-0000-0000-0000D9480000}"/>
    <cellStyle name="Normal 8 2 3 2 4 4" xfId="20075" xr:uid="{00000000-0005-0000-0000-0000DA480000}"/>
    <cellStyle name="Normal 8 2 3 2 5" xfId="7716" xr:uid="{00000000-0005-0000-0000-0000DB480000}"/>
    <cellStyle name="Normal 8 2 3 2 5 2" xfId="13816" xr:uid="{00000000-0005-0000-0000-0000DC480000}"/>
    <cellStyle name="Normal 8 2 3 2 5 3" xfId="20077" xr:uid="{00000000-0005-0000-0000-0000DD480000}"/>
    <cellStyle name="Normal 8 2 3 2 6" xfId="13805" xr:uid="{00000000-0005-0000-0000-0000DE480000}"/>
    <cellStyle name="Normal 8 2 3 2 7" xfId="20066" xr:uid="{00000000-0005-0000-0000-0000DF480000}"/>
    <cellStyle name="Normal 8 2 3 3" xfId="7717" xr:uid="{00000000-0005-0000-0000-0000E0480000}"/>
    <cellStyle name="Normal 8 2 3 3 2" xfId="7718" xr:uid="{00000000-0005-0000-0000-0000E1480000}"/>
    <cellStyle name="Normal 8 2 3 3 2 2" xfId="7719" xr:uid="{00000000-0005-0000-0000-0000E2480000}"/>
    <cellStyle name="Normal 8 2 3 3 2 2 2" xfId="13819" xr:uid="{00000000-0005-0000-0000-0000E3480000}"/>
    <cellStyle name="Normal 8 2 3 3 2 2 3" xfId="20080" xr:uid="{00000000-0005-0000-0000-0000E4480000}"/>
    <cellStyle name="Normal 8 2 3 3 2 3" xfId="13818" xr:uid="{00000000-0005-0000-0000-0000E5480000}"/>
    <cellStyle name="Normal 8 2 3 3 2 4" xfId="20079" xr:uid="{00000000-0005-0000-0000-0000E6480000}"/>
    <cellStyle name="Normal 8 2 3 3 3" xfId="7720" xr:uid="{00000000-0005-0000-0000-0000E7480000}"/>
    <cellStyle name="Normal 8 2 3 3 3 2" xfId="7721" xr:uid="{00000000-0005-0000-0000-0000E8480000}"/>
    <cellStyle name="Normal 8 2 3 3 3 2 2" xfId="13821" xr:uid="{00000000-0005-0000-0000-0000E9480000}"/>
    <cellStyle name="Normal 8 2 3 3 3 2 3" xfId="20082" xr:uid="{00000000-0005-0000-0000-0000EA480000}"/>
    <cellStyle name="Normal 8 2 3 3 3 3" xfId="13820" xr:uid="{00000000-0005-0000-0000-0000EB480000}"/>
    <cellStyle name="Normal 8 2 3 3 3 4" xfId="20081" xr:uid="{00000000-0005-0000-0000-0000EC480000}"/>
    <cellStyle name="Normal 8 2 3 3 4" xfId="7722" xr:uid="{00000000-0005-0000-0000-0000ED480000}"/>
    <cellStyle name="Normal 8 2 3 3 4 2" xfId="13822" xr:uid="{00000000-0005-0000-0000-0000EE480000}"/>
    <cellStyle name="Normal 8 2 3 3 4 3" xfId="20083" xr:uid="{00000000-0005-0000-0000-0000EF480000}"/>
    <cellStyle name="Normal 8 2 3 3 5" xfId="13817" xr:uid="{00000000-0005-0000-0000-0000F0480000}"/>
    <cellStyle name="Normal 8 2 3 3 6" xfId="20078" xr:uid="{00000000-0005-0000-0000-0000F1480000}"/>
    <cellStyle name="Normal 8 2 3 4" xfId="7723" xr:uid="{00000000-0005-0000-0000-0000F2480000}"/>
    <cellStyle name="Normal 8 2 3 4 2" xfId="7724" xr:uid="{00000000-0005-0000-0000-0000F3480000}"/>
    <cellStyle name="Normal 8 2 3 4 2 2" xfId="13824" xr:uid="{00000000-0005-0000-0000-0000F4480000}"/>
    <cellStyle name="Normal 8 2 3 4 2 3" xfId="20085" xr:uid="{00000000-0005-0000-0000-0000F5480000}"/>
    <cellStyle name="Normal 8 2 3 4 3" xfId="13823" xr:uid="{00000000-0005-0000-0000-0000F6480000}"/>
    <cellStyle name="Normal 8 2 3 4 4" xfId="20084" xr:uid="{00000000-0005-0000-0000-0000F7480000}"/>
    <cellStyle name="Normal 8 2 3 5" xfId="7725" xr:uid="{00000000-0005-0000-0000-0000F8480000}"/>
    <cellStyle name="Normal 8 2 3 5 2" xfId="7726" xr:uid="{00000000-0005-0000-0000-0000F9480000}"/>
    <cellStyle name="Normal 8 2 3 5 2 2" xfId="13826" xr:uid="{00000000-0005-0000-0000-0000FA480000}"/>
    <cellStyle name="Normal 8 2 3 5 2 3" xfId="20087" xr:uid="{00000000-0005-0000-0000-0000FB480000}"/>
    <cellStyle name="Normal 8 2 3 5 3" xfId="13825" xr:uid="{00000000-0005-0000-0000-0000FC480000}"/>
    <cellStyle name="Normal 8 2 3 5 4" xfId="20086" xr:uid="{00000000-0005-0000-0000-0000FD480000}"/>
    <cellStyle name="Normal 8 2 3 6" xfId="7727" xr:uid="{00000000-0005-0000-0000-0000FE480000}"/>
    <cellStyle name="Normal 8 2 3 6 2" xfId="13827" xr:uid="{00000000-0005-0000-0000-0000FF480000}"/>
    <cellStyle name="Normal 8 2 3 6 3" xfId="20088" xr:uid="{00000000-0005-0000-0000-000000490000}"/>
    <cellStyle name="Normal 8 2 3 7" xfId="13804" xr:uid="{00000000-0005-0000-0000-000001490000}"/>
    <cellStyle name="Normal 8 2 3 8" xfId="20065" xr:uid="{00000000-0005-0000-0000-000002490000}"/>
    <cellStyle name="Normal 8 2 4" xfId="7728" xr:uid="{00000000-0005-0000-0000-000003490000}"/>
    <cellStyle name="Normal 8 2 4 2" xfId="7729" xr:uid="{00000000-0005-0000-0000-000004490000}"/>
    <cellStyle name="Normal 8 2 4 2 2" xfId="7730" xr:uid="{00000000-0005-0000-0000-000005490000}"/>
    <cellStyle name="Normal 8 2 4 2 2 2" xfId="7731" xr:uid="{00000000-0005-0000-0000-000006490000}"/>
    <cellStyle name="Normal 8 2 4 2 2 2 2" xfId="13831" xr:uid="{00000000-0005-0000-0000-000007490000}"/>
    <cellStyle name="Normal 8 2 4 2 2 2 3" xfId="20092" xr:uid="{00000000-0005-0000-0000-000008490000}"/>
    <cellStyle name="Normal 8 2 4 2 2 3" xfId="13830" xr:uid="{00000000-0005-0000-0000-000009490000}"/>
    <cellStyle name="Normal 8 2 4 2 2 4" xfId="20091" xr:uid="{00000000-0005-0000-0000-00000A490000}"/>
    <cellStyle name="Normal 8 2 4 2 3" xfId="7732" xr:uid="{00000000-0005-0000-0000-00000B490000}"/>
    <cellStyle name="Normal 8 2 4 2 3 2" xfId="7733" xr:uid="{00000000-0005-0000-0000-00000C490000}"/>
    <cellStyle name="Normal 8 2 4 2 3 2 2" xfId="13833" xr:uid="{00000000-0005-0000-0000-00000D490000}"/>
    <cellStyle name="Normal 8 2 4 2 3 2 3" xfId="20094" xr:uid="{00000000-0005-0000-0000-00000E490000}"/>
    <cellStyle name="Normal 8 2 4 2 3 3" xfId="13832" xr:uid="{00000000-0005-0000-0000-00000F490000}"/>
    <cellStyle name="Normal 8 2 4 2 3 4" xfId="20093" xr:uid="{00000000-0005-0000-0000-000010490000}"/>
    <cellStyle name="Normal 8 2 4 2 4" xfId="7734" xr:uid="{00000000-0005-0000-0000-000011490000}"/>
    <cellStyle name="Normal 8 2 4 2 4 2" xfId="13834" xr:uid="{00000000-0005-0000-0000-000012490000}"/>
    <cellStyle name="Normal 8 2 4 2 4 3" xfId="20095" xr:uid="{00000000-0005-0000-0000-000013490000}"/>
    <cellStyle name="Normal 8 2 4 2 5" xfId="13829" xr:uid="{00000000-0005-0000-0000-000014490000}"/>
    <cellStyle name="Normal 8 2 4 2 6" xfId="20090" xr:uid="{00000000-0005-0000-0000-000015490000}"/>
    <cellStyle name="Normal 8 2 4 3" xfId="7735" xr:uid="{00000000-0005-0000-0000-000016490000}"/>
    <cellStyle name="Normal 8 2 4 3 2" xfId="7736" xr:uid="{00000000-0005-0000-0000-000017490000}"/>
    <cellStyle name="Normal 8 2 4 3 2 2" xfId="13836" xr:uid="{00000000-0005-0000-0000-000018490000}"/>
    <cellStyle name="Normal 8 2 4 3 2 3" xfId="20097" xr:uid="{00000000-0005-0000-0000-000019490000}"/>
    <cellStyle name="Normal 8 2 4 3 3" xfId="13835" xr:uid="{00000000-0005-0000-0000-00001A490000}"/>
    <cellStyle name="Normal 8 2 4 3 4" xfId="20096" xr:uid="{00000000-0005-0000-0000-00001B490000}"/>
    <cellStyle name="Normal 8 2 4 4" xfId="7737" xr:uid="{00000000-0005-0000-0000-00001C490000}"/>
    <cellStyle name="Normal 8 2 4 4 2" xfId="7738" xr:uid="{00000000-0005-0000-0000-00001D490000}"/>
    <cellStyle name="Normal 8 2 4 4 2 2" xfId="13838" xr:uid="{00000000-0005-0000-0000-00001E490000}"/>
    <cellStyle name="Normal 8 2 4 4 2 3" xfId="20099" xr:uid="{00000000-0005-0000-0000-00001F490000}"/>
    <cellStyle name="Normal 8 2 4 4 3" xfId="13837" xr:uid="{00000000-0005-0000-0000-000020490000}"/>
    <cellStyle name="Normal 8 2 4 4 4" xfId="20098" xr:uid="{00000000-0005-0000-0000-000021490000}"/>
    <cellStyle name="Normal 8 2 4 5" xfId="7739" xr:uid="{00000000-0005-0000-0000-000022490000}"/>
    <cellStyle name="Normal 8 2 4 5 2" xfId="13839" xr:uid="{00000000-0005-0000-0000-000023490000}"/>
    <cellStyle name="Normal 8 2 4 5 3" xfId="20100" xr:uid="{00000000-0005-0000-0000-000024490000}"/>
    <cellStyle name="Normal 8 2 4 6" xfId="13828" xr:uid="{00000000-0005-0000-0000-000025490000}"/>
    <cellStyle name="Normal 8 2 4 7" xfId="20089" xr:uid="{00000000-0005-0000-0000-000026490000}"/>
    <cellStyle name="Normal 8 2 5" xfId="7740" xr:uid="{00000000-0005-0000-0000-000027490000}"/>
    <cellStyle name="Normal 8 2 5 2" xfId="7741" xr:uid="{00000000-0005-0000-0000-000028490000}"/>
    <cellStyle name="Normal 8 2 5 2 2" xfId="7742" xr:uid="{00000000-0005-0000-0000-000029490000}"/>
    <cellStyle name="Normal 8 2 5 2 2 2" xfId="13842" xr:uid="{00000000-0005-0000-0000-00002A490000}"/>
    <cellStyle name="Normal 8 2 5 2 2 3" xfId="20103" xr:uid="{00000000-0005-0000-0000-00002B490000}"/>
    <cellStyle name="Normal 8 2 5 2 3" xfId="13841" xr:uid="{00000000-0005-0000-0000-00002C490000}"/>
    <cellStyle name="Normal 8 2 5 2 4" xfId="20102" xr:uid="{00000000-0005-0000-0000-00002D490000}"/>
    <cellStyle name="Normal 8 2 5 3" xfId="7743" xr:uid="{00000000-0005-0000-0000-00002E490000}"/>
    <cellStyle name="Normal 8 2 5 3 2" xfId="7744" xr:uid="{00000000-0005-0000-0000-00002F490000}"/>
    <cellStyle name="Normal 8 2 5 3 2 2" xfId="13844" xr:uid="{00000000-0005-0000-0000-000030490000}"/>
    <cellStyle name="Normal 8 2 5 3 2 3" xfId="20105" xr:uid="{00000000-0005-0000-0000-000031490000}"/>
    <cellStyle name="Normal 8 2 5 3 3" xfId="13843" xr:uid="{00000000-0005-0000-0000-000032490000}"/>
    <cellStyle name="Normal 8 2 5 3 4" xfId="20104" xr:uid="{00000000-0005-0000-0000-000033490000}"/>
    <cellStyle name="Normal 8 2 5 4" xfId="7745" xr:uid="{00000000-0005-0000-0000-000034490000}"/>
    <cellStyle name="Normal 8 2 5 4 2" xfId="13845" xr:uid="{00000000-0005-0000-0000-000035490000}"/>
    <cellStyle name="Normal 8 2 5 4 3" xfId="20106" xr:uid="{00000000-0005-0000-0000-000036490000}"/>
    <cellStyle name="Normal 8 2 5 5" xfId="13840" xr:uid="{00000000-0005-0000-0000-000037490000}"/>
    <cellStyle name="Normal 8 2 5 6" xfId="20101" xr:uid="{00000000-0005-0000-0000-000038490000}"/>
    <cellStyle name="Normal 8 2 6" xfId="7746" xr:uid="{00000000-0005-0000-0000-000039490000}"/>
    <cellStyle name="Normal 8 2 6 2" xfId="7747" xr:uid="{00000000-0005-0000-0000-00003A490000}"/>
    <cellStyle name="Normal 8 2 6 2 2" xfId="13847" xr:uid="{00000000-0005-0000-0000-00003B490000}"/>
    <cellStyle name="Normal 8 2 6 2 3" xfId="20108" xr:uid="{00000000-0005-0000-0000-00003C490000}"/>
    <cellStyle name="Normal 8 2 6 3" xfId="13846" xr:uid="{00000000-0005-0000-0000-00003D490000}"/>
    <cellStyle name="Normal 8 2 6 4" xfId="20107" xr:uid="{00000000-0005-0000-0000-00003E490000}"/>
    <cellStyle name="Normal 8 2 7" xfId="7748" xr:uid="{00000000-0005-0000-0000-00003F490000}"/>
    <cellStyle name="Normal 8 2 7 2" xfId="7749" xr:uid="{00000000-0005-0000-0000-000040490000}"/>
    <cellStyle name="Normal 8 2 7 2 2" xfId="13849" xr:uid="{00000000-0005-0000-0000-000041490000}"/>
    <cellStyle name="Normal 8 2 7 2 3" xfId="20110" xr:uid="{00000000-0005-0000-0000-000042490000}"/>
    <cellStyle name="Normal 8 2 7 3" xfId="13848" xr:uid="{00000000-0005-0000-0000-000043490000}"/>
    <cellStyle name="Normal 8 2 7 4" xfId="20109" xr:uid="{00000000-0005-0000-0000-000044490000}"/>
    <cellStyle name="Normal 8 2 8" xfId="7750" xr:uid="{00000000-0005-0000-0000-000045490000}"/>
    <cellStyle name="Normal 8 2 8 2" xfId="13850" xr:uid="{00000000-0005-0000-0000-000046490000}"/>
    <cellStyle name="Normal 8 2 8 3" xfId="20111" xr:uid="{00000000-0005-0000-0000-000047490000}"/>
    <cellStyle name="Normal 8 2 9" xfId="7751" xr:uid="{00000000-0005-0000-0000-000048490000}"/>
    <cellStyle name="Normal 8 2 9 2" xfId="13851" xr:uid="{00000000-0005-0000-0000-000049490000}"/>
    <cellStyle name="Normal 8 2 9 3" xfId="20112" xr:uid="{00000000-0005-0000-0000-00004A490000}"/>
    <cellStyle name="Normal 8 3" xfId="7752" xr:uid="{00000000-0005-0000-0000-00004B490000}"/>
    <cellStyle name="Normal 8 3 10" xfId="20113" xr:uid="{00000000-0005-0000-0000-00004C490000}"/>
    <cellStyle name="Normal 8 3 2" xfId="7753" xr:uid="{00000000-0005-0000-0000-00004D490000}"/>
    <cellStyle name="Normal 8 3 2 2" xfId="7754" xr:uid="{00000000-0005-0000-0000-00004E490000}"/>
    <cellStyle name="Normal 8 3 2 2 2" xfId="7755" xr:uid="{00000000-0005-0000-0000-00004F490000}"/>
    <cellStyle name="Normal 8 3 2 2 2 2" xfId="7756" xr:uid="{00000000-0005-0000-0000-000050490000}"/>
    <cellStyle name="Normal 8 3 2 2 2 2 2" xfId="7757" xr:uid="{00000000-0005-0000-0000-000051490000}"/>
    <cellStyle name="Normal 8 3 2 2 2 2 2 2" xfId="13857" xr:uid="{00000000-0005-0000-0000-000052490000}"/>
    <cellStyle name="Normal 8 3 2 2 2 2 2 3" xfId="20118" xr:uid="{00000000-0005-0000-0000-000053490000}"/>
    <cellStyle name="Normal 8 3 2 2 2 2 3" xfId="13856" xr:uid="{00000000-0005-0000-0000-000054490000}"/>
    <cellStyle name="Normal 8 3 2 2 2 2 4" xfId="20117" xr:uid="{00000000-0005-0000-0000-000055490000}"/>
    <cellStyle name="Normal 8 3 2 2 2 3" xfId="7758" xr:uid="{00000000-0005-0000-0000-000056490000}"/>
    <cellStyle name="Normal 8 3 2 2 2 3 2" xfId="7759" xr:uid="{00000000-0005-0000-0000-000057490000}"/>
    <cellStyle name="Normal 8 3 2 2 2 3 2 2" xfId="13859" xr:uid="{00000000-0005-0000-0000-000058490000}"/>
    <cellStyle name="Normal 8 3 2 2 2 3 2 3" xfId="20120" xr:uid="{00000000-0005-0000-0000-000059490000}"/>
    <cellStyle name="Normal 8 3 2 2 2 3 3" xfId="13858" xr:uid="{00000000-0005-0000-0000-00005A490000}"/>
    <cellStyle name="Normal 8 3 2 2 2 3 4" xfId="20119" xr:uid="{00000000-0005-0000-0000-00005B490000}"/>
    <cellStyle name="Normal 8 3 2 2 2 4" xfId="7760" xr:uid="{00000000-0005-0000-0000-00005C490000}"/>
    <cellStyle name="Normal 8 3 2 2 2 4 2" xfId="13860" xr:uid="{00000000-0005-0000-0000-00005D490000}"/>
    <cellStyle name="Normal 8 3 2 2 2 4 3" xfId="20121" xr:uid="{00000000-0005-0000-0000-00005E490000}"/>
    <cellStyle name="Normal 8 3 2 2 2 5" xfId="13855" xr:uid="{00000000-0005-0000-0000-00005F490000}"/>
    <cellStyle name="Normal 8 3 2 2 2 6" xfId="20116" xr:uid="{00000000-0005-0000-0000-000060490000}"/>
    <cellStyle name="Normal 8 3 2 2 3" xfId="7761" xr:uid="{00000000-0005-0000-0000-000061490000}"/>
    <cellStyle name="Normal 8 3 2 2 3 2" xfId="7762" xr:uid="{00000000-0005-0000-0000-000062490000}"/>
    <cellStyle name="Normal 8 3 2 2 3 2 2" xfId="13862" xr:uid="{00000000-0005-0000-0000-000063490000}"/>
    <cellStyle name="Normal 8 3 2 2 3 2 3" xfId="20123" xr:uid="{00000000-0005-0000-0000-000064490000}"/>
    <cellStyle name="Normal 8 3 2 2 3 3" xfId="13861" xr:uid="{00000000-0005-0000-0000-000065490000}"/>
    <cellStyle name="Normal 8 3 2 2 3 4" xfId="20122" xr:uid="{00000000-0005-0000-0000-000066490000}"/>
    <cellStyle name="Normal 8 3 2 2 4" xfId="7763" xr:uid="{00000000-0005-0000-0000-000067490000}"/>
    <cellStyle name="Normal 8 3 2 2 4 2" xfId="7764" xr:uid="{00000000-0005-0000-0000-000068490000}"/>
    <cellStyle name="Normal 8 3 2 2 4 2 2" xfId="13864" xr:uid="{00000000-0005-0000-0000-000069490000}"/>
    <cellStyle name="Normal 8 3 2 2 4 2 3" xfId="20125" xr:uid="{00000000-0005-0000-0000-00006A490000}"/>
    <cellStyle name="Normal 8 3 2 2 4 3" xfId="13863" xr:uid="{00000000-0005-0000-0000-00006B490000}"/>
    <cellStyle name="Normal 8 3 2 2 4 4" xfId="20124" xr:uid="{00000000-0005-0000-0000-00006C490000}"/>
    <cellStyle name="Normal 8 3 2 2 5" xfId="7765" xr:uid="{00000000-0005-0000-0000-00006D490000}"/>
    <cellStyle name="Normal 8 3 2 2 5 2" xfId="13865" xr:uid="{00000000-0005-0000-0000-00006E490000}"/>
    <cellStyle name="Normal 8 3 2 2 5 3" xfId="20126" xr:uid="{00000000-0005-0000-0000-00006F490000}"/>
    <cellStyle name="Normal 8 3 2 2 6" xfId="13854" xr:uid="{00000000-0005-0000-0000-000070490000}"/>
    <cellStyle name="Normal 8 3 2 2 7" xfId="20115" xr:uid="{00000000-0005-0000-0000-000071490000}"/>
    <cellStyle name="Normal 8 3 2 3" xfId="7766" xr:uid="{00000000-0005-0000-0000-000072490000}"/>
    <cellStyle name="Normal 8 3 2 3 2" xfId="7767" xr:uid="{00000000-0005-0000-0000-000073490000}"/>
    <cellStyle name="Normal 8 3 2 3 2 2" xfId="7768" xr:uid="{00000000-0005-0000-0000-000074490000}"/>
    <cellStyle name="Normal 8 3 2 3 2 2 2" xfId="13868" xr:uid="{00000000-0005-0000-0000-000075490000}"/>
    <cellStyle name="Normal 8 3 2 3 2 2 3" xfId="20129" xr:uid="{00000000-0005-0000-0000-000076490000}"/>
    <cellStyle name="Normal 8 3 2 3 2 3" xfId="13867" xr:uid="{00000000-0005-0000-0000-000077490000}"/>
    <cellStyle name="Normal 8 3 2 3 2 4" xfId="20128" xr:uid="{00000000-0005-0000-0000-000078490000}"/>
    <cellStyle name="Normal 8 3 2 3 3" xfId="7769" xr:uid="{00000000-0005-0000-0000-000079490000}"/>
    <cellStyle name="Normal 8 3 2 3 3 2" xfId="7770" xr:uid="{00000000-0005-0000-0000-00007A490000}"/>
    <cellStyle name="Normal 8 3 2 3 3 2 2" xfId="13870" xr:uid="{00000000-0005-0000-0000-00007B490000}"/>
    <cellStyle name="Normal 8 3 2 3 3 2 3" xfId="20131" xr:uid="{00000000-0005-0000-0000-00007C490000}"/>
    <cellStyle name="Normal 8 3 2 3 3 3" xfId="13869" xr:uid="{00000000-0005-0000-0000-00007D490000}"/>
    <cellStyle name="Normal 8 3 2 3 3 4" xfId="20130" xr:uid="{00000000-0005-0000-0000-00007E490000}"/>
    <cellStyle name="Normal 8 3 2 3 4" xfId="7771" xr:uid="{00000000-0005-0000-0000-00007F490000}"/>
    <cellStyle name="Normal 8 3 2 3 4 2" xfId="13871" xr:uid="{00000000-0005-0000-0000-000080490000}"/>
    <cellStyle name="Normal 8 3 2 3 4 3" xfId="20132" xr:uid="{00000000-0005-0000-0000-000081490000}"/>
    <cellStyle name="Normal 8 3 2 3 5" xfId="13866" xr:uid="{00000000-0005-0000-0000-000082490000}"/>
    <cellStyle name="Normal 8 3 2 3 6" xfId="20127" xr:uid="{00000000-0005-0000-0000-000083490000}"/>
    <cellStyle name="Normal 8 3 2 4" xfId="7772" xr:uid="{00000000-0005-0000-0000-000084490000}"/>
    <cellStyle name="Normal 8 3 2 4 2" xfId="7773" xr:uid="{00000000-0005-0000-0000-000085490000}"/>
    <cellStyle name="Normal 8 3 2 4 2 2" xfId="13873" xr:uid="{00000000-0005-0000-0000-000086490000}"/>
    <cellStyle name="Normal 8 3 2 4 2 3" xfId="20134" xr:uid="{00000000-0005-0000-0000-000087490000}"/>
    <cellStyle name="Normal 8 3 2 4 3" xfId="13872" xr:uid="{00000000-0005-0000-0000-000088490000}"/>
    <cellStyle name="Normal 8 3 2 4 4" xfId="20133" xr:uid="{00000000-0005-0000-0000-000089490000}"/>
    <cellStyle name="Normal 8 3 2 5" xfId="7774" xr:uid="{00000000-0005-0000-0000-00008A490000}"/>
    <cellStyle name="Normal 8 3 2 5 2" xfId="7775" xr:uid="{00000000-0005-0000-0000-00008B490000}"/>
    <cellStyle name="Normal 8 3 2 5 2 2" xfId="13875" xr:uid="{00000000-0005-0000-0000-00008C490000}"/>
    <cellStyle name="Normal 8 3 2 5 2 3" xfId="20136" xr:uid="{00000000-0005-0000-0000-00008D490000}"/>
    <cellStyle name="Normal 8 3 2 5 3" xfId="13874" xr:uid="{00000000-0005-0000-0000-00008E490000}"/>
    <cellStyle name="Normal 8 3 2 5 4" xfId="20135" xr:uid="{00000000-0005-0000-0000-00008F490000}"/>
    <cellStyle name="Normal 8 3 2 6" xfId="7776" xr:uid="{00000000-0005-0000-0000-000090490000}"/>
    <cellStyle name="Normal 8 3 2 6 2" xfId="13876" xr:uid="{00000000-0005-0000-0000-000091490000}"/>
    <cellStyle name="Normal 8 3 2 6 3" xfId="20137" xr:uid="{00000000-0005-0000-0000-000092490000}"/>
    <cellStyle name="Normal 8 3 2 7" xfId="13853" xr:uid="{00000000-0005-0000-0000-000093490000}"/>
    <cellStyle name="Normal 8 3 2 8" xfId="20114" xr:uid="{00000000-0005-0000-0000-000094490000}"/>
    <cellStyle name="Normal 8 3 3" xfId="7777" xr:uid="{00000000-0005-0000-0000-000095490000}"/>
    <cellStyle name="Normal 8 3 3 2" xfId="7778" xr:uid="{00000000-0005-0000-0000-000096490000}"/>
    <cellStyle name="Normal 8 3 3 2 2" xfId="7779" xr:uid="{00000000-0005-0000-0000-000097490000}"/>
    <cellStyle name="Normal 8 3 3 2 2 2" xfId="7780" xr:uid="{00000000-0005-0000-0000-000098490000}"/>
    <cellStyle name="Normal 8 3 3 2 2 2 2" xfId="13880" xr:uid="{00000000-0005-0000-0000-000099490000}"/>
    <cellStyle name="Normal 8 3 3 2 2 2 3" xfId="20141" xr:uid="{00000000-0005-0000-0000-00009A490000}"/>
    <cellStyle name="Normal 8 3 3 2 2 3" xfId="13879" xr:uid="{00000000-0005-0000-0000-00009B490000}"/>
    <cellStyle name="Normal 8 3 3 2 2 4" xfId="20140" xr:uid="{00000000-0005-0000-0000-00009C490000}"/>
    <cellStyle name="Normal 8 3 3 2 3" xfId="7781" xr:uid="{00000000-0005-0000-0000-00009D490000}"/>
    <cellStyle name="Normal 8 3 3 2 3 2" xfId="7782" xr:uid="{00000000-0005-0000-0000-00009E490000}"/>
    <cellStyle name="Normal 8 3 3 2 3 2 2" xfId="13882" xr:uid="{00000000-0005-0000-0000-00009F490000}"/>
    <cellStyle name="Normal 8 3 3 2 3 2 3" xfId="20143" xr:uid="{00000000-0005-0000-0000-0000A0490000}"/>
    <cellStyle name="Normal 8 3 3 2 3 3" xfId="13881" xr:uid="{00000000-0005-0000-0000-0000A1490000}"/>
    <cellStyle name="Normal 8 3 3 2 3 4" xfId="20142" xr:uid="{00000000-0005-0000-0000-0000A2490000}"/>
    <cellStyle name="Normal 8 3 3 2 4" xfId="7783" xr:uid="{00000000-0005-0000-0000-0000A3490000}"/>
    <cellStyle name="Normal 8 3 3 2 4 2" xfId="13883" xr:uid="{00000000-0005-0000-0000-0000A4490000}"/>
    <cellStyle name="Normal 8 3 3 2 4 3" xfId="20144" xr:uid="{00000000-0005-0000-0000-0000A5490000}"/>
    <cellStyle name="Normal 8 3 3 2 5" xfId="13878" xr:uid="{00000000-0005-0000-0000-0000A6490000}"/>
    <cellStyle name="Normal 8 3 3 2 6" xfId="20139" xr:uid="{00000000-0005-0000-0000-0000A7490000}"/>
    <cellStyle name="Normal 8 3 3 3" xfId="7784" xr:uid="{00000000-0005-0000-0000-0000A8490000}"/>
    <cellStyle name="Normal 8 3 3 3 2" xfId="7785" xr:uid="{00000000-0005-0000-0000-0000A9490000}"/>
    <cellStyle name="Normal 8 3 3 3 2 2" xfId="13885" xr:uid="{00000000-0005-0000-0000-0000AA490000}"/>
    <cellStyle name="Normal 8 3 3 3 2 3" xfId="20146" xr:uid="{00000000-0005-0000-0000-0000AB490000}"/>
    <cellStyle name="Normal 8 3 3 3 3" xfId="13884" xr:uid="{00000000-0005-0000-0000-0000AC490000}"/>
    <cellStyle name="Normal 8 3 3 3 4" xfId="20145" xr:uid="{00000000-0005-0000-0000-0000AD490000}"/>
    <cellStyle name="Normal 8 3 3 4" xfId="7786" xr:uid="{00000000-0005-0000-0000-0000AE490000}"/>
    <cellStyle name="Normal 8 3 3 4 2" xfId="7787" xr:uid="{00000000-0005-0000-0000-0000AF490000}"/>
    <cellStyle name="Normal 8 3 3 4 2 2" xfId="13887" xr:uid="{00000000-0005-0000-0000-0000B0490000}"/>
    <cellStyle name="Normal 8 3 3 4 2 3" xfId="20148" xr:uid="{00000000-0005-0000-0000-0000B1490000}"/>
    <cellStyle name="Normal 8 3 3 4 3" xfId="13886" xr:uid="{00000000-0005-0000-0000-0000B2490000}"/>
    <cellStyle name="Normal 8 3 3 4 4" xfId="20147" xr:uid="{00000000-0005-0000-0000-0000B3490000}"/>
    <cellStyle name="Normal 8 3 3 5" xfId="7788" xr:uid="{00000000-0005-0000-0000-0000B4490000}"/>
    <cellStyle name="Normal 8 3 3 5 2" xfId="13888" xr:uid="{00000000-0005-0000-0000-0000B5490000}"/>
    <cellStyle name="Normal 8 3 3 5 3" xfId="20149" xr:uid="{00000000-0005-0000-0000-0000B6490000}"/>
    <cellStyle name="Normal 8 3 3 6" xfId="13877" xr:uid="{00000000-0005-0000-0000-0000B7490000}"/>
    <cellStyle name="Normal 8 3 3 7" xfId="20138" xr:uid="{00000000-0005-0000-0000-0000B8490000}"/>
    <cellStyle name="Normal 8 3 4" xfId="7789" xr:uid="{00000000-0005-0000-0000-0000B9490000}"/>
    <cellStyle name="Normal 8 3 4 2" xfId="7790" xr:uid="{00000000-0005-0000-0000-0000BA490000}"/>
    <cellStyle name="Normal 8 3 4 2 2" xfId="7791" xr:uid="{00000000-0005-0000-0000-0000BB490000}"/>
    <cellStyle name="Normal 8 3 4 2 2 2" xfId="13891" xr:uid="{00000000-0005-0000-0000-0000BC490000}"/>
    <cellStyle name="Normal 8 3 4 2 2 3" xfId="20152" xr:uid="{00000000-0005-0000-0000-0000BD490000}"/>
    <cellStyle name="Normal 8 3 4 2 3" xfId="13890" xr:uid="{00000000-0005-0000-0000-0000BE490000}"/>
    <cellStyle name="Normal 8 3 4 2 4" xfId="20151" xr:uid="{00000000-0005-0000-0000-0000BF490000}"/>
    <cellStyle name="Normal 8 3 4 3" xfId="7792" xr:uid="{00000000-0005-0000-0000-0000C0490000}"/>
    <cellStyle name="Normal 8 3 4 3 2" xfId="7793" xr:uid="{00000000-0005-0000-0000-0000C1490000}"/>
    <cellStyle name="Normal 8 3 4 3 2 2" xfId="13893" xr:uid="{00000000-0005-0000-0000-0000C2490000}"/>
    <cellStyle name="Normal 8 3 4 3 2 3" xfId="20154" xr:uid="{00000000-0005-0000-0000-0000C3490000}"/>
    <cellStyle name="Normal 8 3 4 3 3" xfId="13892" xr:uid="{00000000-0005-0000-0000-0000C4490000}"/>
    <cellStyle name="Normal 8 3 4 3 4" xfId="20153" xr:uid="{00000000-0005-0000-0000-0000C5490000}"/>
    <cellStyle name="Normal 8 3 4 4" xfId="7794" xr:uid="{00000000-0005-0000-0000-0000C6490000}"/>
    <cellStyle name="Normal 8 3 4 4 2" xfId="13894" xr:uid="{00000000-0005-0000-0000-0000C7490000}"/>
    <cellStyle name="Normal 8 3 4 4 3" xfId="20155" xr:uid="{00000000-0005-0000-0000-0000C8490000}"/>
    <cellStyle name="Normal 8 3 4 5" xfId="13889" xr:uid="{00000000-0005-0000-0000-0000C9490000}"/>
    <cellStyle name="Normal 8 3 4 6" xfId="20150" xr:uid="{00000000-0005-0000-0000-0000CA490000}"/>
    <cellStyle name="Normal 8 3 5" xfId="7795" xr:uid="{00000000-0005-0000-0000-0000CB490000}"/>
    <cellStyle name="Normal 8 3 5 2" xfId="7796" xr:uid="{00000000-0005-0000-0000-0000CC490000}"/>
    <cellStyle name="Normal 8 3 5 2 2" xfId="13896" xr:uid="{00000000-0005-0000-0000-0000CD490000}"/>
    <cellStyle name="Normal 8 3 5 2 3" xfId="20157" xr:uid="{00000000-0005-0000-0000-0000CE490000}"/>
    <cellStyle name="Normal 8 3 5 3" xfId="13895" xr:uid="{00000000-0005-0000-0000-0000CF490000}"/>
    <cellStyle name="Normal 8 3 5 4" xfId="20156" xr:uid="{00000000-0005-0000-0000-0000D0490000}"/>
    <cellStyle name="Normal 8 3 6" xfId="7797" xr:uid="{00000000-0005-0000-0000-0000D1490000}"/>
    <cellStyle name="Normal 8 3 6 2" xfId="7798" xr:uid="{00000000-0005-0000-0000-0000D2490000}"/>
    <cellStyle name="Normal 8 3 6 2 2" xfId="13898" xr:uid="{00000000-0005-0000-0000-0000D3490000}"/>
    <cellStyle name="Normal 8 3 6 2 3" xfId="20159" xr:uid="{00000000-0005-0000-0000-0000D4490000}"/>
    <cellStyle name="Normal 8 3 6 3" xfId="13897" xr:uid="{00000000-0005-0000-0000-0000D5490000}"/>
    <cellStyle name="Normal 8 3 6 4" xfId="20158" xr:uid="{00000000-0005-0000-0000-0000D6490000}"/>
    <cellStyle name="Normal 8 3 7" xfId="7799" xr:uid="{00000000-0005-0000-0000-0000D7490000}"/>
    <cellStyle name="Normal 8 3 7 2" xfId="13899" xr:uid="{00000000-0005-0000-0000-0000D8490000}"/>
    <cellStyle name="Normal 8 3 7 3" xfId="20160" xr:uid="{00000000-0005-0000-0000-0000D9490000}"/>
    <cellStyle name="Normal 8 3 8" xfId="7800" xr:uid="{00000000-0005-0000-0000-0000DA490000}"/>
    <cellStyle name="Normal 8 3 8 2" xfId="20161" xr:uid="{00000000-0005-0000-0000-0000DB490000}"/>
    <cellStyle name="Normal 8 3 9" xfId="13852" xr:uid="{00000000-0005-0000-0000-0000DC490000}"/>
    <cellStyle name="Normal 8 4" xfId="7801" xr:uid="{00000000-0005-0000-0000-0000DD490000}"/>
    <cellStyle name="Normal 8 4 2" xfId="7802" xr:uid="{00000000-0005-0000-0000-0000DE490000}"/>
    <cellStyle name="Normal 8 4 2 2" xfId="7803" xr:uid="{00000000-0005-0000-0000-0000DF490000}"/>
    <cellStyle name="Normal 8 4 2 2 2" xfId="7804" xr:uid="{00000000-0005-0000-0000-0000E0490000}"/>
    <cellStyle name="Normal 8 4 2 2 2 2" xfId="7805" xr:uid="{00000000-0005-0000-0000-0000E1490000}"/>
    <cellStyle name="Normal 8 4 2 2 2 2 2" xfId="7806" xr:uid="{00000000-0005-0000-0000-0000E2490000}"/>
    <cellStyle name="Normal 8 4 2 2 2 2 2 2" xfId="13905" xr:uid="{00000000-0005-0000-0000-0000E3490000}"/>
    <cellStyle name="Normal 8 4 2 2 2 2 2 3" xfId="20167" xr:uid="{00000000-0005-0000-0000-0000E4490000}"/>
    <cellStyle name="Normal 8 4 2 2 2 2 3" xfId="13904" xr:uid="{00000000-0005-0000-0000-0000E5490000}"/>
    <cellStyle name="Normal 8 4 2 2 2 2 4" xfId="20166" xr:uid="{00000000-0005-0000-0000-0000E6490000}"/>
    <cellStyle name="Normal 8 4 2 2 2 3" xfId="7807" xr:uid="{00000000-0005-0000-0000-0000E7490000}"/>
    <cellStyle name="Normal 8 4 2 2 2 3 2" xfId="7808" xr:uid="{00000000-0005-0000-0000-0000E8490000}"/>
    <cellStyle name="Normal 8 4 2 2 2 3 2 2" xfId="13907" xr:uid="{00000000-0005-0000-0000-0000E9490000}"/>
    <cellStyle name="Normal 8 4 2 2 2 3 2 3" xfId="20169" xr:uid="{00000000-0005-0000-0000-0000EA490000}"/>
    <cellStyle name="Normal 8 4 2 2 2 3 3" xfId="13906" xr:uid="{00000000-0005-0000-0000-0000EB490000}"/>
    <cellStyle name="Normal 8 4 2 2 2 3 4" xfId="20168" xr:uid="{00000000-0005-0000-0000-0000EC490000}"/>
    <cellStyle name="Normal 8 4 2 2 2 4" xfId="7809" xr:uid="{00000000-0005-0000-0000-0000ED490000}"/>
    <cellStyle name="Normal 8 4 2 2 2 4 2" xfId="13908" xr:uid="{00000000-0005-0000-0000-0000EE490000}"/>
    <cellStyle name="Normal 8 4 2 2 2 4 3" xfId="20170" xr:uid="{00000000-0005-0000-0000-0000EF490000}"/>
    <cellStyle name="Normal 8 4 2 2 2 5" xfId="13903" xr:uid="{00000000-0005-0000-0000-0000F0490000}"/>
    <cellStyle name="Normal 8 4 2 2 2 6" xfId="20165" xr:uid="{00000000-0005-0000-0000-0000F1490000}"/>
    <cellStyle name="Normal 8 4 2 2 3" xfId="7810" xr:uid="{00000000-0005-0000-0000-0000F2490000}"/>
    <cellStyle name="Normal 8 4 2 2 3 2" xfId="7811" xr:uid="{00000000-0005-0000-0000-0000F3490000}"/>
    <cellStyle name="Normal 8 4 2 2 3 2 2" xfId="13910" xr:uid="{00000000-0005-0000-0000-0000F4490000}"/>
    <cellStyle name="Normal 8 4 2 2 3 2 3" xfId="20172" xr:uid="{00000000-0005-0000-0000-0000F5490000}"/>
    <cellStyle name="Normal 8 4 2 2 3 3" xfId="13909" xr:uid="{00000000-0005-0000-0000-0000F6490000}"/>
    <cellStyle name="Normal 8 4 2 2 3 4" xfId="20171" xr:uid="{00000000-0005-0000-0000-0000F7490000}"/>
    <cellStyle name="Normal 8 4 2 2 4" xfId="7812" xr:uid="{00000000-0005-0000-0000-0000F8490000}"/>
    <cellStyle name="Normal 8 4 2 2 4 2" xfId="7813" xr:uid="{00000000-0005-0000-0000-0000F9490000}"/>
    <cellStyle name="Normal 8 4 2 2 4 2 2" xfId="13912" xr:uid="{00000000-0005-0000-0000-0000FA490000}"/>
    <cellStyle name="Normal 8 4 2 2 4 2 3" xfId="20174" xr:uid="{00000000-0005-0000-0000-0000FB490000}"/>
    <cellStyle name="Normal 8 4 2 2 4 3" xfId="13911" xr:uid="{00000000-0005-0000-0000-0000FC490000}"/>
    <cellStyle name="Normal 8 4 2 2 4 4" xfId="20173" xr:uid="{00000000-0005-0000-0000-0000FD490000}"/>
    <cellStyle name="Normal 8 4 2 2 5" xfId="7814" xr:uid="{00000000-0005-0000-0000-0000FE490000}"/>
    <cellStyle name="Normal 8 4 2 2 5 2" xfId="13913" xr:uid="{00000000-0005-0000-0000-0000FF490000}"/>
    <cellStyle name="Normal 8 4 2 2 5 3" xfId="20175" xr:uid="{00000000-0005-0000-0000-0000004A0000}"/>
    <cellStyle name="Normal 8 4 2 2 6" xfId="13902" xr:uid="{00000000-0005-0000-0000-0000014A0000}"/>
    <cellStyle name="Normal 8 4 2 2 7" xfId="20164" xr:uid="{00000000-0005-0000-0000-0000024A0000}"/>
    <cellStyle name="Normal 8 4 2 3" xfId="7815" xr:uid="{00000000-0005-0000-0000-0000034A0000}"/>
    <cellStyle name="Normal 8 4 2 3 2" xfId="7816" xr:uid="{00000000-0005-0000-0000-0000044A0000}"/>
    <cellStyle name="Normal 8 4 2 3 2 2" xfId="7817" xr:uid="{00000000-0005-0000-0000-0000054A0000}"/>
    <cellStyle name="Normal 8 4 2 3 2 2 2" xfId="13916" xr:uid="{00000000-0005-0000-0000-0000064A0000}"/>
    <cellStyle name="Normal 8 4 2 3 2 2 3" xfId="20178" xr:uid="{00000000-0005-0000-0000-0000074A0000}"/>
    <cellStyle name="Normal 8 4 2 3 2 3" xfId="13915" xr:uid="{00000000-0005-0000-0000-0000084A0000}"/>
    <cellStyle name="Normal 8 4 2 3 2 4" xfId="20177" xr:uid="{00000000-0005-0000-0000-0000094A0000}"/>
    <cellStyle name="Normal 8 4 2 3 3" xfId="7818" xr:uid="{00000000-0005-0000-0000-00000A4A0000}"/>
    <cellStyle name="Normal 8 4 2 3 3 2" xfId="7819" xr:uid="{00000000-0005-0000-0000-00000B4A0000}"/>
    <cellStyle name="Normal 8 4 2 3 3 2 2" xfId="13918" xr:uid="{00000000-0005-0000-0000-00000C4A0000}"/>
    <cellStyle name="Normal 8 4 2 3 3 2 3" xfId="20180" xr:uid="{00000000-0005-0000-0000-00000D4A0000}"/>
    <cellStyle name="Normal 8 4 2 3 3 3" xfId="13917" xr:uid="{00000000-0005-0000-0000-00000E4A0000}"/>
    <cellStyle name="Normal 8 4 2 3 3 4" xfId="20179" xr:uid="{00000000-0005-0000-0000-00000F4A0000}"/>
    <cellStyle name="Normal 8 4 2 3 4" xfId="7820" xr:uid="{00000000-0005-0000-0000-0000104A0000}"/>
    <cellStyle name="Normal 8 4 2 3 4 2" xfId="13919" xr:uid="{00000000-0005-0000-0000-0000114A0000}"/>
    <cellStyle name="Normal 8 4 2 3 4 3" xfId="20181" xr:uid="{00000000-0005-0000-0000-0000124A0000}"/>
    <cellStyle name="Normal 8 4 2 3 5" xfId="13914" xr:uid="{00000000-0005-0000-0000-0000134A0000}"/>
    <cellStyle name="Normal 8 4 2 3 6" xfId="20176" xr:uid="{00000000-0005-0000-0000-0000144A0000}"/>
    <cellStyle name="Normal 8 4 2 4" xfId="7821" xr:uid="{00000000-0005-0000-0000-0000154A0000}"/>
    <cellStyle name="Normal 8 4 2 4 2" xfId="7822" xr:uid="{00000000-0005-0000-0000-0000164A0000}"/>
    <cellStyle name="Normal 8 4 2 4 2 2" xfId="13921" xr:uid="{00000000-0005-0000-0000-0000174A0000}"/>
    <cellStyle name="Normal 8 4 2 4 2 3" xfId="20183" xr:uid="{00000000-0005-0000-0000-0000184A0000}"/>
    <cellStyle name="Normal 8 4 2 4 3" xfId="13920" xr:uid="{00000000-0005-0000-0000-0000194A0000}"/>
    <cellStyle name="Normal 8 4 2 4 4" xfId="20182" xr:uid="{00000000-0005-0000-0000-00001A4A0000}"/>
    <cellStyle name="Normal 8 4 2 5" xfId="7823" xr:uid="{00000000-0005-0000-0000-00001B4A0000}"/>
    <cellStyle name="Normal 8 4 2 5 2" xfId="7824" xr:uid="{00000000-0005-0000-0000-00001C4A0000}"/>
    <cellStyle name="Normal 8 4 2 5 2 2" xfId="13923" xr:uid="{00000000-0005-0000-0000-00001D4A0000}"/>
    <cellStyle name="Normal 8 4 2 5 2 3" xfId="20185" xr:uid="{00000000-0005-0000-0000-00001E4A0000}"/>
    <cellStyle name="Normal 8 4 2 5 3" xfId="13922" xr:uid="{00000000-0005-0000-0000-00001F4A0000}"/>
    <cellStyle name="Normal 8 4 2 5 4" xfId="20184" xr:uid="{00000000-0005-0000-0000-0000204A0000}"/>
    <cellStyle name="Normal 8 4 2 6" xfId="7825" xr:uid="{00000000-0005-0000-0000-0000214A0000}"/>
    <cellStyle name="Normal 8 4 2 6 2" xfId="13924" xr:uid="{00000000-0005-0000-0000-0000224A0000}"/>
    <cellStyle name="Normal 8 4 2 6 3" xfId="20186" xr:uid="{00000000-0005-0000-0000-0000234A0000}"/>
    <cellStyle name="Normal 8 4 2 7" xfId="13901" xr:uid="{00000000-0005-0000-0000-0000244A0000}"/>
    <cellStyle name="Normal 8 4 2 8" xfId="20163" xr:uid="{00000000-0005-0000-0000-0000254A0000}"/>
    <cellStyle name="Normal 8 4 3" xfId="7826" xr:uid="{00000000-0005-0000-0000-0000264A0000}"/>
    <cellStyle name="Normal 8 4 3 2" xfId="7827" xr:uid="{00000000-0005-0000-0000-0000274A0000}"/>
    <cellStyle name="Normal 8 4 3 2 2" xfId="7828" xr:uid="{00000000-0005-0000-0000-0000284A0000}"/>
    <cellStyle name="Normal 8 4 3 2 2 2" xfId="7829" xr:uid="{00000000-0005-0000-0000-0000294A0000}"/>
    <cellStyle name="Normal 8 4 3 2 2 2 2" xfId="13928" xr:uid="{00000000-0005-0000-0000-00002A4A0000}"/>
    <cellStyle name="Normal 8 4 3 2 2 2 3" xfId="20190" xr:uid="{00000000-0005-0000-0000-00002B4A0000}"/>
    <cellStyle name="Normal 8 4 3 2 2 3" xfId="13927" xr:uid="{00000000-0005-0000-0000-00002C4A0000}"/>
    <cellStyle name="Normal 8 4 3 2 2 4" xfId="20189" xr:uid="{00000000-0005-0000-0000-00002D4A0000}"/>
    <cellStyle name="Normal 8 4 3 2 3" xfId="7830" xr:uid="{00000000-0005-0000-0000-00002E4A0000}"/>
    <cellStyle name="Normal 8 4 3 2 3 2" xfId="7831" xr:uid="{00000000-0005-0000-0000-00002F4A0000}"/>
    <cellStyle name="Normal 8 4 3 2 3 2 2" xfId="13930" xr:uid="{00000000-0005-0000-0000-0000304A0000}"/>
    <cellStyle name="Normal 8 4 3 2 3 2 3" xfId="20192" xr:uid="{00000000-0005-0000-0000-0000314A0000}"/>
    <cellStyle name="Normal 8 4 3 2 3 3" xfId="13929" xr:uid="{00000000-0005-0000-0000-0000324A0000}"/>
    <cellStyle name="Normal 8 4 3 2 3 4" xfId="20191" xr:uid="{00000000-0005-0000-0000-0000334A0000}"/>
    <cellStyle name="Normal 8 4 3 2 4" xfId="7832" xr:uid="{00000000-0005-0000-0000-0000344A0000}"/>
    <cellStyle name="Normal 8 4 3 2 4 2" xfId="13931" xr:uid="{00000000-0005-0000-0000-0000354A0000}"/>
    <cellStyle name="Normal 8 4 3 2 4 3" xfId="20193" xr:uid="{00000000-0005-0000-0000-0000364A0000}"/>
    <cellStyle name="Normal 8 4 3 2 5" xfId="13926" xr:uid="{00000000-0005-0000-0000-0000374A0000}"/>
    <cellStyle name="Normal 8 4 3 2 6" xfId="20188" xr:uid="{00000000-0005-0000-0000-0000384A0000}"/>
    <cellStyle name="Normal 8 4 3 3" xfId="7833" xr:uid="{00000000-0005-0000-0000-0000394A0000}"/>
    <cellStyle name="Normal 8 4 3 3 2" xfId="7834" xr:uid="{00000000-0005-0000-0000-00003A4A0000}"/>
    <cellStyle name="Normal 8 4 3 3 2 2" xfId="13933" xr:uid="{00000000-0005-0000-0000-00003B4A0000}"/>
    <cellStyle name="Normal 8 4 3 3 2 3" xfId="20195" xr:uid="{00000000-0005-0000-0000-00003C4A0000}"/>
    <cellStyle name="Normal 8 4 3 3 3" xfId="13932" xr:uid="{00000000-0005-0000-0000-00003D4A0000}"/>
    <cellStyle name="Normal 8 4 3 3 4" xfId="20194" xr:uid="{00000000-0005-0000-0000-00003E4A0000}"/>
    <cellStyle name="Normal 8 4 3 4" xfId="7835" xr:uid="{00000000-0005-0000-0000-00003F4A0000}"/>
    <cellStyle name="Normal 8 4 3 4 2" xfId="7836" xr:uid="{00000000-0005-0000-0000-0000404A0000}"/>
    <cellStyle name="Normal 8 4 3 4 2 2" xfId="13935" xr:uid="{00000000-0005-0000-0000-0000414A0000}"/>
    <cellStyle name="Normal 8 4 3 4 2 3" xfId="20197" xr:uid="{00000000-0005-0000-0000-0000424A0000}"/>
    <cellStyle name="Normal 8 4 3 4 3" xfId="13934" xr:uid="{00000000-0005-0000-0000-0000434A0000}"/>
    <cellStyle name="Normal 8 4 3 4 4" xfId="20196" xr:uid="{00000000-0005-0000-0000-0000444A0000}"/>
    <cellStyle name="Normal 8 4 3 5" xfId="7837" xr:uid="{00000000-0005-0000-0000-0000454A0000}"/>
    <cellStyle name="Normal 8 4 3 5 2" xfId="13936" xr:uid="{00000000-0005-0000-0000-0000464A0000}"/>
    <cellStyle name="Normal 8 4 3 5 3" xfId="20198" xr:uid="{00000000-0005-0000-0000-0000474A0000}"/>
    <cellStyle name="Normal 8 4 3 6" xfId="13925" xr:uid="{00000000-0005-0000-0000-0000484A0000}"/>
    <cellStyle name="Normal 8 4 3 7" xfId="20187" xr:uid="{00000000-0005-0000-0000-0000494A0000}"/>
    <cellStyle name="Normal 8 4 4" xfId="7838" xr:uid="{00000000-0005-0000-0000-00004A4A0000}"/>
    <cellStyle name="Normal 8 4 4 2" xfId="7839" xr:uid="{00000000-0005-0000-0000-00004B4A0000}"/>
    <cellStyle name="Normal 8 4 4 2 2" xfId="7840" xr:uid="{00000000-0005-0000-0000-00004C4A0000}"/>
    <cellStyle name="Normal 8 4 4 2 2 2" xfId="13939" xr:uid="{00000000-0005-0000-0000-00004D4A0000}"/>
    <cellStyle name="Normal 8 4 4 2 2 3" xfId="20201" xr:uid="{00000000-0005-0000-0000-00004E4A0000}"/>
    <cellStyle name="Normal 8 4 4 2 3" xfId="13938" xr:uid="{00000000-0005-0000-0000-00004F4A0000}"/>
    <cellStyle name="Normal 8 4 4 2 4" xfId="20200" xr:uid="{00000000-0005-0000-0000-0000504A0000}"/>
    <cellStyle name="Normal 8 4 4 3" xfId="7841" xr:uid="{00000000-0005-0000-0000-0000514A0000}"/>
    <cellStyle name="Normal 8 4 4 3 2" xfId="7842" xr:uid="{00000000-0005-0000-0000-0000524A0000}"/>
    <cellStyle name="Normal 8 4 4 3 2 2" xfId="13941" xr:uid="{00000000-0005-0000-0000-0000534A0000}"/>
    <cellStyle name="Normal 8 4 4 3 2 3" xfId="20203" xr:uid="{00000000-0005-0000-0000-0000544A0000}"/>
    <cellStyle name="Normal 8 4 4 3 3" xfId="13940" xr:uid="{00000000-0005-0000-0000-0000554A0000}"/>
    <cellStyle name="Normal 8 4 4 3 4" xfId="20202" xr:uid="{00000000-0005-0000-0000-0000564A0000}"/>
    <cellStyle name="Normal 8 4 4 4" xfId="7843" xr:uid="{00000000-0005-0000-0000-0000574A0000}"/>
    <cellStyle name="Normal 8 4 4 4 2" xfId="13942" xr:uid="{00000000-0005-0000-0000-0000584A0000}"/>
    <cellStyle name="Normal 8 4 4 4 3" xfId="20204" xr:uid="{00000000-0005-0000-0000-0000594A0000}"/>
    <cellStyle name="Normal 8 4 4 5" xfId="13937" xr:uid="{00000000-0005-0000-0000-00005A4A0000}"/>
    <cellStyle name="Normal 8 4 4 6" xfId="20199" xr:uid="{00000000-0005-0000-0000-00005B4A0000}"/>
    <cellStyle name="Normal 8 4 5" xfId="7844" xr:uid="{00000000-0005-0000-0000-00005C4A0000}"/>
    <cellStyle name="Normal 8 4 5 2" xfId="7845" xr:uid="{00000000-0005-0000-0000-00005D4A0000}"/>
    <cellStyle name="Normal 8 4 5 2 2" xfId="13944" xr:uid="{00000000-0005-0000-0000-00005E4A0000}"/>
    <cellStyle name="Normal 8 4 5 2 3" xfId="20206" xr:uid="{00000000-0005-0000-0000-00005F4A0000}"/>
    <cellStyle name="Normal 8 4 5 3" xfId="13943" xr:uid="{00000000-0005-0000-0000-0000604A0000}"/>
    <cellStyle name="Normal 8 4 5 4" xfId="20205" xr:uid="{00000000-0005-0000-0000-0000614A0000}"/>
    <cellStyle name="Normal 8 4 6" xfId="7846" xr:uid="{00000000-0005-0000-0000-0000624A0000}"/>
    <cellStyle name="Normal 8 4 6 2" xfId="7847" xr:uid="{00000000-0005-0000-0000-0000634A0000}"/>
    <cellStyle name="Normal 8 4 6 2 2" xfId="13946" xr:uid="{00000000-0005-0000-0000-0000644A0000}"/>
    <cellStyle name="Normal 8 4 6 2 3" xfId="20208" xr:uid="{00000000-0005-0000-0000-0000654A0000}"/>
    <cellStyle name="Normal 8 4 6 3" xfId="13945" xr:uid="{00000000-0005-0000-0000-0000664A0000}"/>
    <cellStyle name="Normal 8 4 6 4" xfId="20207" xr:uid="{00000000-0005-0000-0000-0000674A0000}"/>
    <cellStyle name="Normal 8 4 7" xfId="7848" xr:uid="{00000000-0005-0000-0000-0000684A0000}"/>
    <cellStyle name="Normal 8 4 7 2" xfId="13947" xr:uid="{00000000-0005-0000-0000-0000694A0000}"/>
    <cellStyle name="Normal 8 4 7 3" xfId="20209" xr:uid="{00000000-0005-0000-0000-00006A4A0000}"/>
    <cellStyle name="Normal 8 4 8" xfId="13900" xr:uid="{00000000-0005-0000-0000-00006B4A0000}"/>
    <cellStyle name="Normal 8 4 9" xfId="20162" xr:uid="{00000000-0005-0000-0000-00006C4A0000}"/>
    <cellStyle name="Normal 8 5" xfId="7849" xr:uid="{00000000-0005-0000-0000-00006D4A0000}"/>
    <cellStyle name="Normal 8 5 2" xfId="7850" xr:uid="{00000000-0005-0000-0000-00006E4A0000}"/>
    <cellStyle name="Normal 8 5 2 2" xfId="7851" xr:uid="{00000000-0005-0000-0000-00006F4A0000}"/>
    <cellStyle name="Normal 8 5 2 2 2" xfId="7852" xr:uid="{00000000-0005-0000-0000-0000704A0000}"/>
    <cellStyle name="Normal 8 5 2 2 2 2" xfId="7853" xr:uid="{00000000-0005-0000-0000-0000714A0000}"/>
    <cellStyle name="Normal 8 5 2 2 2 2 2" xfId="13952" xr:uid="{00000000-0005-0000-0000-0000724A0000}"/>
    <cellStyle name="Normal 8 5 2 2 2 2 3" xfId="20214" xr:uid="{00000000-0005-0000-0000-0000734A0000}"/>
    <cellStyle name="Normal 8 5 2 2 2 3" xfId="13951" xr:uid="{00000000-0005-0000-0000-0000744A0000}"/>
    <cellStyle name="Normal 8 5 2 2 2 4" xfId="20213" xr:uid="{00000000-0005-0000-0000-0000754A0000}"/>
    <cellStyle name="Normal 8 5 2 2 3" xfId="7854" xr:uid="{00000000-0005-0000-0000-0000764A0000}"/>
    <cellStyle name="Normal 8 5 2 2 3 2" xfId="7855" xr:uid="{00000000-0005-0000-0000-0000774A0000}"/>
    <cellStyle name="Normal 8 5 2 2 3 2 2" xfId="13954" xr:uid="{00000000-0005-0000-0000-0000784A0000}"/>
    <cellStyle name="Normal 8 5 2 2 3 2 3" xfId="20216" xr:uid="{00000000-0005-0000-0000-0000794A0000}"/>
    <cellStyle name="Normal 8 5 2 2 3 3" xfId="13953" xr:uid="{00000000-0005-0000-0000-00007A4A0000}"/>
    <cellStyle name="Normal 8 5 2 2 3 4" xfId="20215" xr:uid="{00000000-0005-0000-0000-00007B4A0000}"/>
    <cellStyle name="Normal 8 5 2 2 4" xfId="7856" xr:uid="{00000000-0005-0000-0000-00007C4A0000}"/>
    <cellStyle name="Normal 8 5 2 2 4 2" xfId="13955" xr:uid="{00000000-0005-0000-0000-00007D4A0000}"/>
    <cellStyle name="Normal 8 5 2 2 4 3" xfId="20217" xr:uid="{00000000-0005-0000-0000-00007E4A0000}"/>
    <cellStyle name="Normal 8 5 2 2 5" xfId="13950" xr:uid="{00000000-0005-0000-0000-00007F4A0000}"/>
    <cellStyle name="Normal 8 5 2 2 6" xfId="20212" xr:uid="{00000000-0005-0000-0000-0000804A0000}"/>
    <cellStyle name="Normal 8 5 2 3" xfId="7857" xr:uid="{00000000-0005-0000-0000-0000814A0000}"/>
    <cellStyle name="Normal 8 5 2 3 2" xfId="7858" xr:uid="{00000000-0005-0000-0000-0000824A0000}"/>
    <cellStyle name="Normal 8 5 2 3 2 2" xfId="13957" xr:uid="{00000000-0005-0000-0000-0000834A0000}"/>
    <cellStyle name="Normal 8 5 2 3 2 3" xfId="20219" xr:uid="{00000000-0005-0000-0000-0000844A0000}"/>
    <cellStyle name="Normal 8 5 2 3 3" xfId="13956" xr:uid="{00000000-0005-0000-0000-0000854A0000}"/>
    <cellStyle name="Normal 8 5 2 3 4" xfId="20218" xr:uid="{00000000-0005-0000-0000-0000864A0000}"/>
    <cellStyle name="Normal 8 5 2 4" xfId="7859" xr:uid="{00000000-0005-0000-0000-0000874A0000}"/>
    <cellStyle name="Normal 8 5 2 4 2" xfId="7860" xr:uid="{00000000-0005-0000-0000-0000884A0000}"/>
    <cellStyle name="Normal 8 5 2 4 2 2" xfId="13959" xr:uid="{00000000-0005-0000-0000-0000894A0000}"/>
    <cellStyle name="Normal 8 5 2 4 2 3" xfId="20221" xr:uid="{00000000-0005-0000-0000-00008A4A0000}"/>
    <cellStyle name="Normal 8 5 2 4 3" xfId="13958" xr:uid="{00000000-0005-0000-0000-00008B4A0000}"/>
    <cellStyle name="Normal 8 5 2 4 4" xfId="20220" xr:uid="{00000000-0005-0000-0000-00008C4A0000}"/>
    <cellStyle name="Normal 8 5 2 5" xfId="7861" xr:uid="{00000000-0005-0000-0000-00008D4A0000}"/>
    <cellStyle name="Normal 8 5 2 5 2" xfId="13960" xr:uid="{00000000-0005-0000-0000-00008E4A0000}"/>
    <cellStyle name="Normal 8 5 2 5 3" xfId="20222" xr:uid="{00000000-0005-0000-0000-00008F4A0000}"/>
    <cellStyle name="Normal 8 5 2 6" xfId="13949" xr:uid="{00000000-0005-0000-0000-0000904A0000}"/>
    <cellStyle name="Normal 8 5 2 7" xfId="20211" xr:uid="{00000000-0005-0000-0000-0000914A0000}"/>
    <cellStyle name="Normal 8 5 3" xfId="7862" xr:uid="{00000000-0005-0000-0000-0000924A0000}"/>
    <cellStyle name="Normal 8 5 3 2" xfId="7863" xr:uid="{00000000-0005-0000-0000-0000934A0000}"/>
    <cellStyle name="Normal 8 5 3 2 2" xfId="7864" xr:uid="{00000000-0005-0000-0000-0000944A0000}"/>
    <cellStyle name="Normal 8 5 3 2 2 2" xfId="13963" xr:uid="{00000000-0005-0000-0000-0000954A0000}"/>
    <cellStyle name="Normal 8 5 3 2 2 3" xfId="20225" xr:uid="{00000000-0005-0000-0000-0000964A0000}"/>
    <cellStyle name="Normal 8 5 3 2 3" xfId="13962" xr:uid="{00000000-0005-0000-0000-0000974A0000}"/>
    <cellStyle name="Normal 8 5 3 2 4" xfId="20224" xr:uid="{00000000-0005-0000-0000-0000984A0000}"/>
    <cellStyle name="Normal 8 5 3 3" xfId="7865" xr:uid="{00000000-0005-0000-0000-0000994A0000}"/>
    <cellStyle name="Normal 8 5 3 3 2" xfId="7866" xr:uid="{00000000-0005-0000-0000-00009A4A0000}"/>
    <cellStyle name="Normal 8 5 3 3 2 2" xfId="13965" xr:uid="{00000000-0005-0000-0000-00009B4A0000}"/>
    <cellStyle name="Normal 8 5 3 3 2 3" xfId="20227" xr:uid="{00000000-0005-0000-0000-00009C4A0000}"/>
    <cellStyle name="Normal 8 5 3 3 3" xfId="13964" xr:uid="{00000000-0005-0000-0000-00009D4A0000}"/>
    <cellStyle name="Normal 8 5 3 3 4" xfId="20226" xr:uid="{00000000-0005-0000-0000-00009E4A0000}"/>
    <cellStyle name="Normal 8 5 3 4" xfId="7867" xr:uid="{00000000-0005-0000-0000-00009F4A0000}"/>
    <cellStyle name="Normal 8 5 3 4 2" xfId="13966" xr:uid="{00000000-0005-0000-0000-0000A04A0000}"/>
    <cellStyle name="Normal 8 5 3 4 3" xfId="20228" xr:uid="{00000000-0005-0000-0000-0000A14A0000}"/>
    <cellStyle name="Normal 8 5 3 5" xfId="13961" xr:uid="{00000000-0005-0000-0000-0000A24A0000}"/>
    <cellStyle name="Normal 8 5 3 6" xfId="20223" xr:uid="{00000000-0005-0000-0000-0000A34A0000}"/>
    <cellStyle name="Normal 8 5 4" xfId="7868" xr:uid="{00000000-0005-0000-0000-0000A44A0000}"/>
    <cellStyle name="Normal 8 5 4 2" xfId="7869" xr:uid="{00000000-0005-0000-0000-0000A54A0000}"/>
    <cellStyle name="Normal 8 5 4 2 2" xfId="13968" xr:uid="{00000000-0005-0000-0000-0000A64A0000}"/>
    <cellStyle name="Normal 8 5 4 2 3" xfId="20230" xr:uid="{00000000-0005-0000-0000-0000A74A0000}"/>
    <cellStyle name="Normal 8 5 4 3" xfId="13967" xr:uid="{00000000-0005-0000-0000-0000A84A0000}"/>
    <cellStyle name="Normal 8 5 4 4" xfId="20229" xr:uid="{00000000-0005-0000-0000-0000A94A0000}"/>
    <cellStyle name="Normal 8 5 5" xfId="7870" xr:uid="{00000000-0005-0000-0000-0000AA4A0000}"/>
    <cellStyle name="Normal 8 5 5 2" xfId="7871" xr:uid="{00000000-0005-0000-0000-0000AB4A0000}"/>
    <cellStyle name="Normal 8 5 5 2 2" xfId="13970" xr:uid="{00000000-0005-0000-0000-0000AC4A0000}"/>
    <cellStyle name="Normal 8 5 5 2 3" xfId="20232" xr:uid="{00000000-0005-0000-0000-0000AD4A0000}"/>
    <cellStyle name="Normal 8 5 5 3" xfId="13969" xr:uid="{00000000-0005-0000-0000-0000AE4A0000}"/>
    <cellStyle name="Normal 8 5 5 4" xfId="20231" xr:uid="{00000000-0005-0000-0000-0000AF4A0000}"/>
    <cellStyle name="Normal 8 5 6" xfId="7872" xr:uid="{00000000-0005-0000-0000-0000B04A0000}"/>
    <cellStyle name="Normal 8 5 6 2" xfId="13971" xr:uid="{00000000-0005-0000-0000-0000B14A0000}"/>
    <cellStyle name="Normal 8 5 6 3" xfId="20233" xr:uid="{00000000-0005-0000-0000-0000B24A0000}"/>
    <cellStyle name="Normal 8 5 7" xfId="13948" xr:uid="{00000000-0005-0000-0000-0000B34A0000}"/>
    <cellStyle name="Normal 8 5 8" xfId="20210" xr:uid="{00000000-0005-0000-0000-0000B44A0000}"/>
    <cellStyle name="Normal 8 6" xfId="7873" xr:uid="{00000000-0005-0000-0000-0000B54A0000}"/>
    <cellStyle name="Normal 8 6 2" xfId="7874" xr:uid="{00000000-0005-0000-0000-0000B64A0000}"/>
    <cellStyle name="Normal 8 6 2 2" xfId="7875" xr:uid="{00000000-0005-0000-0000-0000B74A0000}"/>
    <cellStyle name="Normal 8 6 2 2 2" xfId="7876" xr:uid="{00000000-0005-0000-0000-0000B84A0000}"/>
    <cellStyle name="Normal 8 6 2 2 2 2" xfId="13975" xr:uid="{00000000-0005-0000-0000-0000B94A0000}"/>
    <cellStyle name="Normal 8 6 2 2 2 3" xfId="20237" xr:uid="{00000000-0005-0000-0000-0000BA4A0000}"/>
    <cellStyle name="Normal 8 6 2 2 3" xfId="13974" xr:uid="{00000000-0005-0000-0000-0000BB4A0000}"/>
    <cellStyle name="Normal 8 6 2 2 4" xfId="20236" xr:uid="{00000000-0005-0000-0000-0000BC4A0000}"/>
    <cellStyle name="Normal 8 6 2 3" xfId="7877" xr:uid="{00000000-0005-0000-0000-0000BD4A0000}"/>
    <cellStyle name="Normal 8 6 2 3 2" xfId="7878" xr:uid="{00000000-0005-0000-0000-0000BE4A0000}"/>
    <cellStyle name="Normal 8 6 2 3 2 2" xfId="13977" xr:uid="{00000000-0005-0000-0000-0000BF4A0000}"/>
    <cellStyle name="Normal 8 6 2 3 2 3" xfId="20239" xr:uid="{00000000-0005-0000-0000-0000C04A0000}"/>
    <cellStyle name="Normal 8 6 2 3 3" xfId="13976" xr:uid="{00000000-0005-0000-0000-0000C14A0000}"/>
    <cellStyle name="Normal 8 6 2 3 4" xfId="20238" xr:uid="{00000000-0005-0000-0000-0000C24A0000}"/>
    <cellStyle name="Normal 8 6 2 4" xfId="7879" xr:uid="{00000000-0005-0000-0000-0000C34A0000}"/>
    <cellStyle name="Normal 8 6 2 4 2" xfId="13978" xr:uid="{00000000-0005-0000-0000-0000C44A0000}"/>
    <cellStyle name="Normal 8 6 2 4 3" xfId="20240" xr:uid="{00000000-0005-0000-0000-0000C54A0000}"/>
    <cellStyle name="Normal 8 6 2 5" xfId="13973" xr:uid="{00000000-0005-0000-0000-0000C64A0000}"/>
    <cellStyle name="Normal 8 6 2 6" xfId="20235" xr:uid="{00000000-0005-0000-0000-0000C74A0000}"/>
    <cellStyle name="Normal 8 6 3" xfId="7880" xr:uid="{00000000-0005-0000-0000-0000C84A0000}"/>
    <cellStyle name="Normal 8 6 3 2" xfId="7881" xr:uid="{00000000-0005-0000-0000-0000C94A0000}"/>
    <cellStyle name="Normal 8 6 3 2 2" xfId="13980" xr:uid="{00000000-0005-0000-0000-0000CA4A0000}"/>
    <cellStyle name="Normal 8 6 3 2 3" xfId="20242" xr:uid="{00000000-0005-0000-0000-0000CB4A0000}"/>
    <cellStyle name="Normal 8 6 3 3" xfId="13979" xr:uid="{00000000-0005-0000-0000-0000CC4A0000}"/>
    <cellStyle name="Normal 8 6 3 4" xfId="20241" xr:uid="{00000000-0005-0000-0000-0000CD4A0000}"/>
    <cellStyle name="Normal 8 6 4" xfId="7882" xr:uid="{00000000-0005-0000-0000-0000CE4A0000}"/>
    <cellStyle name="Normal 8 6 4 2" xfId="7883" xr:uid="{00000000-0005-0000-0000-0000CF4A0000}"/>
    <cellStyle name="Normal 8 6 4 2 2" xfId="13982" xr:uid="{00000000-0005-0000-0000-0000D04A0000}"/>
    <cellStyle name="Normal 8 6 4 2 3" xfId="20244" xr:uid="{00000000-0005-0000-0000-0000D14A0000}"/>
    <cellStyle name="Normal 8 6 4 3" xfId="13981" xr:uid="{00000000-0005-0000-0000-0000D24A0000}"/>
    <cellStyle name="Normal 8 6 4 4" xfId="20243" xr:uid="{00000000-0005-0000-0000-0000D34A0000}"/>
    <cellStyle name="Normal 8 6 5" xfId="7884" xr:uid="{00000000-0005-0000-0000-0000D44A0000}"/>
    <cellStyle name="Normal 8 6 5 2" xfId="13983" xr:uid="{00000000-0005-0000-0000-0000D54A0000}"/>
    <cellStyle name="Normal 8 6 5 3" xfId="20245" xr:uid="{00000000-0005-0000-0000-0000D64A0000}"/>
    <cellStyle name="Normal 8 6 6" xfId="13972" xr:uid="{00000000-0005-0000-0000-0000D74A0000}"/>
    <cellStyle name="Normal 8 6 7" xfId="20234" xr:uid="{00000000-0005-0000-0000-0000D84A0000}"/>
    <cellStyle name="Normal 8 7" xfId="7885" xr:uid="{00000000-0005-0000-0000-0000D94A0000}"/>
    <cellStyle name="Normal 8 7 2" xfId="7886" xr:uid="{00000000-0005-0000-0000-0000DA4A0000}"/>
    <cellStyle name="Normal 8 7 2 2" xfId="7887" xr:uid="{00000000-0005-0000-0000-0000DB4A0000}"/>
    <cellStyle name="Normal 8 7 2 2 2" xfId="13986" xr:uid="{00000000-0005-0000-0000-0000DC4A0000}"/>
    <cellStyle name="Normal 8 7 2 2 3" xfId="20248" xr:uid="{00000000-0005-0000-0000-0000DD4A0000}"/>
    <cellStyle name="Normal 8 7 2 3" xfId="13985" xr:uid="{00000000-0005-0000-0000-0000DE4A0000}"/>
    <cellStyle name="Normal 8 7 2 4" xfId="20247" xr:uid="{00000000-0005-0000-0000-0000DF4A0000}"/>
    <cellStyle name="Normal 8 7 3" xfId="7888" xr:uid="{00000000-0005-0000-0000-0000E04A0000}"/>
    <cellStyle name="Normal 8 7 3 2" xfId="7889" xr:uid="{00000000-0005-0000-0000-0000E14A0000}"/>
    <cellStyle name="Normal 8 7 3 2 2" xfId="13988" xr:uid="{00000000-0005-0000-0000-0000E24A0000}"/>
    <cellStyle name="Normal 8 7 3 2 3" xfId="20250" xr:uid="{00000000-0005-0000-0000-0000E34A0000}"/>
    <cellStyle name="Normal 8 7 3 3" xfId="13987" xr:uid="{00000000-0005-0000-0000-0000E44A0000}"/>
    <cellStyle name="Normal 8 7 3 4" xfId="20249" xr:uid="{00000000-0005-0000-0000-0000E54A0000}"/>
    <cellStyle name="Normal 8 7 4" xfId="7890" xr:uid="{00000000-0005-0000-0000-0000E64A0000}"/>
    <cellStyle name="Normal 8 7 4 2" xfId="13989" xr:uid="{00000000-0005-0000-0000-0000E74A0000}"/>
    <cellStyle name="Normal 8 7 4 3" xfId="20251" xr:uid="{00000000-0005-0000-0000-0000E84A0000}"/>
    <cellStyle name="Normal 8 7 5" xfId="13984" xr:uid="{00000000-0005-0000-0000-0000E94A0000}"/>
    <cellStyle name="Normal 8 7 6" xfId="20246" xr:uid="{00000000-0005-0000-0000-0000EA4A0000}"/>
    <cellStyle name="Normal 8 8" xfId="7891" xr:uid="{00000000-0005-0000-0000-0000EB4A0000}"/>
    <cellStyle name="Normal 8 8 2" xfId="7892" xr:uid="{00000000-0005-0000-0000-0000EC4A0000}"/>
    <cellStyle name="Normal 8 8 2 2" xfId="13991" xr:uid="{00000000-0005-0000-0000-0000ED4A0000}"/>
    <cellStyle name="Normal 8 8 2 3" xfId="20253" xr:uid="{00000000-0005-0000-0000-0000EE4A0000}"/>
    <cellStyle name="Normal 8 8 3" xfId="13990" xr:uid="{00000000-0005-0000-0000-0000EF4A0000}"/>
    <cellStyle name="Normal 8 8 4" xfId="20252" xr:uid="{00000000-0005-0000-0000-0000F04A0000}"/>
    <cellStyle name="Normal 8 9" xfId="7893" xr:uid="{00000000-0005-0000-0000-0000F14A0000}"/>
    <cellStyle name="Normal 8 9 2" xfId="7894" xr:uid="{00000000-0005-0000-0000-0000F24A0000}"/>
    <cellStyle name="Normal 8 9 2 2" xfId="13993" xr:uid="{00000000-0005-0000-0000-0000F34A0000}"/>
    <cellStyle name="Normal 8 9 2 3" xfId="20255" xr:uid="{00000000-0005-0000-0000-0000F44A0000}"/>
    <cellStyle name="Normal 8 9 3" xfId="13992" xr:uid="{00000000-0005-0000-0000-0000F54A0000}"/>
    <cellStyle name="Normal 8 9 4" xfId="20254" xr:uid="{00000000-0005-0000-0000-0000F64A0000}"/>
    <cellStyle name="Normal 8_2180" xfId="13994" xr:uid="{00000000-0005-0000-0000-0000F74A0000}"/>
    <cellStyle name="Normal 80" xfId="7895" xr:uid="{00000000-0005-0000-0000-0000F84A0000}"/>
    <cellStyle name="Normal 80 2" xfId="7896" xr:uid="{00000000-0005-0000-0000-0000F94A0000}"/>
    <cellStyle name="Normal 80 2 2" xfId="20257" xr:uid="{00000000-0005-0000-0000-0000FA4A0000}"/>
    <cellStyle name="Normal 80 3" xfId="13995" xr:uid="{00000000-0005-0000-0000-0000FB4A0000}"/>
    <cellStyle name="Normal 80 4" xfId="20256" xr:uid="{00000000-0005-0000-0000-0000FC4A0000}"/>
    <cellStyle name="Normal 81" xfId="7897" xr:uid="{00000000-0005-0000-0000-0000FD4A0000}"/>
    <cellStyle name="Normal 81 2" xfId="7898" xr:uid="{00000000-0005-0000-0000-0000FE4A0000}"/>
    <cellStyle name="Normal 81 2 2" xfId="7899" xr:uid="{00000000-0005-0000-0000-0000FF4A0000}"/>
    <cellStyle name="Normal 81 2 2 2" xfId="7900" xr:uid="{00000000-0005-0000-0000-0000004B0000}"/>
    <cellStyle name="Normal 81 2 2 2 2" xfId="13999" xr:uid="{00000000-0005-0000-0000-0000014B0000}"/>
    <cellStyle name="Normal 81 2 2 2 3" xfId="20261" xr:uid="{00000000-0005-0000-0000-0000024B0000}"/>
    <cellStyle name="Normal 81 2 2 3" xfId="13998" xr:uid="{00000000-0005-0000-0000-0000034B0000}"/>
    <cellStyle name="Normal 81 2 2 4" xfId="20260" xr:uid="{00000000-0005-0000-0000-0000044B0000}"/>
    <cellStyle name="Normal 81 2 3" xfId="7901" xr:uid="{00000000-0005-0000-0000-0000054B0000}"/>
    <cellStyle name="Normal 81 2 3 2" xfId="7902" xr:uid="{00000000-0005-0000-0000-0000064B0000}"/>
    <cellStyle name="Normal 81 2 3 2 2" xfId="14001" xr:uid="{00000000-0005-0000-0000-0000074B0000}"/>
    <cellStyle name="Normal 81 2 3 2 3" xfId="20263" xr:uid="{00000000-0005-0000-0000-0000084B0000}"/>
    <cellStyle name="Normal 81 2 3 3" xfId="14000" xr:uid="{00000000-0005-0000-0000-0000094B0000}"/>
    <cellStyle name="Normal 81 2 3 4" xfId="20262" xr:uid="{00000000-0005-0000-0000-00000A4B0000}"/>
    <cellStyle name="Normal 81 2 4" xfId="7903" xr:uid="{00000000-0005-0000-0000-00000B4B0000}"/>
    <cellStyle name="Normal 81 2 4 2" xfId="14002" xr:uid="{00000000-0005-0000-0000-00000C4B0000}"/>
    <cellStyle name="Normal 81 2 4 3" xfId="20264" xr:uid="{00000000-0005-0000-0000-00000D4B0000}"/>
    <cellStyle name="Normal 81 2 5" xfId="13997" xr:uid="{00000000-0005-0000-0000-00000E4B0000}"/>
    <cellStyle name="Normal 81 2 6" xfId="20259" xr:uid="{00000000-0005-0000-0000-00000F4B0000}"/>
    <cellStyle name="Normal 81 3" xfId="7904" xr:uid="{00000000-0005-0000-0000-0000104B0000}"/>
    <cellStyle name="Normal 81 3 2" xfId="7905" xr:uid="{00000000-0005-0000-0000-0000114B0000}"/>
    <cellStyle name="Normal 81 3 2 2" xfId="14004" xr:uid="{00000000-0005-0000-0000-0000124B0000}"/>
    <cellStyle name="Normal 81 3 2 3" xfId="20266" xr:uid="{00000000-0005-0000-0000-0000134B0000}"/>
    <cellStyle name="Normal 81 3 3" xfId="14003" xr:uid="{00000000-0005-0000-0000-0000144B0000}"/>
    <cellStyle name="Normal 81 3 4" xfId="20265" xr:uid="{00000000-0005-0000-0000-0000154B0000}"/>
    <cellStyle name="Normal 81 4" xfId="7906" xr:uid="{00000000-0005-0000-0000-0000164B0000}"/>
    <cellStyle name="Normal 81 4 2" xfId="7907" xr:uid="{00000000-0005-0000-0000-0000174B0000}"/>
    <cellStyle name="Normal 81 4 2 2" xfId="14006" xr:uid="{00000000-0005-0000-0000-0000184B0000}"/>
    <cellStyle name="Normal 81 4 2 3" xfId="20268" xr:uid="{00000000-0005-0000-0000-0000194B0000}"/>
    <cellStyle name="Normal 81 4 3" xfId="14005" xr:uid="{00000000-0005-0000-0000-00001A4B0000}"/>
    <cellStyle name="Normal 81 4 4" xfId="20267" xr:uid="{00000000-0005-0000-0000-00001B4B0000}"/>
    <cellStyle name="Normal 81 5" xfId="7908" xr:uid="{00000000-0005-0000-0000-00001C4B0000}"/>
    <cellStyle name="Normal 81 5 2" xfId="14007" xr:uid="{00000000-0005-0000-0000-00001D4B0000}"/>
    <cellStyle name="Normal 81 5 3" xfId="20269" xr:uid="{00000000-0005-0000-0000-00001E4B0000}"/>
    <cellStyle name="Normal 81 6" xfId="7909" xr:uid="{00000000-0005-0000-0000-00001F4B0000}"/>
    <cellStyle name="Normal 81 6 2" xfId="20270" xr:uid="{00000000-0005-0000-0000-0000204B0000}"/>
    <cellStyle name="Normal 81 7" xfId="13996" xr:uid="{00000000-0005-0000-0000-0000214B0000}"/>
    <cellStyle name="Normal 81 8" xfId="20258" xr:uid="{00000000-0005-0000-0000-0000224B0000}"/>
    <cellStyle name="Normal 82" xfId="7910" xr:uid="{00000000-0005-0000-0000-0000234B0000}"/>
    <cellStyle name="Normal 82 2" xfId="7911" xr:uid="{00000000-0005-0000-0000-0000244B0000}"/>
    <cellStyle name="Normal 82 2 2" xfId="7912" xr:uid="{00000000-0005-0000-0000-0000254B0000}"/>
    <cellStyle name="Normal 82 2 2 2" xfId="7913" xr:uid="{00000000-0005-0000-0000-0000264B0000}"/>
    <cellStyle name="Normal 82 2 2 2 2" xfId="14011" xr:uid="{00000000-0005-0000-0000-0000274B0000}"/>
    <cellStyle name="Normal 82 2 2 2 3" xfId="20274" xr:uid="{00000000-0005-0000-0000-0000284B0000}"/>
    <cellStyle name="Normal 82 2 2 3" xfId="14010" xr:uid="{00000000-0005-0000-0000-0000294B0000}"/>
    <cellStyle name="Normal 82 2 2 4" xfId="20273" xr:uid="{00000000-0005-0000-0000-00002A4B0000}"/>
    <cellStyle name="Normal 82 2 3" xfId="7914" xr:uid="{00000000-0005-0000-0000-00002B4B0000}"/>
    <cellStyle name="Normal 82 2 3 2" xfId="7915" xr:uid="{00000000-0005-0000-0000-00002C4B0000}"/>
    <cellStyle name="Normal 82 2 3 2 2" xfId="14013" xr:uid="{00000000-0005-0000-0000-00002D4B0000}"/>
    <cellStyle name="Normal 82 2 3 2 3" xfId="20276" xr:uid="{00000000-0005-0000-0000-00002E4B0000}"/>
    <cellStyle name="Normal 82 2 3 3" xfId="14012" xr:uid="{00000000-0005-0000-0000-00002F4B0000}"/>
    <cellStyle name="Normal 82 2 3 4" xfId="20275" xr:uid="{00000000-0005-0000-0000-0000304B0000}"/>
    <cellStyle name="Normal 82 2 4" xfId="7916" xr:uid="{00000000-0005-0000-0000-0000314B0000}"/>
    <cellStyle name="Normal 82 2 4 2" xfId="14014" xr:uid="{00000000-0005-0000-0000-0000324B0000}"/>
    <cellStyle name="Normal 82 2 4 3" xfId="20277" xr:uid="{00000000-0005-0000-0000-0000334B0000}"/>
    <cellStyle name="Normal 82 2 5" xfId="14009" xr:uid="{00000000-0005-0000-0000-0000344B0000}"/>
    <cellStyle name="Normal 82 2 6" xfId="20272" xr:uid="{00000000-0005-0000-0000-0000354B0000}"/>
    <cellStyle name="Normal 82 3" xfId="7917" xr:uid="{00000000-0005-0000-0000-0000364B0000}"/>
    <cellStyle name="Normal 82 3 2" xfId="7918" xr:uid="{00000000-0005-0000-0000-0000374B0000}"/>
    <cellStyle name="Normal 82 3 2 2" xfId="14016" xr:uid="{00000000-0005-0000-0000-0000384B0000}"/>
    <cellStyle name="Normal 82 3 2 3" xfId="20279" xr:uid="{00000000-0005-0000-0000-0000394B0000}"/>
    <cellStyle name="Normal 82 3 3" xfId="14015" xr:uid="{00000000-0005-0000-0000-00003A4B0000}"/>
    <cellStyle name="Normal 82 3 4" xfId="20278" xr:uid="{00000000-0005-0000-0000-00003B4B0000}"/>
    <cellStyle name="Normal 82 4" xfId="7919" xr:uid="{00000000-0005-0000-0000-00003C4B0000}"/>
    <cellStyle name="Normal 82 4 2" xfId="7920" xr:uid="{00000000-0005-0000-0000-00003D4B0000}"/>
    <cellStyle name="Normal 82 4 2 2" xfId="14018" xr:uid="{00000000-0005-0000-0000-00003E4B0000}"/>
    <cellStyle name="Normal 82 4 2 3" xfId="20281" xr:uid="{00000000-0005-0000-0000-00003F4B0000}"/>
    <cellStyle name="Normal 82 4 3" xfId="14017" xr:uid="{00000000-0005-0000-0000-0000404B0000}"/>
    <cellStyle name="Normal 82 4 4" xfId="20280" xr:uid="{00000000-0005-0000-0000-0000414B0000}"/>
    <cellStyle name="Normal 82 5" xfId="7921" xr:uid="{00000000-0005-0000-0000-0000424B0000}"/>
    <cellStyle name="Normal 82 5 2" xfId="14019" xr:uid="{00000000-0005-0000-0000-0000434B0000}"/>
    <cellStyle name="Normal 82 5 3" xfId="20282" xr:uid="{00000000-0005-0000-0000-0000444B0000}"/>
    <cellStyle name="Normal 82 6" xfId="7922" xr:uid="{00000000-0005-0000-0000-0000454B0000}"/>
    <cellStyle name="Normal 82 6 2" xfId="20283" xr:uid="{00000000-0005-0000-0000-0000464B0000}"/>
    <cellStyle name="Normal 82 7" xfId="14008" xr:uid="{00000000-0005-0000-0000-0000474B0000}"/>
    <cellStyle name="Normal 82 8" xfId="20271" xr:uid="{00000000-0005-0000-0000-0000484B0000}"/>
    <cellStyle name="Normal 83" xfId="7923" xr:uid="{00000000-0005-0000-0000-0000494B0000}"/>
    <cellStyle name="Normal 83 2" xfId="7924" xr:uid="{00000000-0005-0000-0000-00004A4B0000}"/>
    <cellStyle name="Normal 83 2 2" xfId="20285" xr:uid="{00000000-0005-0000-0000-00004B4B0000}"/>
    <cellStyle name="Normal 83 3" xfId="14020" xr:uid="{00000000-0005-0000-0000-00004C4B0000}"/>
    <cellStyle name="Normal 83 4" xfId="20284" xr:uid="{00000000-0005-0000-0000-00004D4B0000}"/>
    <cellStyle name="Normal 84" xfId="7925" xr:uid="{00000000-0005-0000-0000-00004E4B0000}"/>
    <cellStyle name="Normal 84 2" xfId="7926" xr:uid="{00000000-0005-0000-0000-00004F4B0000}"/>
    <cellStyle name="Normal 84 2 2" xfId="7927" xr:uid="{00000000-0005-0000-0000-0000504B0000}"/>
    <cellStyle name="Normal 84 2 2 2" xfId="7928" xr:uid="{00000000-0005-0000-0000-0000514B0000}"/>
    <cellStyle name="Normal 84 2 2 2 2" xfId="14024" xr:uid="{00000000-0005-0000-0000-0000524B0000}"/>
    <cellStyle name="Normal 84 2 2 2 3" xfId="20289" xr:uid="{00000000-0005-0000-0000-0000534B0000}"/>
    <cellStyle name="Normal 84 2 2 3" xfId="14023" xr:uid="{00000000-0005-0000-0000-0000544B0000}"/>
    <cellStyle name="Normal 84 2 2 4" xfId="20288" xr:uid="{00000000-0005-0000-0000-0000554B0000}"/>
    <cellStyle name="Normal 84 2 3" xfId="7929" xr:uid="{00000000-0005-0000-0000-0000564B0000}"/>
    <cellStyle name="Normal 84 2 3 2" xfId="7930" xr:uid="{00000000-0005-0000-0000-0000574B0000}"/>
    <cellStyle name="Normal 84 2 3 2 2" xfId="14026" xr:uid="{00000000-0005-0000-0000-0000584B0000}"/>
    <cellStyle name="Normal 84 2 3 2 3" xfId="20291" xr:uid="{00000000-0005-0000-0000-0000594B0000}"/>
    <cellStyle name="Normal 84 2 3 3" xfId="14025" xr:uid="{00000000-0005-0000-0000-00005A4B0000}"/>
    <cellStyle name="Normal 84 2 3 4" xfId="20290" xr:uid="{00000000-0005-0000-0000-00005B4B0000}"/>
    <cellStyle name="Normal 84 2 4" xfId="7931" xr:uid="{00000000-0005-0000-0000-00005C4B0000}"/>
    <cellStyle name="Normal 84 2 4 2" xfId="14027" xr:uid="{00000000-0005-0000-0000-00005D4B0000}"/>
    <cellStyle name="Normal 84 2 4 3" xfId="20292" xr:uid="{00000000-0005-0000-0000-00005E4B0000}"/>
    <cellStyle name="Normal 84 2 5" xfId="7932" xr:uid="{00000000-0005-0000-0000-00005F4B0000}"/>
    <cellStyle name="Normal 84 2 5 2" xfId="20293" xr:uid="{00000000-0005-0000-0000-0000604B0000}"/>
    <cellStyle name="Normal 84 2 6" xfId="14022" xr:uid="{00000000-0005-0000-0000-0000614B0000}"/>
    <cellStyle name="Normal 84 2 7" xfId="20287" xr:uid="{00000000-0005-0000-0000-0000624B0000}"/>
    <cellStyle name="Normal 84 3" xfId="7933" xr:uid="{00000000-0005-0000-0000-0000634B0000}"/>
    <cellStyle name="Normal 84 3 2" xfId="7934" xr:uid="{00000000-0005-0000-0000-0000644B0000}"/>
    <cellStyle name="Normal 84 3 2 2" xfId="14029" xr:uid="{00000000-0005-0000-0000-0000654B0000}"/>
    <cellStyle name="Normal 84 3 2 3" xfId="20295" xr:uid="{00000000-0005-0000-0000-0000664B0000}"/>
    <cellStyle name="Normal 84 3 3" xfId="7935" xr:uid="{00000000-0005-0000-0000-0000674B0000}"/>
    <cellStyle name="Normal 84 3 3 2" xfId="20296" xr:uid="{00000000-0005-0000-0000-0000684B0000}"/>
    <cellStyle name="Normal 84 3 4" xfId="14028" xr:uid="{00000000-0005-0000-0000-0000694B0000}"/>
    <cellStyle name="Normal 84 3 5" xfId="20294" xr:uid="{00000000-0005-0000-0000-00006A4B0000}"/>
    <cellStyle name="Normal 84 4" xfId="7936" xr:uid="{00000000-0005-0000-0000-00006B4B0000}"/>
    <cellStyle name="Normal 84 4 2" xfId="7937" xr:uid="{00000000-0005-0000-0000-00006C4B0000}"/>
    <cellStyle name="Normal 84 4 2 2" xfId="14031" xr:uid="{00000000-0005-0000-0000-00006D4B0000}"/>
    <cellStyle name="Normal 84 4 2 3" xfId="20298" xr:uid="{00000000-0005-0000-0000-00006E4B0000}"/>
    <cellStyle name="Normal 84 4 3" xfId="14030" xr:uid="{00000000-0005-0000-0000-00006F4B0000}"/>
    <cellStyle name="Normal 84 4 4" xfId="20297" xr:uid="{00000000-0005-0000-0000-0000704B0000}"/>
    <cellStyle name="Normal 84 5" xfId="7938" xr:uid="{00000000-0005-0000-0000-0000714B0000}"/>
    <cellStyle name="Normal 84 5 2" xfId="14032" xr:uid="{00000000-0005-0000-0000-0000724B0000}"/>
    <cellStyle name="Normal 84 5 3" xfId="20299" xr:uid="{00000000-0005-0000-0000-0000734B0000}"/>
    <cellStyle name="Normal 84 6" xfId="7939" xr:uid="{00000000-0005-0000-0000-0000744B0000}"/>
    <cellStyle name="Normal 84 6 2" xfId="20300" xr:uid="{00000000-0005-0000-0000-0000754B0000}"/>
    <cellStyle name="Normal 84 7" xfId="14021" xr:uid="{00000000-0005-0000-0000-0000764B0000}"/>
    <cellStyle name="Normal 84 8" xfId="20286" xr:uid="{00000000-0005-0000-0000-0000774B0000}"/>
    <cellStyle name="Normal 85" xfId="7940" xr:uid="{00000000-0005-0000-0000-0000784B0000}"/>
    <cellStyle name="Normal 85 2" xfId="7941" xr:uid="{00000000-0005-0000-0000-0000794B0000}"/>
    <cellStyle name="Normal 85 2 2" xfId="7942" xr:uid="{00000000-0005-0000-0000-00007A4B0000}"/>
    <cellStyle name="Normal 85 2 2 2" xfId="14035" xr:uid="{00000000-0005-0000-0000-00007B4B0000}"/>
    <cellStyle name="Normal 85 2 2 3" xfId="20303" xr:uid="{00000000-0005-0000-0000-00007C4B0000}"/>
    <cellStyle name="Normal 85 2 3" xfId="7943" xr:uid="{00000000-0005-0000-0000-00007D4B0000}"/>
    <cellStyle name="Normal 85 2 3 2" xfId="20304" xr:uid="{00000000-0005-0000-0000-00007E4B0000}"/>
    <cellStyle name="Normal 85 2 4" xfId="14034" xr:uid="{00000000-0005-0000-0000-00007F4B0000}"/>
    <cellStyle name="Normal 85 2 5" xfId="20302" xr:uid="{00000000-0005-0000-0000-0000804B0000}"/>
    <cellStyle name="Normal 85 3" xfId="7944" xr:uid="{00000000-0005-0000-0000-0000814B0000}"/>
    <cellStyle name="Normal 85 3 2" xfId="7945" xr:uid="{00000000-0005-0000-0000-0000824B0000}"/>
    <cellStyle name="Normal 85 3 2 2" xfId="14037" xr:uid="{00000000-0005-0000-0000-0000834B0000}"/>
    <cellStyle name="Normal 85 3 2 3" xfId="20306" xr:uid="{00000000-0005-0000-0000-0000844B0000}"/>
    <cellStyle name="Normal 85 3 3" xfId="7946" xr:uid="{00000000-0005-0000-0000-0000854B0000}"/>
    <cellStyle name="Normal 85 3 3 2" xfId="20307" xr:uid="{00000000-0005-0000-0000-0000864B0000}"/>
    <cellStyle name="Normal 85 3 4" xfId="14036" xr:uid="{00000000-0005-0000-0000-0000874B0000}"/>
    <cellStyle name="Normal 85 3 5" xfId="20305" xr:uid="{00000000-0005-0000-0000-0000884B0000}"/>
    <cellStyle name="Normal 85 4" xfId="7947" xr:uid="{00000000-0005-0000-0000-0000894B0000}"/>
    <cellStyle name="Normal 85 4 2" xfId="14038" xr:uid="{00000000-0005-0000-0000-00008A4B0000}"/>
    <cellStyle name="Normal 85 4 3" xfId="20308" xr:uid="{00000000-0005-0000-0000-00008B4B0000}"/>
    <cellStyle name="Normal 85 5" xfId="7948" xr:uid="{00000000-0005-0000-0000-00008C4B0000}"/>
    <cellStyle name="Normal 85 5 2" xfId="20309" xr:uid="{00000000-0005-0000-0000-00008D4B0000}"/>
    <cellStyle name="Normal 85 6" xfId="14033" xr:uid="{00000000-0005-0000-0000-00008E4B0000}"/>
    <cellStyle name="Normal 85 7" xfId="20301" xr:uid="{00000000-0005-0000-0000-00008F4B0000}"/>
    <cellStyle name="Normal 86" xfId="7949" xr:uid="{00000000-0005-0000-0000-0000904B0000}"/>
    <cellStyle name="Normal 86 2" xfId="7950" xr:uid="{00000000-0005-0000-0000-0000914B0000}"/>
    <cellStyle name="Normal 86 2 2" xfId="14040" xr:uid="{00000000-0005-0000-0000-0000924B0000}"/>
    <cellStyle name="Normal 86 2 3" xfId="20311" xr:uid="{00000000-0005-0000-0000-0000934B0000}"/>
    <cellStyle name="Normal 86 3" xfId="7951" xr:uid="{00000000-0005-0000-0000-0000944B0000}"/>
    <cellStyle name="Normal 86 3 2" xfId="14041" xr:uid="{00000000-0005-0000-0000-0000954B0000}"/>
    <cellStyle name="Normal 86 3 3" xfId="20312" xr:uid="{00000000-0005-0000-0000-0000964B0000}"/>
    <cellStyle name="Normal 86 4" xfId="7952" xr:uid="{00000000-0005-0000-0000-0000974B0000}"/>
    <cellStyle name="Normal 86 4 2" xfId="20313" xr:uid="{00000000-0005-0000-0000-0000984B0000}"/>
    <cellStyle name="Normal 86 5" xfId="14039" xr:uid="{00000000-0005-0000-0000-0000994B0000}"/>
    <cellStyle name="Normal 86 6" xfId="20310" xr:uid="{00000000-0005-0000-0000-00009A4B0000}"/>
    <cellStyle name="Normal 87" xfId="7953" xr:uid="{00000000-0005-0000-0000-00009B4B0000}"/>
    <cellStyle name="Normal 87 2" xfId="7954" xr:uid="{00000000-0005-0000-0000-00009C4B0000}"/>
    <cellStyle name="Normal 87 2 2" xfId="14043" xr:uid="{00000000-0005-0000-0000-00009D4B0000}"/>
    <cellStyle name="Normal 87 2 3" xfId="20315" xr:uid="{00000000-0005-0000-0000-00009E4B0000}"/>
    <cellStyle name="Normal 87 3" xfId="7955" xr:uid="{00000000-0005-0000-0000-00009F4B0000}"/>
    <cellStyle name="Normal 87 3 2" xfId="20316" xr:uid="{00000000-0005-0000-0000-0000A04B0000}"/>
    <cellStyle name="Normal 87 4" xfId="14042" xr:uid="{00000000-0005-0000-0000-0000A14B0000}"/>
    <cellStyle name="Normal 87 5" xfId="20314" xr:uid="{00000000-0005-0000-0000-0000A24B0000}"/>
    <cellStyle name="Normal 88" xfId="7956" xr:uid="{00000000-0005-0000-0000-0000A34B0000}"/>
    <cellStyle name="Normal 88 2" xfId="7957" xr:uid="{00000000-0005-0000-0000-0000A44B0000}"/>
    <cellStyle name="Normal 88 2 2" xfId="14045" xr:uid="{00000000-0005-0000-0000-0000A54B0000}"/>
    <cellStyle name="Normal 88 2 3" xfId="20318" xr:uid="{00000000-0005-0000-0000-0000A64B0000}"/>
    <cellStyle name="Normal 88 3" xfId="7958" xr:uid="{00000000-0005-0000-0000-0000A74B0000}"/>
    <cellStyle name="Normal 88 3 2" xfId="20319" xr:uid="{00000000-0005-0000-0000-0000A84B0000}"/>
    <cellStyle name="Normal 88 4" xfId="14044" xr:uid="{00000000-0005-0000-0000-0000A94B0000}"/>
    <cellStyle name="Normal 88 5" xfId="20317" xr:uid="{00000000-0005-0000-0000-0000AA4B0000}"/>
    <cellStyle name="Normal 89" xfId="7959" xr:uid="{00000000-0005-0000-0000-0000AB4B0000}"/>
    <cellStyle name="Normal 89 2" xfId="7960" xr:uid="{00000000-0005-0000-0000-0000AC4B0000}"/>
    <cellStyle name="Normal 89 2 2" xfId="20321" xr:uid="{00000000-0005-0000-0000-0000AD4B0000}"/>
    <cellStyle name="Normal 89 3" xfId="14046" xr:uid="{00000000-0005-0000-0000-0000AE4B0000}"/>
    <cellStyle name="Normal 89 4" xfId="20320" xr:uid="{00000000-0005-0000-0000-0000AF4B0000}"/>
    <cellStyle name="Normal 9" xfId="14047" xr:uid="{00000000-0005-0000-0000-0000B04B0000}"/>
    <cellStyle name="Normal 9 10" xfId="7961" xr:uid="{00000000-0005-0000-0000-0000B14B0000}"/>
    <cellStyle name="Normal 9 10 2" xfId="14048" xr:uid="{00000000-0005-0000-0000-0000B24B0000}"/>
    <cellStyle name="Normal 9 10 3" xfId="20322" xr:uid="{00000000-0005-0000-0000-0000B34B0000}"/>
    <cellStyle name="Normal 9 11" xfId="7962" xr:uid="{00000000-0005-0000-0000-0000B44B0000}"/>
    <cellStyle name="Normal 9 11 2" xfId="14049" xr:uid="{00000000-0005-0000-0000-0000B54B0000}"/>
    <cellStyle name="Normal 9 11 3" xfId="20323" xr:uid="{00000000-0005-0000-0000-0000B64B0000}"/>
    <cellStyle name="Normal 9 12" xfId="7963" xr:uid="{00000000-0005-0000-0000-0000B74B0000}"/>
    <cellStyle name="Normal 9 12 2" xfId="14050" xr:uid="{00000000-0005-0000-0000-0000B84B0000}"/>
    <cellStyle name="Normal 9 12 3" xfId="20324" xr:uid="{00000000-0005-0000-0000-0000B94B0000}"/>
    <cellStyle name="Normal 9 13" xfId="7964" xr:uid="{00000000-0005-0000-0000-0000BA4B0000}"/>
    <cellStyle name="Normal 9 13 2" xfId="14051" xr:uid="{00000000-0005-0000-0000-0000BB4B0000}"/>
    <cellStyle name="Normal 9 13 3" xfId="20325" xr:uid="{00000000-0005-0000-0000-0000BC4B0000}"/>
    <cellStyle name="Normal 9 14" xfId="7965" xr:uid="{00000000-0005-0000-0000-0000BD4B0000}"/>
    <cellStyle name="Normal 9 14 2" xfId="20326" xr:uid="{00000000-0005-0000-0000-0000BE4B0000}"/>
    <cellStyle name="Normal 9 2" xfId="7966" xr:uid="{00000000-0005-0000-0000-0000BF4B0000}"/>
    <cellStyle name="Normal 9 2 10" xfId="7967" xr:uid="{00000000-0005-0000-0000-0000C04B0000}"/>
    <cellStyle name="Normal 9 2 10 2" xfId="14053" xr:uid="{00000000-0005-0000-0000-0000C14B0000}"/>
    <cellStyle name="Normal 9 2 10 3" xfId="20328" xr:uid="{00000000-0005-0000-0000-0000C24B0000}"/>
    <cellStyle name="Normal 9 2 11" xfId="7968" xr:uid="{00000000-0005-0000-0000-0000C34B0000}"/>
    <cellStyle name="Normal 9 2 11 2" xfId="14054" xr:uid="{00000000-0005-0000-0000-0000C44B0000}"/>
    <cellStyle name="Normal 9 2 11 3" xfId="20329" xr:uid="{00000000-0005-0000-0000-0000C54B0000}"/>
    <cellStyle name="Normal 9 2 12" xfId="7969" xr:uid="{00000000-0005-0000-0000-0000C64B0000}"/>
    <cellStyle name="Normal 9 2 12 2" xfId="14055" xr:uid="{00000000-0005-0000-0000-0000C74B0000}"/>
    <cellStyle name="Normal 9 2 12 3" xfId="20330" xr:uid="{00000000-0005-0000-0000-0000C84B0000}"/>
    <cellStyle name="Normal 9 2 13" xfId="7970" xr:uid="{00000000-0005-0000-0000-0000C94B0000}"/>
    <cellStyle name="Normal 9 2 13 2" xfId="20331" xr:uid="{00000000-0005-0000-0000-0000CA4B0000}"/>
    <cellStyle name="Normal 9 2 14" xfId="14052" xr:uid="{00000000-0005-0000-0000-0000CB4B0000}"/>
    <cellStyle name="Normal 9 2 15" xfId="20327" xr:uid="{00000000-0005-0000-0000-0000CC4B0000}"/>
    <cellStyle name="Normal 9 2 2" xfId="7971" xr:uid="{00000000-0005-0000-0000-0000CD4B0000}"/>
    <cellStyle name="Normal 9 2 2 10" xfId="20332" xr:uid="{00000000-0005-0000-0000-0000CE4B0000}"/>
    <cellStyle name="Normal 9 2 2 2" xfId="7972" xr:uid="{00000000-0005-0000-0000-0000CF4B0000}"/>
    <cellStyle name="Normal 9 2 2 2 2" xfId="7973" xr:uid="{00000000-0005-0000-0000-0000D04B0000}"/>
    <cellStyle name="Normal 9 2 2 2 2 2" xfId="7974" xr:uid="{00000000-0005-0000-0000-0000D14B0000}"/>
    <cellStyle name="Normal 9 2 2 2 2 2 2" xfId="7975" xr:uid="{00000000-0005-0000-0000-0000D24B0000}"/>
    <cellStyle name="Normal 9 2 2 2 2 2 2 2" xfId="7976" xr:uid="{00000000-0005-0000-0000-0000D34B0000}"/>
    <cellStyle name="Normal 9 2 2 2 2 2 2 2 2" xfId="14061" xr:uid="{00000000-0005-0000-0000-0000D44B0000}"/>
    <cellStyle name="Normal 9 2 2 2 2 2 2 2 3" xfId="20337" xr:uid="{00000000-0005-0000-0000-0000D54B0000}"/>
    <cellStyle name="Normal 9 2 2 2 2 2 2 3" xfId="14060" xr:uid="{00000000-0005-0000-0000-0000D64B0000}"/>
    <cellStyle name="Normal 9 2 2 2 2 2 2 4" xfId="20336" xr:uid="{00000000-0005-0000-0000-0000D74B0000}"/>
    <cellStyle name="Normal 9 2 2 2 2 2 3" xfId="7977" xr:uid="{00000000-0005-0000-0000-0000D84B0000}"/>
    <cellStyle name="Normal 9 2 2 2 2 2 3 2" xfId="7978" xr:uid="{00000000-0005-0000-0000-0000D94B0000}"/>
    <cellStyle name="Normal 9 2 2 2 2 2 3 2 2" xfId="14063" xr:uid="{00000000-0005-0000-0000-0000DA4B0000}"/>
    <cellStyle name="Normal 9 2 2 2 2 2 3 2 3" xfId="20339" xr:uid="{00000000-0005-0000-0000-0000DB4B0000}"/>
    <cellStyle name="Normal 9 2 2 2 2 2 3 3" xfId="14062" xr:uid="{00000000-0005-0000-0000-0000DC4B0000}"/>
    <cellStyle name="Normal 9 2 2 2 2 2 3 4" xfId="20338" xr:uid="{00000000-0005-0000-0000-0000DD4B0000}"/>
    <cellStyle name="Normal 9 2 2 2 2 2 4" xfId="7979" xr:uid="{00000000-0005-0000-0000-0000DE4B0000}"/>
    <cellStyle name="Normal 9 2 2 2 2 2 4 2" xfId="14064" xr:uid="{00000000-0005-0000-0000-0000DF4B0000}"/>
    <cellStyle name="Normal 9 2 2 2 2 2 4 3" xfId="20340" xr:uid="{00000000-0005-0000-0000-0000E04B0000}"/>
    <cellStyle name="Normal 9 2 2 2 2 2 5" xfId="14059" xr:uid="{00000000-0005-0000-0000-0000E14B0000}"/>
    <cellStyle name="Normal 9 2 2 2 2 2 6" xfId="20335" xr:uid="{00000000-0005-0000-0000-0000E24B0000}"/>
    <cellStyle name="Normal 9 2 2 2 2 3" xfId="7980" xr:uid="{00000000-0005-0000-0000-0000E34B0000}"/>
    <cellStyle name="Normal 9 2 2 2 2 3 2" xfId="7981" xr:uid="{00000000-0005-0000-0000-0000E44B0000}"/>
    <cellStyle name="Normal 9 2 2 2 2 3 2 2" xfId="14066" xr:uid="{00000000-0005-0000-0000-0000E54B0000}"/>
    <cellStyle name="Normal 9 2 2 2 2 3 2 3" xfId="20342" xr:uid="{00000000-0005-0000-0000-0000E64B0000}"/>
    <cellStyle name="Normal 9 2 2 2 2 3 3" xfId="14065" xr:uid="{00000000-0005-0000-0000-0000E74B0000}"/>
    <cellStyle name="Normal 9 2 2 2 2 3 4" xfId="20341" xr:uid="{00000000-0005-0000-0000-0000E84B0000}"/>
    <cellStyle name="Normal 9 2 2 2 2 4" xfId="7982" xr:uid="{00000000-0005-0000-0000-0000E94B0000}"/>
    <cellStyle name="Normal 9 2 2 2 2 4 2" xfId="7983" xr:uid="{00000000-0005-0000-0000-0000EA4B0000}"/>
    <cellStyle name="Normal 9 2 2 2 2 4 2 2" xfId="14068" xr:uid="{00000000-0005-0000-0000-0000EB4B0000}"/>
    <cellStyle name="Normal 9 2 2 2 2 4 2 3" xfId="20344" xr:uid="{00000000-0005-0000-0000-0000EC4B0000}"/>
    <cellStyle name="Normal 9 2 2 2 2 4 3" xfId="14067" xr:uid="{00000000-0005-0000-0000-0000ED4B0000}"/>
    <cellStyle name="Normal 9 2 2 2 2 4 4" xfId="20343" xr:uid="{00000000-0005-0000-0000-0000EE4B0000}"/>
    <cellStyle name="Normal 9 2 2 2 2 5" xfId="7984" xr:uid="{00000000-0005-0000-0000-0000EF4B0000}"/>
    <cellStyle name="Normal 9 2 2 2 2 5 2" xfId="14069" xr:uid="{00000000-0005-0000-0000-0000F04B0000}"/>
    <cellStyle name="Normal 9 2 2 2 2 5 3" xfId="20345" xr:uid="{00000000-0005-0000-0000-0000F14B0000}"/>
    <cellStyle name="Normal 9 2 2 2 2 6" xfId="14058" xr:uid="{00000000-0005-0000-0000-0000F24B0000}"/>
    <cellStyle name="Normal 9 2 2 2 2 7" xfId="20334" xr:uid="{00000000-0005-0000-0000-0000F34B0000}"/>
    <cellStyle name="Normal 9 2 2 2 3" xfId="7985" xr:uid="{00000000-0005-0000-0000-0000F44B0000}"/>
    <cellStyle name="Normal 9 2 2 2 3 2" xfId="7986" xr:uid="{00000000-0005-0000-0000-0000F54B0000}"/>
    <cellStyle name="Normal 9 2 2 2 3 2 2" xfId="7987" xr:uid="{00000000-0005-0000-0000-0000F64B0000}"/>
    <cellStyle name="Normal 9 2 2 2 3 2 2 2" xfId="14072" xr:uid="{00000000-0005-0000-0000-0000F74B0000}"/>
    <cellStyle name="Normal 9 2 2 2 3 2 2 3" xfId="20348" xr:uid="{00000000-0005-0000-0000-0000F84B0000}"/>
    <cellStyle name="Normal 9 2 2 2 3 2 3" xfId="14071" xr:uid="{00000000-0005-0000-0000-0000F94B0000}"/>
    <cellStyle name="Normal 9 2 2 2 3 2 4" xfId="20347" xr:uid="{00000000-0005-0000-0000-0000FA4B0000}"/>
    <cellStyle name="Normal 9 2 2 2 3 3" xfId="7988" xr:uid="{00000000-0005-0000-0000-0000FB4B0000}"/>
    <cellStyle name="Normal 9 2 2 2 3 3 2" xfId="7989" xr:uid="{00000000-0005-0000-0000-0000FC4B0000}"/>
    <cellStyle name="Normal 9 2 2 2 3 3 2 2" xfId="14074" xr:uid="{00000000-0005-0000-0000-0000FD4B0000}"/>
    <cellStyle name="Normal 9 2 2 2 3 3 2 3" xfId="20350" xr:uid="{00000000-0005-0000-0000-0000FE4B0000}"/>
    <cellStyle name="Normal 9 2 2 2 3 3 3" xfId="14073" xr:uid="{00000000-0005-0000-0000-0000FF4B0000}"/>
    <cellStyle name="Normal 9 2 2 2 3 3 4" xfId="20349" xr:uid="{00000000-0005-0000-0000-0000004C0000}"/>
    <cellStyle name="Normal 9 2 2 2 3 4" xfId="7990" xr:uid="{00000000-0005-0000-0000-0000014C0000}"/>
    <cellStyle name="Normal 9 2 2 2 3 4 2" xfId="14075" xr:uid="{00000000-0005-0000-0000-0000024C0000}"/>
    <cellStyle name="Normal 9 2 2 2 3 4 3" xfId="20351" xr:uid="{00000000-0005-0000-0000-0000034C0000}"/>
    <cellStyle name="Normal 9 2 2 2 3 5" xfId="14070" xr:uid="{00000000-0005-0000-0000-0000044C0000}"/>
    <cellStyle name="Normal 9 2 2 2 3 6" xfId="20346" xr:uid="{00000000-0005-0000-0000-0000054C0000}"/>
    <cellStyle name="Normal 9 2 2 2 4" xfId="7991" xr:uid="{00000000-0005-0000-0000-0000064C0000}"/>
    <cellStyle name="Normal 9 2 2 2 4 2" xfId="7992" xr:uid="{00000000-0005-0000-0000-0000074C0000}"/>
    <cellStyle name="Normal 9 2 2 2 4 2 2" xfId="14077" xr:uid="{00000000-0005-0000-0000-0000084C0000}"/>
    <cellStyle name="Normal 9 2 2 2 4 2 3" xfId="20353" xr:uid="{00000000-0005-0000-0000-0000094C0000}"/>
    <cellStyle name="Normal 9 2 2 2 4 3" xfId="14076" xr:uid="{00000000-0005-0000-0000-00000A4C0000}"/>
    <cellStyle name="Normal 9 2 2 2 4 4" xfId="20352" xr:uid="{00000000-0005-0000-0000-00000B4C0000}"/>
    <cellStyle name="Normal 9 2 2 2 5" xfId="7993" xr:uid="{00000000-0005-0000-0000-00000C4C0000}"/>
    <cellStyle name="Normal 9 2 2 2 5 2" xfId="7994" xr:uid="{00000000-0005-0000-0000-00000D4C0000}"/>
    <cellStyle name="Normal 9 2 2 2 5 2 2" xfId="14079" xr:uid="{00000000-0005-0000-0000-00000E4C0000}"/>
    <cellStyle name="Normal 9 2 2 2 5 2 3" xfId="20355" xr:uid="{00000000-0005-0000-0000-00000F4C0000}"/>
    <cellStyle name="Normal 9 2 2 2 5 3" xfId="14078" xr:uid="{00000000-0005-0000-0000-0000104C0000}"/>
    <cellStyle name="Normal 9 2 2 2 5 4" xfId="20354" xr:uid="{00000000-0005-0000-0000-0000114C0000}"/>
    <cellStyle name="Normal 9 2 2 2 6" xfId="7995" xr:uid="{00000000-0005-0000-0000-0000124C0000}"/>
    <cellStyle name="Normal 9 2 2 2 6 2" xfId="14080" xr:uid="{00000000-0005-0000-0000-0000134C0000}"/>
    <cellStyle name="Normal 9 2 2 2 6 3" xfId="20356" xr:uid="{00000000-0005-0000-0000-0000144C0000}"/>
    <cellStyle name="Normal 9 2 2 2 7" xfId="14057" xr:uid="{00000000-0005-0000-0000-0000154C0000}"/>
    <cellStyle name="Normal 9 2 2 2 8" xfId="20333" xr:uid="{00000000-0005-0000-0000-0000164C0000}"/>
    <cellStyle name="Normal 9 2 2 3" xfId="7996" xr:uid="{00000000-0005-0000-0000-0000174C0000}"/>
    <cellStyle name="Normal 9 2 2 3 2" xfId="7997" xr:uid="{00000000-0005-0000-0000-0000184C0000}"/>
    <cellStyle name="Normal 9 2 2 3 2 2" xfId="7998" xr:uid="{00000000-0005-0000-0000-0000194C0000}"/>
    <cellStyle name="Normal 9 2 2 3 2 2 2" xfId="7999" xr:uid="{00000000-0005-0000-0000-00001A4C0000}"/>
    <cellStyle name="Normal 9 2 2 3 2 2 2 2" xfId="14084" xr:uid="{00000000-0005-0000-0000-00001B4C0000}"/>
    <cellStyle name="Normal 9 2 2 3 2 2 2 3" xfId="20360" xr:uid="{00000000-0005-0000-0000-00001C4C0000}"/>
    <cellStyle name="Normal 9 2 2 3 2 2 3" xfId="14083" xr:uid="{00000000-0005-0000-0000-00001D4C0000}"/>
    <cellStyle name="Normal 9 2 2 3 2 2 4" xfId="20359" xr:uid="{00000000-0005-0000-0000-00001E4C0000}"/>
    <cellStyle name="Normal 9 2 2 3 2 3" xfId="8000" xr:uid="{00000000-0005-0000-0000-00001F4C0000}"/>
    <cellStyle name="Normal 9 2 2 3 2 3 2" xfId="8001" xr:uid="{00000000-0005-0000-0000-0000204C0000}"/>
    <cellStyle name="Normal 9 2 2 3 2 3 2 2" xfId="14086" xr:uid="{00000000-0005-0000-0000-0000214C0000}"/>
    <cellStyle name="Normal 9 2 2 3 2 3 2 3" xfId="20362" xr:uid="{00000000-0005-0000-0000-0000224C0000}"/>
    <cellStyle name="Normal 9 2 2 3 2 3 3" xfId="14085" xr:uid="{00000000-0005-0000-0000-0000234C0000}"/>
    <cellStyle name="Normal 9 2 2 3 2 3 4" xfId="20361" xr:uid="{00000000-0005-0000-0000-0000244C0000}"/>
    <cellStyle name="Normal 9 2 2 3 2 4" xfId="8002" xr:uid="{00000000-0005-0000-0000-0000254C0000}"/>
    <cellStyle name="Normal 9 2 2 3 2 4 2" xfId="14087" xr:uid="{00000000-0005-0000-0000-0000264C0000}"/>
    <cellStyle name="Normal 9 2 2 3 2 4 3" xfId="20363" xr:uid="{00000000-0005-0000-0000-0000274C0000}"/>
    <cellStyle name="Normal 9 2 2 3 2 5" xfId="14082" xr:uid="{00000000-0005-0000-0000-0000284C0000}"/>
    <cellStyle name="Normal 9 2 2 3 2 6" xfId="20358" xr:uid="{00000000-0005-0000-0000-0000294C0000}"/>
    <cellStyle name="Normal 9 2 2 3 3" xfId="8003" xr:uid="{00000000-0005-0000-0000-00002A4C0000}"/>
    <cellStyle name="Normal 9 2 2 3 3 2" xfId="8004" xr:uid="{00000000-0005-0000-0000-00002B4C0000}"/>
    <cellStyle name="Normal 9 2 2 3 3 2 2" xfId="14089" xr:uid="{00000000-0005-0000-0000-00002C4C0000}"/>
    <cellStyle name="Normal 9 2 2 3 3 2 3" xfId="20365" xr:uid="{00000000-0005-0000-0000-00002D4C0000}"/>
    <cellStyle name="Normal 9 2 2 3 3 3" xfId="14088" xr:uid="{00000000-0005-0000-0000-00002E4C0000}"/>
    <cellStyle name="Normal 9 2 2 3 3 4" xfId="20364" xr:uid="{00000000-0005-0000-0000-00002F4C0000}"/>
    <cellStyle name="Normal 9 2 2 3 4" xfId="8005" xr:uid="{00000000-0005-0000-0000-0000304C0000}"/>
    <cellStyle name="Normal 9 2 2 3 4 2" xfId="8006" xr:uid="{00000000-0005-0000-0000-0000314C0000}"/>
    <cellStyle name="Normal 9 2 2 3 4 2 2" xfId="14091" xr:uid="{00000000-0005-0000-0000-0000324C0000}"/>
    <cellStyle name="Normal 9 2 2 3 4 2 3" xfId="20367" xr:uid="{00000000-0005-0000-0000-0000334C0000}"/>
    <cellStyle name="Normal 9 2 2 3 4 3" xfId="14090" xr:uid="{00000000-0005-0000-0000-0000344C0000}"/>
    <cellStyle name="Normal 9 2 2 3 4 4" xfId="20366" xr:uid="{00000000-0005-0000-0000-0000354C0000}"/>
    <cellStyle name="Normal 9 2 2 3 5" xfId="8007" xr:uid="{00000000-0005-0000-0000-0000364C0000}"/>
    <cellStyle name="Normal 9 2 2 3 5 2" xfId="14092" xr:uid="{00000000-0005-0000-0000-0000374C0000}"/>
    <cellStyle name="Normal 9 2 2 3 5 3" xfId="20368" xr:uid="{00000000-0005-0000-0000-0000384C0000}"/>
    <cellStyle name="Normal 9 2 2 3 6" xfId="14081" xr:uid="{00000000-0005-0000-0000-0000394C0000}"/>
    <cellStyle name="Normal 9 2 2 3 7" xfId="20357" xr:uid="{00000000-0005-0000-0000-00003A4C0000}"/>
    <cellStyle name="Normal 9 2 2 4" xfId="8008" xr:uid="{00000000-0005-0000-0000-00003B4C0000}"/>
    <cellStyle name="Normal 9 2 2 4 2" xfId="8009" xr:uid="{00000000-0005-0000-0000-00003C4C0000}"/>
    <cellStyle name="Normal 9 2 2 4 2 2" xfId="8010" xr:uid="{00000000-0005-0000-0000-00003D4C0000}"/>
    <cellStyle name="Normal 9 2 2 4 2 2 2" xfId="14095" xr:uid="{00000000-0005-0000-0000-00003E4C0000}"/>
    <cellStyle name="Normal 9 2 2 4 2 2 3" xfId="20371" xr:uid="{00000000-0005-0000-0000-00003F4C0000}"/>
    <cellStyle name="Normal 9 2 2 4 2 3" xfId="14094" xr:uid="{00000000-0005-0000-0000-0000404C0000}"/>
    <cellStyle name="Normal 9 2 2 4 2 4" xfId="20370" xr:uid="{00000000-0005-0000-0000-0000414C0000}"/>
    <cellStyle name="Normal 9 2 2 4 3" xfId="8011" xr:uid="{00000000-0005-0000-0000-0000424C0000}"/>
    <cellStyle name="Normal 9 2 2 4 3 2" xfId="8012" xr:uid="{00000000-0005-0000-0000-0000434C0000}"/>
    <cellStyle name="Normal 9 2 2 4 3 2 2" xfId="14097" xr:uid="{00000000-0005-0000-0000-0000444C0000}"/>
    <cellStyle name="Normal 9 2 2 4 3 2 3" xfId="20373" xr:uid="{00000000-0005-0000-0000-0000454C0000}"/>
    <cellStyle name="Normal 9 2 2 4 3 3" xfId="14096" xr:uid="{00000000-0005-0000-0000-0000464C0000}"/>
    <cellStyle name="Normal 9 2 2 4 3 4" xfId="20372" xr:uid="{00000000-0005-0000-0000-0000474C0000}"/>
    <cellStyle name="Normal 9 2 2 4 4" xfId="8013" xr:uid="{00000000-0005-0000-0000-0000484C0000}"/>
    <cellStyle name="Normal 9 2 2 4 4 2" xfId="14098" xr:uid="{00000000-0005-0000-0000-0000494C0000}"/>
    <cellStyle name="Normal 9 2 2 4 4 3" xfId="20374" xr:uid="{00000000-0005-0000-0000-00004A4C0000}"/>
    <cellStyle name="Normal 9 2 2 4 5" xfId="14093" xr:uid="{00000000-0005-0000-0000-00004B4C0000}"/>
    <cellStyle name="Normal 9 2 2 4 6" xfId="20369" xr:uid="{00000000-0005-0000-0000-00004C4C0000}"/>
    <cellStyle name="Normal 9 2 2 5" xfId="8014" xr:uid="{00000000-0005-0000-0000-00004D4C0000}"/>
    <cellStyle name="Normal 9 2 2 5 2" xfId="8015" xr:uid="{00000000-0005-0000-0000-00004E4C0000}"/>
    <cellStyle name="Normal 9 2 2 5 2 2" xfId="14100" xr:uid="{00000000-0005-0000-0000-00004F4C0000}"/>
    <cellStyle name="Normal 9 2 2 5 2 3" xfId="20376" xr:uid="{00000000-0005-0000-0000-0000504C0000}"/>
    <cellStyle name="Normal 9 2 2 5 3" xfId="14099" xr:uid="{00000000-0005-0000-0000-0000514C0000}"/>
    <cellStyle name="Normal 9 2 2 5 4" xfId="20375" xr:uid="{00000000-0005-0000-0000-0000524C0000}"/>
    <cellStyle name="Normal 9 2 2 6" xfId="8016" xr:uid="{00000000-0005-0000-0000-0000534C0000}"/>
    <cellStyle name="Normal 9 2 2 6 2" xfId="8017" xr:uid="{00000000-0005-0000-0000-0000544C0000}"/>
    <cellStyle name="Normal 9 2 2 6 2 2" xfId="14102" xr:uid="{00000000-0005-0000-0000-0000554C0000}"/>
    <cellStyle name="Normal 9 2 2 6 2 3" xfId="20378" xr:uid="{00000000-0005-0000-0000-0000564C0000}"/>
    <cellStyle name="Normal 9 2 2 6 3" xfId="14101" xr:uid="{00000000-0005-0000-0000-0000574C0000}"/>
    <cellStyle name="Normal 9 2 2 6 4" xfId="20377" xr:uid="{00000000-0005-0000-0000-0000584C0000}"/>
    <cellStyle name="Normal 9 2 2 7" xfId="8018" xr:uid="{00000000-0005-0000-0000-0000594C0000}"/>
    <cellStyle name="Normal 9 2 2 7 2" xfId="14103" xr:uid="{00000000-0005-0000-0000-00005A4C0000}"/>
    <cellStyle name="Normal 9 2 2 7 3" xfId="20379" xr:uid="{00000000-0005-0000-0000-00005B4C0000}"/>
    <cellStyle name="Normal 9 2 2 8" xfId="8019" xr:uid="{00000000-0005-0000-0000-00005C4C0000}"/>
    <cellStyle name="Normal 9 2 2 8 2" xfId="20380" xr:uid="{00000000-0005-0000-0000-00005D4C0000}"/>
    <cellStyle name="Normal 9 2 2 9" xfId="14056" xr:uid="{00000000-0005-0000-0000-00005E4C0000}"/>
    <cellStyle name="Normal 9 2 3" xfId="8020" xr:uid="{00000000-0005-0000-0000-00005F4C0000}"/>
    <cellStyle name="Normal 9 2 3 2" xfId="8021" xr:uid="{00000000-0005-0000-0000-0000604C0000}"/>
    <cellStyle name="Normal 9 2 3 2 2" xfId="8022" xr:uid="{00000000-0005-0000-0000-0000614C0000}"/>
    <cellStyle name="Normal 9 2 3 2 2 2" xfId="8023" xr:uid="{00000000-0005-0000-0000-0000624C0000}"/>
    <cellStyle name="Normal 9 2 3 2 2 2 2" xfId="8024" xr:uid="{00000000-0005-0000-0000-0000634C0000}"/>
    <cellStyle name="Normal 9 2 3 2 2 2 2 2" xfId="14108" xr:uid="{00000000-0005-0000-0000-0000644C0000}"/>
    <cellStyle name="Normal 9 2 3 2 2 2 2 3" xfId="20385" xr:uid="{00000000-0005-0000-0000-0000654C0000}"/>
    <cellStyle name="Normal 9 2 3 2 2 2 3" xfId="14107" xr:uid="{00000000-0005-0000-0000-0000664C0000}"/>
    <cellStyle name="Normal 9 2 3 2 2 2 4" xfId="20384" xr:uid="{00000000-0005-0000-0000-0000674C0000}"/>
    <cellStyle name="Normal 9 2 3 2 2 3" xfId="8025" xr:uid="{00000000-0005-0000-0000-0000684C0000}"/>
    <cellStyle name="Normal 9 2 3 2 2 3 2" xfId="8026" xr:uid="{00000000-0005-0000-0000-0000694C0000}"/>
    <cellStyle name="Normal 9 2 3 2 2 3 2 2" xfId="14110" xr:uid="{00000000-0005-0000-0000-00006A4C0000}"/>
    <cellStyle name="Normal 9 2 3 2 2 3 2 3" xfId="20387" xr:uid="{00000000-0005-0000-0000-00006B4C0000}"/>
    <cellStyle name="Normal 9 2 3 2 2 3 3" xfId="14109" xr:uid="{00000000-0005-0000-0000-00006C4C0000}"/>
    <cellStyle name="Normal 9 2 3 2 2 3 4" xfId="20386" xr:uid="{00000000-0005-0000-0000-00006D4C0000}"/>
    <cellStyle name="Normal 9 2 3 2 2 4" xfId="8027" xr:uid="{00000000-0005-0000-0000-00006E4C0000}"/>
    <cellStyle name="Normal 9 2 3 2 2 4 2" xfId="14111" xr:uid="{00000000-0005-0000-0000-00006F4C0000}"/>
    <cellStyle name="Normal 9 2 3 2 2 4 3" xfId="20388" xr:uid="{00000000-0005-0000-0000-0000704C0000}"/>
    <cellStyle name="Normal 9 2 3 2 2 5" xfId="14106" xr:uid="{00000000-0005-0000-0000-0000714C0000}"/>
    <cellStyle name="Normal 9 2 3 2 2 6" xfId="20383" xr:uid="{00000000-0005-0000-0000-0000724C0000}"/>
    <cellStyle name="Normal 9 2 3 2 3" xfId="8028" xr:uid="{00000000-0005-0000-0000-0000734C0000}"/>
    <cellStyle name="Normal 9 2 3 2 3 2" xfId="8029" xr:uid="{00000000-0005-0000-0000-0000744C0000}"/>
    <cellStyle name="Normal 9 2 3 2 3 2 2" xfId="14113" xr:uid="{00000000-0005-0000-0000-0000754C0000}"/>
    <cellStyle name="Normal 9 2 3 2 3 2 3" xfId="20390" xr:uid="{00000000-0005-0000-0000-0000764C0000}"/>
    <cellStyle name="Normal 9 2 3 2 3 3" xfId="14112" xr:uid="{00000000-0005-0000-0000-0000774C0000}"/>
    <cellStyle name="Normal 9 2 3 2 3 4" xfId="20389" xr:uid="{00000000-0005-0000-0000-0000784C0000}"/>
    <cellStyle name="Normal 9 2 3 2 4" xfId="8030" xr:uid="{00000000-0005-0000-0000-0000794C0000}"/>
    <cellStyle name="Normal 9 2 3 2 4 2" xfId="8031" xr:uid="{00000000-0005-0000-0000-00007A4C0000}"/>
    <cellStyle name="Normal 9 2 3 2 4 2 2" xfId="14115" xr:uid="{00000000-0005-0000-0000-00007B4C0000}"/>
    <cellStyle name="Normal 9 2 3 2 4 2 3" xfId="20392" xr:uid="{00000000-0005-0000-0000-00007C4C0000}"/>
    <cellStyle name="Normal 9 2 3 2 4 3" xfId="14114" xr:uid="{00000000-0005-0000-0000-00007D4C0000}"/>
    <cellStyle name="Normal 9 2 3 2 4 4" xfId="20391" xr:uid="{00000000-0005-0000-0000-00007E4C0000}"/>
    <cellStyle name="Normal 9 2 3 2 5" xfId="8032" xr:uid="{00000000-0005-0000-0000-00007F4C0000}"/>
    <cellStyle name="Normal 9 2 3 2 5 2" xfId="14116" xr:uid="{00000000-0005-0000-0000-0000804C0000}"/>
    <cellStyle name="Normal 9 2 3 2 5 3" xfId="20393" xr:uid="{00000000-0005-0000-0000-0000814C0000}"/>
    <cellStyle name="Normal 9 2 3 2 6" xfId="14105" xr:uid="{00000000-0005-0000-0000-0000824C0000}"/>
    <cellStyle name="Normal 9 2 3 2 7" xfId="20382" xr:uid="{00000000-0005-0000-0000-0000834C0000}"/>
    <cellStyle name="Normal 9 2 3 3" xfId="8033" xr:uid="{00000000-0005-0000-0000-0000844C0000}"/>
    <cellStyle name="Normal 9 2 3 3 2" xfId="8034" xr:uid="{00000000-0005-0000-0000-0000854C0000}"/>
    <cellStyle name="Normal 9 2 3 3 2 2" xfId="8035" xr:uid="{00000000-0005-0000-0000-0000864C0000}"/>
    <cellStyle name="Normal 9 2 3 3 2 2 2" xfId="14119" xr:uid="{00000000-0005-0000-0000-0000874C0000}"/>
    <cellStyle name="Normal 9 2 3 3 2 2 3" xfId="20396" xr:uid="{00000000-0005-0000-0000-0000884C0000}"/>
    <cellStyle name="Normal 9 2 3 3 2 3" xfId="14118" xr:uid="{00000000-0005-0000-0000-0000894C0000}"/>
    <cellStyle name="Normal 9 2 3 3 2 4" xfId="20395" xr:uid="{00000000-0005-0000-0000-00008A4C0000}"/>
    <cellStyle name="Normal 9 2 3 3 3" xfId="8036" xr:uid="{00000000-0005-0000-0000-00008B4C0000}"/>
    <cellStyle name="Normal 9 2 3 3 3 2" xfId="8037" xr:uid="{00000000-0005-0000-0000-00008C4C0000}"/>
    <cellStyle name="Normal 9 2 3 3 3 2 2" xfId="14121" xr:uid="{00000000-0005-0000-0000-00008D4C0000}"/>
    <cellStyle name="Normal 9 2 3 3 3 2 3" xfId="20398" xr:uid="{00000000-0005-0000-0000-00008E4C0000}"/>
    <cellStyle name="Normal 9 2 3 3 3 3" xfId="14120" xr:uid="{00000000-0005-0000-0000-00008F4C0000}"/>
    <cellStyle name="Normal 9 2 3 3 3 4" xfId="20397" xr:uid="{00000000-0005-0000-0000-0000904C0000}"/>
    <cellStyle name="Normal 9 2 3 3 4" xfId="8038" xr:uid="{00000000-0005-0000-0000-0000914C0000}"/>
    <cellStyle name="Normal 9 2 3 3 4 2" xfId="14122" xr:uid="{00000000-0005-0000-0000-0000924C0000}"/>
    <cellStyle name="Normal 9 2 3 3 4 3" xfId="20399" xr:uid="{00000000-0005-0000-0000-0000934C0000}"/>
    <cellStyle name="Normal 9 2 3 3 5" xfId="14117" xr:uid="{00000000-0005-0000-0000-0000944C0000}"/>
    <cellStyle name="Normal 9 2 3 3 6" xfId="20394" xr:uid="{00000000-0005-0000-0000-0000954C0000}"/>
    <cellStyle name="Normal 9 2 3 4" xfId="8039" xr:uid="{00000000-0005-0000-0000-0000964C0000}"/>
    <cellStyle name="Normal 9 2 3 4 2" xfId="8040" xr:uid="{00000000-0005-0000-0000-0000974C0000}"/>
    <cellStyle name="Normal 9 2 3 4 2 2" xfId="14124" xr:uid="{00000000-0005-0000-0000-0000984C0000}"/>
    <cellStyle name="Normal 9 2 3 4 2 3" xfId="20401" xr:uid="{00000000-0005-0000-0000-0000994C0000}"/>
    <cellStyle name="Normal 9 2 3 4 3" xfId="8041" xr:uid="{00000000-0005-0000-0000-00009A4C0000}"/>
    <cellStyle name="Normal 9 2 3 4 3 2" xfId="14125" xr:uid="{00000000-0005-0000-0000-00009B4C0000}"/>
    <cellStyle name="Normal 9 2 3 4 3 3" xfId="20402" xr:uid="{00000000-0005-0000-0000-00009C4C0000}"/>
    <cellStyle name="Normal 9 2 3 4 4" xfId="14123" xr:uid="{00000000-0005-0000-0000-00009D4C0000}"/>
    <cellStyle name="Normal 9 2 3 4 5" xfId="20400" xr:uid="{00000000-0005-0000-0000-00009E4C0000}"/>
    <cellStyle name="Normal 9 2 3 5" xfId="8042" xr:uid="{00000000-0005-0000-0000-00009F4C0000}"/>
    <cellStyle name="Normal 9 2 3 5 2" xfId="8043" xr:uid="{00000000-0005-0000-0000-0000A04C0000}"/>
    <cellStyle name="Normal 9 2 3 5 2 2" xfId="14127" xr:uid="{00000000-0005-0000-0000-0000A14C0000}"/>
    <cellStyle name="Normal 9 2 3 5 2 3" xfId="20404" xr:uid="{00000000-0005-0000-0000-0000A24C0000}"/>
    <cellStyle name="Normal 9 2 3 5 3" xfId="14126" xr:uid="{00000000-0005-0000-0000-0000A34C0000}"/>
    <cellStyle name="Normal 9 2 3 5 4" xfId="20403" xr:uid="{00000000-0005-0000-0000-0000A44C0000}"/>
    <cellStyle name="Normal 9 2 3 6" xfId="8044" xr:uid="{00000000-0005-0000-0000-0000A54C0000}"/>
    <cellStyle name="Normal 9 2 3 6 2" xfId="14128" xr:uid="{00000000-0005-0000-0000-0000A64C0000}"/>
    <cellStyle name="Normal 9 2 3 6 3" xfId="20405" xr:uid="{00000000-0005-0000-0000-0000A74C0000}"/>
    <cellStyle name="Normal 9 2 3 7" xfId="14104" xr:uid="{00000000-0005-0000-0000-0000A84C0000}"/>
    <cellStyle name="Normal 9 2 3 8" xfId="20381" xr:uid="{00000000-0005-0000-0000-0000A94C0000}"/>
    <cellStyle name="Normal 9 2 4" xfId="8045" xr:uid="{00000000-0005-0000-0000-0000AA4C0000}"/>
    <cellStyle name="Normal 9 2 4 2" xfId="8046" xr:uid="{00000000-0005-0000-0000-0000AB4C0000}"/>
    <cellStyle name="Normal 9 2 4 2 2" xfId="8047" xr:uid="{00000000-0005-0000-0000-0000AC4C0000}"/>
    <cellStyle name="Normal 9 2 4 2 2 2" xfId="8048" xr:uid="{00000000-0005-0000-0000-0000AD4C0000}"/>
    <cellStyle name="Normal 9 2 4 2 2 2 2" xfId="14132" xr:uid="{00000000-0005-0000-0000-0000AE4C0000}"/>
    <cellStyle name="Normal 9 2 4 2 2 2 3" xfId="20409" xr:uid="{00000000-0005-0000-0000-0000AF4C0000}"/>
    <cellStyle name="Normal 9 2 4 2 2 3" xfId="14131" xr:uid="{00000000-0005-0000-0000-0000B04C0000}"/>
    <cellStyle name="Normal 9 2 4 2 2 4" xfId="20408" xr:uid="{00000000-0005-0000-0000-0000B14C0000}"/>
    <cellStyle name="Normal 9 2 4 2 3" xfId="8049" xr:uid="{00000000-0005-0000-0000-0000B24C0000}"/>
    <cellStyle name="Normal 9 2 4 2 3 2" xfId="8050" xr:uid="{00000000-0005-0000-0000-0000B34C0000}"/>
    <cellStyle name="Normal 9 2 4 2 3 2 2" xfId="14134" xr:uid="{00000000-0005-0000-0000-0000B44C0000}"/>
    <cellStyle name="Normal 9 2 4 2 3 2 3" xfId="20411" xr:uid="{00000000-0005-0000-0000-0000B54C0000}"/>
    <cellStyle name="Normal 9 2 4 2 3 3" xfId="14133" xr:uid="{00000000-0005-0000-0000-0000B64C0000}"/>
    <cellStyle name="Normal 9 2 4 2 3 4" xfId="20410" xr:uid="{00000000-0005-0000-0000-0000B74C0000}"/>
    <cellStyle name="Normal 9 2 4 2 4" xfId="8051" xr:uid="{00000000-0005-0000-0000-0000B84C0000}"/>
    <cellStyle name="Normal 9 2 4 2 4 2" xfId="14135" xr:uid="{00000000-0005-0000-0000-0000B94C0000}"/>
    <cellStyle name="Normal 9 2 4 2 4 3" xfId="20412" xr:uid="{00000000-0005-0000-0000-0000BA4C0000}"/>
    <cellStyle name="Normal 9 2 4 2 5" xfId="8052" xr:uid="{00000000-0005-0000-0000-0000BB4C0000}"/>
    <cellStyle name="Normal 9 2 4 2 5 2" xfId="14136" xr:uid="{00000000-0005-0000-0000-0000BC4C0000}"/>
    <cellStyle name="Normal 9 2 4 2 5 3" xfId="20413" xr:uid="{00000000-0005-0000-0000-0000BD4C0000}"/>
    <cellStyle name="Normal 9 2 4 2 6" xfId="14130" xr:uid="{00000000-0005-0000-0000-0000BE4C0000}"/>
    <cellStyle name="Normal 9 2 4 2 7" xfId="20407" xr:uid="{00000000-0005-0000-0000-0000BF4C0000}"/>
    <cellStyle name="Normal 9 2 4 3" xfId="8053" xr:uid="{00000000-0005-0000-0000-0000C04C0000}"/>
    <cellStyle name="Normal 9 2 4 3 2" xfId="8054" xr:uid="{00000000-0005-0000-0000-0000C14C0000}"/>
    <cellStyle name="Normal 9 2 4 3 2 2" xfId="14138" xr:uid="{00000000-0005-0000-0000-0000C24C0000}"/>
    <cellStyle name="Normal 9 2 4 3 2 3" xfId="20415" xr:uid="{00000000-0005-0000-0000-0000C34C0000}"/>
    <cellStyle name="Normal 9 2 4 3 3" xfId="8055" xr:uid="{00000000-0005-0000-0000-0000C44C0000}"/>
    <cellStyle name="Normal 9 2 4 3 3 2" xfId="14139" xr:uid="{00000000-0005-0000-0000-0000C54C0000}"/>
    <cellStyle name="Normal 9 2 4 3 3 3" xfId="20416" xr:uid="{00000000-0005-0000-0000-0000C64C0000}"/>
    <cellStyle name="Normal 9 2 4 3 4" xfId="14137" xr:uid="{00000000-0005-0000-0000-0000C74C0000}"/>
    <cellStyle name="Normal 9 2 4 3 5" xfId="20414" xr:uid="{00000000-0005-0000-0000-0000C84C0000}"/>
    <cellStyle name="Normal 9 2 4 4" xfId="8056" xr:uid="{00000000-0005-0000-0000-0000C94C0000}"/>
    <cellStyle name="Normal 9 2 4 4 2" xfId="8057" xr:uid="{00000000-0005-0000-0000-0000CA4C0000}"/>
    <cellStyle name="Normal 9 2 4 4 2 2" xfId="14141" xr:uid="{00000000-0005-0000-0000-0000CB4C0000}"/>
    <cellStyle name="Normal 9 2 4 4 2 3" xfId="20418" xr:uid="{00000000-0005-0000-0000-0000CC4C0000}"/>
    <cellStyle name="Normal 9 2 4 4 3" xfId="8058" xr:uid="{00000000-0005-0000-0000-0000CD4C0000}"/>
    <cellStyle name="Normal 9 2 4 4 3 2" xfId="14142" xr:uid="{00000000-0005-0000-0000-0000CE4C0000}"/>
    <cellStyle name="Normal 9 2 4 4 3 3" xfId="20419" xr:uid="{00000000-0005-0000-0000-0000CF4C0000}"/>
    <cellStyle name="Normal 9 2 4 4 4" xfId="14140" xr:uid="{00000000-0005-0000-0000-0000D04C0000}"/>
    <cellStyle name="Normal 9 2 4 4 5" xfId="20417" xr:uid="{00000000-0005-0000-0000-0000D14C0000}"/>
    <cellStyle name="Normal 9 2 4 5" xfId="8059" xr:uid="{00000000-0005-0000-0000-0000D24C0000}"/>
    <cellStyle name="Normal 9 2 4 5 2" xfId="14143" xr:uid="{00000000-0005-0000-0000-0000D34C0000}"/>
    <cellStyle name="Normal 9 2 4 5 3" xfId="20420" xr:uid="{00000000-0005-0000-0000-0000D44C0000}"/>
    <cellStyle name="Normal 9 2 4 6" xfId="8060" xr:uid="{00000000-0005-0000-0000-0000D54C0000}"/>
    <cellStyle name="Normal 9 2 4 6 2" xfId="14144" xr:uid="{00000000-0005-0000-0000-0000D64C0000}"/>
    <cellStyle name="Normal 9 2 4 6 3" xfId="20421" xr:uid="{00000000-0005-0000-0000-0000D74C0000}"/>
    <cellStyle name="Normal 9 2 4 7" xfId="14129" xr:uid="{00000000-0005-0000-0000-0000D84C0000}"/>
    <cellStyle name="Normal 9 2 4 8" xfId="20406" xr:uid="{00000000-0005-0000-0000-0000D94C0000}"/>
    <cellStyle name="Normal 9 2 5" xfId="8061" xr:uid="{00000000-0005-0000-0000-0000DA4C0000}"/>
    <cellStyle name="Normal 9 2 5 10" xfId="14145" xr:uid="{00000000-0005-0000-0000-0000DB4C0000}"/>
    <cellStyle name="Normal 9 2 5 11" xfId="20422" xr:uid="{00000000-0005-0000-0000-0000DC4C0000}"/>
    <cellStyle name="Normal 9 2 5 2" xfId="8062" xr:uid="{00000000-0005-0000-0000-0000DD4C0000}"/>
    <cellStyle name="Normal 9 2 5 2 2" xfId="8063" xr:uid="{00000000-0005-0000-0000-0000DE4C0000}"/>
    <cellStyle name="Normal 9 2 5 2 2 2" xfId="8064" xr:uid="{00000000-0005-0000-0000-0000DF4C0000}"/>
    <cellStyle name="Normal 9 2 5 2 2 2 2" xfId="14148" xr:uid="{00000000-0005-0000-0000-0000E04C0000}"/>
    <cellStyle name="Normal 9 2 5 2 2 2 3" xfId="20425" xr:uid="{00000000-0005-0000-0000-0000E14C0000}"/>
    <cellStyle name="Normal 9 2 5 2 2 3" xfId="8065" xr:uid="{00000000-0005-0000-0000-0000E24C0000}"/>
    <cellStyle name="Normal 9 2 5 2 2 3 2" xfId="14149" xr:uid="{00000000-0005-0000-0000-0000E34C0000}"/>
    <cellStyle name="Normal 9 2 5 2 2 3 3" xfId="20426" xr:uid="{00000000-0005-0000-0000-0000E44C0000}"/>
    <cellStyle name="Normal 9 2 5 2 2 4" xfId="8066" xr:uid="{00000000-0005-0000-0000-0000E54C0000}"/>
    <cellStyle name="Normal 9 2 5 2 2 4 2" xfId="14150" xr:uid="{00000000-0005-0000-0000-0000E64C0000}"/>
    <cellStyle name="Normal 9 2 5 2 2 4 3" xfId="20427" xr:uid="{00000000-0005-0000-0000-0000E74C0000}"/>
    <cellStyle name="Normal 9 2 5 2 2 5" xfId="8067" xr:uid="{00000000-0005-0000-0000-0000E84C0000}"/>
    <cellStyle name="Normal 9 2 5 2 2 5 2" xfId="14151" xr:uid="{00000000-0005-0000-0000-0000E94C0000}"/>
    <cellStyle name="Normal 9 2 5 2 2 5 3" xfId="20428" xr:uid="{00000000-0005-0000-0000-0000EA4C0000}"/>
    <cellStyle name="Normal 9 2 5 2 2 6" xfId="14147" xr:uid="{00000000-0005-0000-0000-0000EB4C0000}"/>
    <cellStyle name="Normal 9 2 5 2 2 7" xfId="20424" xr:uid="{00000000-0005-0000-0000-0000EC4C0000}"/>
    <cellStyle name="Normal 9 2 5 2 3" xfId="8068" xr:uid="{00000000-0005-0000-0000-0000ED4C0000}"/>
    <cellStyle name="Normal 9 2 5 2 3 2" xfId="8069" xr:uid="{00000000-0005-0000-0000-0000EE4C0000}"/>
    <cellStyle name="Normal 9 2 5 2 3 2 2" xfId="14153" xr:uid="{00000000-0005-0000-0000-0000EF4C0000}"/>
    <cellStyle name="Normal 9 2 5 2 3 2 3" xfId="20430" xr:uid="{00000000-0005-0000-0000-0000F04C0000}"/>
    <cellStyle name="Normal 9 2 5 2 3 3" xfId="8070" xr:uid="{00000000-0005-0000-0000-0000F14C0000}"/>
    <cellStyle name="Normal 9 2 5 2 3 3 2" xfId="14154" xr:uid="{00000000-0005-0000-0000-0000F24C0000}"/>
    <cellStyle name="Normal 9 2 5 2 3 3 3" xfId="20431" xr:uid="{00000000-0005-0000-0000-0000F34C0000}"/>
    <cellStyle name="Normal 9 2 5 2 3 4" xfId="14152" xr:uid="{00000000-0005-0000-0000-0000F44C0000}"/>
    <cellStyle name="Normal 9 2 5 2 3 5" xfId="20429" xr:uid="{00000000-0005-0000-0000-0000F54C0000}"/>
    <cellStyle name="Normal 9 2 5 2 4" xfId="8071" xr:uid="{00000000-0005-0000-0000-0000F64C0000}"/>
    <cellStyle name="Normal 9 2 5 2 4 2" xfId="8072" xr:uid="{00000000-0005-0000-0000-0000F74C0000}"/>
    <cellStyle name="Normal 9 2 5 2 4 2 2" xfId="14156" xr:uid="{00000000-0005-0000-0000-0000F84C0000}"/>
    <cellStyle name="Normal 9 2 5 2 4 2 3" xfId="20433" xr:uid="{00000000-0005-0000-0000-0000F94C0000}"/>
    <cellStyle name="Normal 9 2 5 2 4 3" xfId="8073" xr:uid="{00000000-0005-0000-0000-0000FA4C0000}"/>
    <cellStyle name="Normal 9 2 5 2 4 3 2" xfId="14157" xr:uid="{00000000-0005-0000-0000-0000FB4C0000}"/>
    <cellStyle name="Normal 9 2 5 2 4 3 3" xfId="20434" xr:uid="{00000000-0005-0000-0000-0000FC4C0000}"/>
    <cellStyle name="Normal 9 2 5 2 4 4" xfId="14155" xr:uid="{00000000-0005-0000-0000-0000FD4C0000}"/>
    <cellStyle name="Normal 9 2 5 2 4 5" xfId="20432" xr:uid="{00000000-0005-0000-0000-0000FE4C0000}"/>
    <cellStyle name="Normal 9 2 5 2 5" xfId="8074" xr:uid="{00000000-0005-0000-0000-0000FF4C0000}"/>
    <cellStyle name="Normal 9 2 5 2 5 2" xfId="14158" xr:uid="{00000000-0005-0000-0000-0000004D0000}"/>
    <cellStyle name="Normal 9 2 5 2 5 3" xfId="20435" xr:uid="{00000000-0005-0000-0000-0000014D0000}"/>
    <cellStyle name="Normal 9 2 5 2 6" xfId="8075" xr:uid="{00000000-0005-0000-0000-0000024D0000}"/>
    <cellStyle name="Normal 9 2 5 2 6 2" xfId="14159" xr:uid="{00000000-0005-0000-0000-0000034D0000}"/>
    <cellStyle name="Normal 9 2 5 2 6 3" xfId="20436" xr:uid="{00000000-0005-0000-0000-0000044D0000}"/>
    <cellStyle name="Normal 9 2 5 2 7" xfId="14146" xr:uid="{00000000-0005-0000-0000-0000054D0000}"/>
    <cellStyle name="Normal 9 2 5 2 8" xfId="20423" xr:uid="{00000000-0005-0000-0000-0000064D0000}"/>
    <cellStyle name="Normal 9 2 5 3" xfId="8076" xr:uid="{00000000-0005-0000-0000-0000074D0000}"/>
    <cellStyle name="Normal 9 2 5 3 2" xfId="8077" xr:uid="{00000000-0005-0000-0000-0000084D0000}"/>
    <cellStyle name="Normal 9 2 5 3 2 2" xfId="8078" xr:uid="{00000000-0005-0000-0000-0000094D0000}"/>
    <cellStyle name="Normal 9 2 5 3 2 2 2" xfId="8079" xr:uid="{00000000-0005-0000-0000-00000A4D0000}"/>
    <cellStyle name="Normal 9 2 5 3 2 2 2 2" xfId="14163" xr:uid="{00000000-0005-0000-0000-00000B4D0000}"/>
    <cellStyle name="Normal 9 2 5 3 2 2 2 3" xfId="20440" xr:uid="{00000000-0005-0000-0000-00000C4D0000}"/>
    <cellStyle name="Normal 9 2 5 3 2 2 3" xfId="8080" xr:uid="{00000000-0005-0000-0000-00000D4D0000}"/>
    <cellStyle name="Normal 9 2 5 3 2 2 3 2" xfId="14164" xr:uid="{00000000-0005-0000-0000-00000E4D0000}"/>
    <cellStyle name="Normal 9 2 5 3 2 2 3 3" xfId="20441" xr:uid="{00000000-0005-0000-0000-00000F4D0000}"/>
    <cellStyle name="Normal 9 2 5 3 2 2 4" xfId="14162" xr:uid="{00000000-0005-0000-0000-0000104D0000}"/>
    <cellStyle name="Normal 9 2 5 3 2 2 5" xfId="20439" xr:uid="{00000000-0005-0000-0000-0000114D0000}"/>
    <cellStyle name="Normal 9 2 5 3 2 3" xfId="8081" xr:uid="{00000000-0005-0000-0000-0000124D0000}"/>
    <cellStyle name="Normal 9 2 5 3 2 3 2" xfId="8082" xr:uid="{00000000-0005-0000-0000-0000134D0000}"/>
    <cellStyle name="Normal 9 2 5 3 2 3 2 2" xfId="14166" xr:uid="{00000000-0005-0000-0000-0000144D0000}"/>
    <cellStyle name="Normal 9 2 5 3 2 3 2 3" xfId="20443" xr:uid="{00000000-0005-0000-0000-0000154D0000}"/>
    <cellStyle name="Normal 9 2 5 3 2 3 3" xfId="8083" xr:uid="{00000000-0005-0000-0000-0000164D0000}"/>
    <cellStyle name="Normal 9 2 5 3 2 3 3 2" xfId="14167" xr:uid="{00000000-0005-0000-0000-0000174D0000}"/>
    <cellStyle name="Normal 9 2 5 3 2 3 3 3" xfId="20444" xr:uid="{00000000-0005-0000-0000-0000184D0000}"/>
    <cellStyle name="Normal 9 2 5 3 2 3 4" xfId="14165" xr:uid="{00000000-0005-0000-0000-0000194D0000}"/>
    <cellStyle name="Normal 9 2 5 3 2 3 5" xfId="20442" xr:uid="{00000000-0005-0000-0000-00001A4D0000}"/>
    <cellStyle name="Normal 9 2 5 3 2 4" xfId="8084" xr:uid="{00000000-0005-0000-0000-00001B4D0000}"/>
    <cellStyle name="Normal 9 2 5 3 2 4 2" xfId="14168" xr:uid="{00000000-0005-0000-0000-00001C4D0000}"/>
    <cellStyle name="Normal 9 2 5 3 2 4 3" xfId="20445" xr:uid="{00000000-0005-0000-0000-00001D4D0000}"/>
    <cellStyle name="Normal 9 2 5 3 2 5" xfId="8085" xr:uid="{00000000-0005-0000-0000-00001E4D0000}"/>
    <cellStyle name="Normal 9 2 5 3 2 5 2" xfId="14169" xr:uid="{00000000-0005-0000-0000-00001F4D0000}"/>
    <cellStyle name="Normal 9 2 5 3 2 5 3" xfId="20446" xr:uid="{00000000-0005-0000-0000-0000204D0000}"/>
    <cellStyle name="Normal 9 2 5 3 2 6" xfId="14161" xr:uid="{00000000-0005-0000-0000-0000214D0000}"/>
    <cellStyle name="Normal 9 2 5 3 2 7" xfId="20438" xr:uid="{00000000-0005-0000-0000-0000224D0000}"/>
    <cellStyle name="Normal 9 2 5 3 3" xfId="8086" xr:uid="{00000000-0005-0000-0000-0000234D0000}"/>
    <cellStyle name="Normal 9 2 5 3 3 2" xfId="8087" xr:uid="{00000000-0005-0000-0000-0000244D0000}"/>
    <cellStyle name="Normal 9 2 5 3 3 2 2" xfId="14171" xr:uid="{00000000-0005-0000-0000-0000254D0000}"/>
    <cellStyle name="Normal 9 2 5 3 3 2 3" xfId="20448" xr:uid="{00000000-0005-0000-0000-0000264D0000}"/>
    <cellStyle name="Normal 9 2 5 3 3 3" xfId="8088" xr:uid="{00000000-0005-0000-0000-0000274D0000}"/>
    <cellStyle name="Normal 9 2 5 3 3 3 2" xfId="14172" xr:uid="{00000000-0005-0000-0000-0000284D0000}"/>
    <cellStyle name="Normal 9 2 5 3 3 3 3" xfId="20449" xr:uid="{00000000-0005-0000-0000-0000294D0000}"/>
    <cellStyle name="Normal 9 2 5 3 3 4" xfId="8089" xr:uid="{00000000-0005-0000-0000-00002A4D0000}"/>
    <cellStyle name="Normal 9 2 5 3 3 4 2" xfId="14173" xr:uid="{00000000-0005-0000-0000-00002B4D0000}"/>
    <cellStyle name="Normal 9 2 5 3 3 4 3" xfId="20450" xr:uid="{00000000-0005-0000-0000-00002C4D0000}"/>
    <cellStyle name="Normal 9 2 5 3 3 5" xfId="8090" xr:uid="{00000000-0005-0000-0000-00002D4D0000}"/>
    <cellStyle name="Normal 9 2 5 3 3 5 2" xfId="14174" xr:uid="{00000000-0005-0000-0000-00002E4D0000}"/>
    <cellStyle name="Normal 9 2 5 3 3 5 3" xfId="20451" xr:uid="{00000000-0005-0000-0000-00002F4D0000}"/>
    <cellStyle name="Normal 9 2 5 3 3 6" xfId="14170" xr:uid="{00000000-0005-0000-0000-0000304D0000}"/>
    <cellStyle name="Normal 9 2 5 3 3 7" xfId="20447" xr:uid="{00000000-0005-0000-0000-0000314D0000}"/>
    <cellStyle name="Normal 9 2 5 3 4" xfId="8091" xr:uid="{00000000-0005-0000-0000-0000324D0000}"/>
    <cellStyle name="Normal 9 2 5 3 4 2" xfId="8092" xr:uid="{00000000-0005-0000-0000-0000334D0000}"/>
    <cellStyle name="Normal 9 2 5 3 4 2 2" xfId="14176" xr:uid="{00000000-0005-0000-0000-0000344D0000}"/>
    <cellStyle name="Normal 9 2 5 3 4 2 3" xfId="20453" xr:uid="{00000000-0005-0000-0000-0000354D0000}"/>
    <cellStyle name="Normal 9 2 5 3 4 3" xfId="8093" xr:uid="{00000000-0005-0000-0000-0000364D0000}"/>
    <cellStyle name="Normal 9 2 5 3 4 3 2" xfId="14177" xr:uid="{00000000-0005-0000-0000-0000374D0000}"/>
    <cellStyle name="Normal 9 2 5 3 4 3 3" xfId="20454" xr:uid="{00000000-0005-0000-0000-0000384D0000}"/>
    <cellStyle name="Normal 9 2 5 3 4 4" xfId="14175" xr:uid="{00000000-0005-0000-0000-0000394D0000}"/>
    <cellStyle name="Normal 9 2 5 3 4 5" xfId="20452" xr:uid="{00000000-0005-0000-0000-00003A4D0000}"/>
    <cellStyle name="Normal 9 2 5 3 5" xfId="8094" xr:uid="{00000000-0005-0000-0000-00003B4D0000}"/>
    <cellStyle name="Normal 9 2 5 3 5 2" xfId="8095" xr:uid="{00000000-0005-0000-0000-00003C4D0000}"/>
    <cellStyle name="Normal 9 2 5 3 5 2 2" xfId="14179" xr:uid="{00000000-0005-0000-0000-00003D4D0000}"/>
    <cellStyle name="Normal 9 2 5 3 5 2 3" xfId="20456" xr:uid="{00000000-0005-0000-0000-00003E4D0000}"/>
    <cellStyle name="Normal 9 2 5 3 5 3" xfId="8096" xr:uid="{00000000-0005-0000-0000-00003F4D0000}"/>
    <cellStyle name="Normal 9 2 5 3 5 3 2" xfId="14180" xr:uid="{00000000-0005-0000-0000-0000404D0000}"/>
    <cellStyle name="Normal 9 2 5 3 5 3 3" xfId="20457" xr:uid="{00000000-0005-0000-0000-0000414D0000}"/>
    <cellStyle name="Normal 9 2 5 3 5 4" xfId="14178" xr:uid="{00000000-0005-0000-0000-0000424D0000}"/>
    <cellStyle name="Normal 9 2 5 3 5 5" xfId="20455" xr:uid="{00000000-0005-0000-0000-0000434D0000}"/>
    <cellStyle name="Normal 9 2 5 3 6" xfId="8097" xr:uid="{00000000-0005-0000-0000-0000444D0000}"/>
    <cellStyle name="Normal 9 2 5 3 6 2" xfId="14181" xr:uid="{00000000-0005-0000-0000-0000454D0000}"/>
    <cellStyle name="Normal 9 2 5 3 6 3" xfId="20458" xr:uid="{00000000-0005-0000-0000-0000464D0000}"/>
    <cellStyle name="Normal 9 2 5 3 7" xfId="8098" xr:uid="{00000000-0005-0000-0000-0000474D0000}"/>
    <cellStyle name="Normal 9 2 5 3 7 2" xfId="14182" xr:uid="{00000000-0005-0000-0000-0000484D0000}"/>
    <cellStyle name="Normal 9 2 5 3 7 3" xfId="20459" xr:uid="{00000000-0005-0000-0000-0000494D0000}"/>
    <cellStyle name="Normal 9 2 5 3 8" xfId="14160" xr:uid="{00000000-0005-0000-0000-00004A4D0000}"/>
    <cellStyle name="Normal 9 2 5 3 9" xfId="20437" xr:uid="{00000000-0005-0000-0000-00004B4D0000}"/>
    <cellStyle name="Normal 9 2 5 4" xfId="8099" xr:uid="{00000000-0005-0000-0000-00004C4D0000}"/>
    <cellStyle name="Normal 9 2 5 4 2" xfId="8100" xr:uid="{00000000-0005-0000-0000-00004D4D0000}"/>
    <cellStyle name="Normal 9 2 5 4 2 2" xfId="8101" xr:uid="{00000000-0005-0000-0000-00004E4D0000}"/>
    <cellStyle name="Normal 9 2 5 4 2 2 2" xfId="14185" xr:uid="{00000000-0005-0000-0000-00004F4D0000}"/>
    <cellStyle name="Normal 9 2 5 4 2 2 3" xfId="20462" xr:uid="{00000000-0005-0000-0000-0000504D0000}"/>
    <cellStyle name="Normal 9 2 5 4 2 3" xfId="8102" xr:uid="{00000000-0005-0000-0000-0000514D0000}"/>
    <cellStyle name="Normal 9 2 5 4 2 3 2" xfId="14186" xr:uid="{00000000-0005-0000-0000-0000524D0000}"/>
    <cellStyle name="Normal 9 2 5 4 2 3 3" xfId="20463" xr:uid="{00000000-0005-0000-0000-0000534D0000}"/>
    <cellStyle name="Normal 9 2 5 4 2 4" xfId="14184" xr:uid="{00000000-0005-0000-0000-0000544D0000}"/>
    <cellStyle name="Normal 9 2 5 4 2 5" xfId="20461" xr:uid="{00000000-0005-0000-0000-0000554D0000}"/>
    <cellStyle name="Normal 9 2 5 4 3" xfId="8103" xr:uid="{00000000-0005-0000-0000-0000564D0000}"/>
    <cellStyle name="Normal 9 2 5 4 3 2" xfId="8104" xr:uid="{00000000-0005-0000-0000-0000574D0000}"/>
    <cellStyle name="Normal 9 2 5 4 3 2 2" xfId="14188" xr:uid="{00000000-0005-0000-0000-0000584D0000}"/>
    <cellStyle name="Normal 9 2 5 4 3 2 3" xfId="20465" xr:uid="{00000000-0005-0000-0000-0000594D0000}"/>
    <cellStyle name="Normal 9 2 5 4 3 3" xfId="8105" xr:uid="{00000000-0005-0000-0000-00005A4D0000}"/>
    <cellStyle name="Normal 9 2 5 4 3 3 2" xfId="14189" xr:uid="{00000000-0005-0000-0000-00005B4D0000}"/>
    <cellStyle name="Normal 9 2 5 4 3 3 3" xfId="20466" xr:uid="{00000000-0005-0000-0000-00005C4D0000}"/>
    <cellStyle name="Normal 9 2 5 4 3 4" xfId="14187" xr:uid="{00000000-0005-0000-0000-00005D4D0000}"/>
    <cellStyle name="Normal 9 2 5 4 3 5" xfId="20464" xr:uid="{00000000-0005-0000-0000-00005E4D0000}"/>
    <cellStyle name="Normal 9 2 5 4 4" xfId="8106" xr:uid="{00000000-0005-0000-0000-00005F4D0000}"/>
    <cellStyle name="Normal 9 2 5 4 4 2" xfId="14190" xr:uid="{00000000-0005-0000-0000-0000604D0000}"/>
    <cellStyle name="Normal 9 2 5 4 4 3" xfId="20467" xr:uid="{00000000-0005-0000-0000-0000614D0000}"/>
    <cellStyle name="Normal 9 2 5 4 5" xfId="8107" xr:uid="{00000000-0005-0000-0000-0000624D0000}"/>
    <cellStyle name="Normal 9 2 5 4 5 2" xfId="14191" xr:uid="{00000000-0005-0000-0000-0000634D0000}"/>
    <cellStyle name="Normal 9 2 5 4 5 3" xfId="20468" xr:uid="{00000000-0005-0000-0000-0000644D0000}"/>
    <cellStyle name="Normal 9 2 5 4 6" xfId="14183" xr:uid="{00000000-0005-0000-0000-0000654D0000}"/>
    <cellStyle name="Normal 9 2 5 4 7" xfId="20460" xr:uid="{00000000-0005-0000-0000-0000664D0000}"/>
    <cellStyle name="Normal 9 2 5 5" xfId="8108" xr:uid="{00000000-0005-0000-0000-0000674D0000}"/>
    <cellStyle name="Normal 9 2 5 5 2" xfId="8109" xr:uid="{00000000-0005-0000-0000-0000684D0000}"/>
    <cellStyle name="Normal 9 2 5 5 2 2" xfId="14193" xr:uid="{00000000-0005-0000-0000-0000694D0000}"/>
    <cellStyle name="Normal 9 2 5 5 2 3" xfId="20470" xr:uid="{00000000-0005-0000-0000-00006A4D0000}"/>
    <cellStyle name="Normal 9 2 5 5 3" xfId="8110" xr:uid="{00000000-0005-0000-0000-00006B4D0000}"/>
    <cellStyle name="Normal 9 2 5 5 3 2" xfId="14194" xr:uid="{00000000-0005-0000-0000-00006C4D0000}"/>
    <cellStyle name="Normal 9 2 5 5 3 3" xfId="20471" xr:uid="{00000000-0005-0000-0000-00006D4D0000}"/>
    <cellStyle name="Normal 9 2 5 5 4" xfId="8111" xr:uid="{00000000-0005-0000-0000-00006E4D0000}"/>
    <cellStyle name="Normal 9 2 5 5 4 2" xfId="14195" xr:uid="{00000000-0005-0000-0000-00006F4D0000}"/>
    <cellStyle name="Normal 9 2 5 5 4 3" xfId="20472" xr:uid="{00000000-0005-0000-0000-0000704D0000}"/>
    <cellStyle name="Normal 9 2 5 5 5" xfId="8112" xr:uid="{00000000-0005-0000-0000-0000714D0000}"/>
    <cellStyle name="Normal 9 2 5 5 5 2" xfId="14196" xr:uid="{00000000-0005-0000-0000-0000724D0000}"/>
    <cellStyle name="Normal 9 2 5 5 5 3" xfId="20473" xr:uid="{00000000-0005-0000-0000-0000734D0000}"/>
    <cellStyle name="Normal 9 2 5 5 6" xfId="14192" xr:uid="{00000000-0005-0000-0000-0000744D0000}"/>
    <cellStyle name="Normal 9 2 5 5 7" xfId="20469" xr:uid="{00000000-0005-0000-0000-0000754D0000}"/>
    <cellStyle name="Normal 9 2 5 6" xfId="8113" xr:uid="{00000000-0005-0000-0000-0000764D0000}"/>
    <cellStyle name="Normal 9 2 5 6 2" xfId="8114" xr:uid="{00000000-0005-0000-0000-0000774D0000}"/>
    <cellStyle name="Normal 9 2 5 6 2 2" xfId="14198" xr:uid="{00000000-0005-0000-0000-0000784D0000}"/>
    <cellStyle name="Normal 9 2 5 6 2 3" xfId="20475" xr:uid="{00000000-0005-0000-0000-0000794D0000}"/>
    <cellStyle name="Normal 9 2 5 6 3" xfId="8115" xr:uid="{00000000-0005-0000-0000-00007A4D0000}"/>
    <cellStyle name="Normal 9 2 5 6 3 2" xfId="14199" xr:uid="{00000000-0005-0000-0000-00007B4D0000}"/>
    <cellStyle name="Normal 9 2 5 6 3 3" xfId="20476" xr:uid="{00000000-0005-0000-0000-00007C4D0000}"/>
    <cellStyle name="Normal 9 2 5 6 4" xfId="14197" xr:uid="{00000000-0005-0000-0000-00007D4D0000}"/>
    <cellStyle name="Normal 9 2 5 6 5" xfId="20474" xr:uid="{00000000-0005-0000-0000-00007E4D0000}"/>
    <cellStyle name="Normal 9 2 5 7" xfId="8116" xr:uid="{00000000-0005-0000-0000-00007F4D0000}"/>
    <cellStyle name="Normal 9 2 5 7 2" xfId="8117" xr:uid="{00000000-0005-0000-0000-0000804D0000}"/>
    <cellStyle name="Normal 9 2 5 7 2 2" xfId="14201" xr:uid="{00000000-0005-0000-0000-0000814D0000}"/>
    <cellStyle name="Normal 9 2 5 7 2 3" xfId="20478" xr:uid="{00000000-0005-0000-0000-0000824D0000}"/>
    <cellStyle name="Normal 9 2 5 7 3" xfId="8118" xr:uid="{00000000-0005-0000-0000-0000834D0000}"/>
    <cellStyle name="Normal 9 2 5 7 3 2" xfId="14202" xr:uid="{00000000-0005-0000-0000-0000844D0000}"/>
    <cellStyle name="Normal 9 2 5 7 3 3" xfId="20479" xr:uid="{00000000-0005-0000-0000-0000854D0000}"/>
    <cellStyle name="Normal 9 2 5 7 4" xfId="14200" xr:uid="{00000000-0005-0000-0000-0000864D0000}"/>
    <cellStyle name="Normal 9 2 5 7 5" xfId="20477" xr:uid="{00000000-0005-0000-0000-0000874D0000}"/>
    <cellStyle name="Normal 9 2 5 8" xfId="8119" xr:uid="{00000000-0005-0000-0000-0000884D0000}"/>
    <cellStyle name="Normal 9 2 5 8 2" xfId="14203" xr:uid="{00000000-0005-0000-0000-0000894D0000}"/>
    <cellStyle name="Normal 9 2 5 8 3" xfId="20480" xr:uid="{00000000-0005-0000-0000-00008A4D0000}"/>
    <cellStyle name="Normal 9 2 5 9" xfId="8120" xr:uid="{00000000-0005-0000-0000-00008B4D0000}"/>
    <cellStyle name="Normal 9 2 5 9 2" xfId="14204" xr:uid="{00000000-0005-0000-0000-00008C4D0000}"/>
    <cellStyle name="Normal 9 2 5 9 3" xfId="20481" xr:uid="{00000000-0005-0000-0000-00008D4D0000}"/>
    <cellStyle name="Normal 9 2 5_10070" xfId="8121" xr:uid="{00000000-0005-0000-0000-00008E4D0000}"/>
    <cellStyle name="Normal 9 2 6" xfId="8122" xr:uid="{00000000-0005-0000-0000-00008F4D0000}"/>
    <cellStyle name="Normal 9 2 6 2" xfId="8123" xr:uid="{00000000-0005-0000-0000-0000904D0000}"/>
    <cellStyle name="Normal 9 2 6 2 2" xfId="14206" xr:uid="{00000000-0005-0000-0000-0000914D0000}"/>
    <cellStyle name="Normal 9 2 6 2 3" xfId="20483" xr:uid="{00000000-0005-0000-0000-0000924D0000}"/>
    <cellStyle name="Normal 9 2 6 3" xfId="8124" xr:uid="{00000000-0005-0000-0000-0000934D0000}"/>
    <cellStyle name="Normal 9 2 6 3 2" xfId="14207" xr:uid="{00000000-0005-0000-0000-0000944D0000}"/>
    <cellStyle name="Normal 9 2 6 3 3" xfId="20484" xr:uid="{00000000-0005-0000-0000-0000954D0000}"/>
    <cellStyle name="Normal 9 2 6 4" xfId="8125" xr:uid="{00000000-0005-0000-0000-0000964D0000}"/>
    <cellStyle name="Normal 9 2 6 4 2" xfId="14208" xr:uid="{00000000-0005-0000-0000-0000974D0000}"/>
    <cellStyle name="Normal 9 2 6 4 3" xfId="20485" xr:uid="{00000000-0005-0000-0000-0000984D0000}"/>
    <cellStyle name="Normal 9 2 6 5" xfId="8126" xr:uid="{00000000-0005-0000-0000-0000994D0000}"/>
    <cellStyle name="Normal 9 2 6 5 2" xfId="14209" xr:uid="{00000000-0005-0000-0000-00009A4D0000}"/>
    <cellStyle name="Normal 9 2 6 5 3" xfId="20486" xr:uid="{00000000-0005-0000-0000-00009B4D0000}"/>
    <cellStyle name="Normal 9 2 6 6" xfId="14205" xr:uid="{00000000-0005-0000-0000-00009C4D0000}"/>
    <cellStyle name="Normal 9 2 6 7" xfId="20482" xr:uid="{00000000-0005-0000-0000-00009D4D0000}"/>
    <cellStyle name="Normal 9 2 7" xfId="8127" xr:uid="{00000000-0005-0000-0000-00009E4D0000}"/>
    <cellStyle name="Normal 9 2 7 2" xfId="8128" xr:uid="{00000000-0005-0000-0000-00009F4D0000}"/>
    <cellStyle name="Normal 9 2 7 2 2" xfId="14211" xr:uid="{00000000-0005-0000-0000-0000A04D0000}"/>
    <cellStyle name="Normal 9 2 7 2 3" xfId="20488" xr:uid="{00000000-0005-0000-0000-0000A14D0000}"/>
    <cellStyle name="Normal 9 2 7 3" xfId="8129" xr:uid="{00000000-0005-0000-0000-0000A24D0000}"/>
    <cellStyle name="Normal 9 2 7 3 2" xfId="14212" xr:uid="{00000000-0005-0000-0000-0000A34D0000}"/>
    <cellStyle name="Normal 9 2 7 3 3" xfId="20489" xr:uid="{00000000-0005-0000-0000-0000A44D0000}"/>
    <cellStyle name="Normal 9 2 7 4" xfId="14210" xr:uid="{00000000-0005-0000-0000-0000A54D0000}"/>
    <cellStyle name="Normal 9 2 7 5" xfId="20487" xr:uid="{00000000-0005-0000-0000-0000A64D0000}"/>
    <cellStyle name="Normal 9 2 8" xfId="8130" xr:uid="{00000000-0005-0000-0000-0000A74D0000}"/>
    <cellStyle name="Normal 9 2 8 2" xfId="8131" xr:uid="{00000000-0005-0000-0000-0000A84D0000}"/>
    <cellStyle name="Normal 9 2 8 2 2" xfId="14214" xr:uid="{00000000-0005-0000-0000-0000A94D0000}"/>
    <cellStyle name="Normal 9 2 8 2 3" xfId="20491" xr:uid="{00000000-0005-0000-0000-0000AA4D0000}"/>
    <cellStyle name="Normal 9 2 8 3" xfId="8132" xr:uid="{00000000-0005-0000-0000-0000AB4D0000}"/>
    <cellStyle name="Normal 9 2 8 3 2" xfId="14215" xr:uid="{00000000-0005-0000-0000-0000AC4D0000}"/>
    <cellStyle name="Normal 9 2 8 3 3" xfId="20492" xr:uid="{00000000-0005-0000-0000-0000AD4D0000}"/>
    <cellStyle name="Normal 9 2 8 4" xfId="14213" xr:uid="{00000000-0005-0000-0000-0000AE4D0000}"/>
    <cellStyle name="Normal 9 2 8 5" xfId="20490" xr:uid="{00000000-0005-0000-0000-0000AF4D0000}"/>
    <cellStyle name="Normal 9 2 9" xfId="8133" xr:uid="{00000000-0005-0000-0000-0000B04D0000}"/>
    <cellStyle name="Normal 9 2 9 2" xfId="14216" xr:uid="{00000000-0005-0000-0000-0000B14D0000}"/>
    <cellStyle name="Normal 9 2 9 3" xfId="20493" xr:uid="{00000000-0005-0000-0000-0000B24D0000}"/>
    <cellStyle name="Normal 9 3" xfId="8134" xr:uid="{00000000-0005-0000-0000-0000B34D0000}"/>
    <cellStyle name="Normal 9 3 10" xfId="20494" xr:uid="{00000000-0005-0000-0000-0000B44D0000}"/>
    <cellStyle name="Normal 9 3 2" xfId="8135" xr:uid="{00000000-0005-0000-0000-0000B54D0000}"/>
    <cellStyle name="Normal 9 3 2 2" xfId="8136" xr:uid="{00000000-0005-0000-0000-0000B64D0000}"/>
    <cellStyle name="Normal 9 3 2 2 2" xfId="8137" xr:uid="{00000000-0005-0000-0000-0000B74D0000}"/>
    <cellStyle name="Normal 9 3 2 2 2 2" xfId="8138" xr:uid="{00000000-0005-0000-0000-0000B84D0000}"/>
    <cellStyle name="Normal 9 3 2 2 2 2 2" xfId="8139" xr:uid="{00000000-0005-0000-0000-0000B94D0000}"/>
    <cellStyle name="Normal 9 3 2 2 2 2 2 2" xfId="14222" xr:uid="{00000000-0005-0000-0000-0000BA4D0000}"/>
    <cellStyle name="Normal 9 3 2 2 2 2 2 3" xfId="20499" xr:uid="{00000000-0005-0000-0000-0000BB4D0000}"/>
    <cellStyle name="Normal 9 3 2 2 2 2 3" xfId="14221" xr:uid="{00000000-0005-0000-0000-0000BC4D0000}"/>
    <cellStyle name="Normal 9 3 2 2 2 2 4" xfId="20498" xr:uid="{00000000-0005-0000-0000-0000BD4D0000}"/>
    <cellStyle name="Normal 9 3 2 2 2 3" xfId="8140" xr:uid="{00000000-0005-0000-0000-0000BE4D0000}"/>
    <cellStyle name="Normal 9 3 2 2 2 3 2" xfId="8141" xr:uid="{00000000-0005-0000-0000-0000BF4D0000}"/>
    <cellStyle name="Normal 9 3 2 2 2 3 2 2" xfId="14224" xr:uid="{00000000-0005-0000-0000-0000C04D0000}"/>
    <cellStyle name="Normal 9 3 2 2 2 3 2 3" xfId="20501" xr:uid="{00000000-0005-0000-0000-0000C14D0000}"/>
    <cellStyle name="Normal 9 3 2 2 2 3 3" xfId="14223" xr:uid="{00000000-0005-0000-0000-0000C24D0000}"/>
    <cellStyle name="Normal 9 3 2 2 2 3 4" xfId="20500" xr:uid="{00000000-0005-0000-0000-0000C34D0000}"/>
    <cellStyle name="Normal 9 3 2 2 2 4" xfId="8142" xr:uid="{00000000-0005-0000-0000-0000C44D0000}"/>
    <cellStyle name="Normal 9 3 2 2 2 4 2" xfId="14225" xr:uid="{00000000-0005-0000-0000-0000C54D0000}"/>
    <cellStyle name="Normal 9 3 2 2 2 4 3" xfId="20502" xr:uid="{00000000-0005-0000-0000-0000C64D0000}"/>
    <cellStyle name="Normal 9 3 2 2 2 5" xfId="14220" xr:uid="{00000000-0005-0000-0000-0000C74D0000}"/>
    <cellStyle name="Normal 9 3 2 2 2 6" xfId="20497" xr:uid="{00000000-0005-0000-0000-0000C84D0000}"/>
    <cellStyle name="Normal 9 3 2 2 3" xfId="8143" xr:uid="{00000000-0005-0000-0000-0000C94D0000}"/>
    <cellStyle name="Normal 9 3 2 2 3 2" xfId="8144" xr:uid="{00000000-0005-0000-0000-0000CA4D0000}"/>
    <cellStyle name="Normal 9 3 2 2 3 2 2" xfId="14227" xr:uid="{00000000-0005-0000-0000-0000CB4D0000}"/>
    <cellStyle name="Normal 9 3 2 2 3 2 3" xfId="20504" xr:uid="{00000000-0005-0000-0000-0000CC4D0000}"/>
    <cellStyle name="Normal 9 3 2 2 3 3" xfId="14226" xr:uid="{00000000-0005-0000-0000-0000CD4D0000}"/>
    <cellStyle name="Normal 9 3 2 2 3 4" xfId="20503" xr:uid="{00000000-0005-0000-0000-0000CE4D0000}"/>
    <cellStyle name="Normal 9 3 2 2 4" xfId="8145" xr:uid="{00000000-0005-0000-0000-0000CF4D0000}"/>
    <cellStyle name="Normal 9 3 2 2 4 2" xfId="8146" xr:uid="{00000000-0005-0000-0000-0000D04D0000}"/>
    <cellStyle name="Normal 9 3 2 2 4 2 2" xfId="14229" xr:uid="{00000000-0005-0000-0000-0000D14D0000}"/>
    <cellStyle name="Normal 9 3 2 2 4 2 3" xfId="20506" xr:uid="{00000000-0005-0000-0000-0000D24D0000}"/>
    <cellStyle name="Normal 9 3 2 2 4 3" xfId="14228" xr:uid="{00000000-0005-0000-0000-0000D34D0000}"/>
    <cellStyle name="Normal 9 3 2 2 4 4" xfId="20505" xr:uid="{00000000-0005-0000-0000-0000D44D0000}"/>
    <cellStyle name="Normal 9 3 2 2 5" xfId="8147" xr:uid="{00000000-0005-0000-0000-0000D54D0000}"/>
    <cellStyle name="Normal 9 3 2 2 5 2" xfId="14230" xr:uid="{00000000-0005-0000-0000-0000D64D0000}"/>
    <cellStyle name="Normal 9 3 2 2 5 3" xfId="20507" xr:uid="{00000000-0005-0000-0000-0000D74D0000}"/>
    <cellStyle name="Normal 9 3 2 2 6" xfId="14219" xr:uid="{00000000-0005-0000-0000-0000D84D0000}"/>
    <cellStyle name="Normal 9 3 2 2 7" xfId="20496" xr:uid="{00000000-0005-0000-0000-0000D94D0000}"/>
    <cellStyle name="Normal 9 3 2 3" xfId="8148" xr:uid="{00000000-0005-0000-0000-0000DA4D0000}"/>
    <cellStyle name="Normal 9 3 2 3 2" xfId="8149" xr:uid="{00000000-0005-0000-0000-0000DB4D0000}"/>
    <cellStyle name="Normal 9 3 2 3 2 2" xfId="8150" xr:uid="{00000000-0005-0000-0000-0000DC4D0000}"/>
    <cellStyle name="Normal 9 3 2 3 2 2 2" xfId="14233" xr:uid="{00000000-0005-0000-0000-0000DD4D0000}"/>
    <cellStyle name="Normal 9 3 2 3 2 2 3" xfId="20510" xr:uid="{00000000-0005-0000-0000-0000DE4D0000}"/>
    <cellStyle name="Normal 9 3 2 3 2 3" xfId="14232" xr:uid="{00000000-0005-0000-0000-0000DF4D0000}"/>
    <cellStyle name="Normal 9 3 2 3 2 4" xfId="20509" xr:uid="{00000000-0005-0000-0000-0000E04D0000}"/>
    <cellStyle name="Normal 9 3 2 3 3" xfId="8151" xr:uid="{00000000-0005-0000-0000-0000E14D0000}"/>
    <cellStyle name="Normal 9 3 2 3 3 2" xfId="8152" xr:uid="{00000000-0005-0000-0000-0000E24D0000}"/>
    <cellStyle name="Normal 9 3 2 3 3 2 2" xfId="14235" xr:uid="{00000000-0005-0000-0000-0000E34D0000}"/>
    <cellStyle name="Normal 9 3 2 3 3 2 3" xfId="20512" xr:uid="{00000000-0005-0000-0000-0000E44D0000}"/>
    <cellStyle name="Normal 9 3 2 3 3 3" xfId="14234" xr:uid="{00000000-0005-0000-0000-0000E54D0000}"/>
    <cellStyle name="Normal 9 3 2 3 3 4" xfId="20511" xr:uid="{00000000-0005-0000-0000-0000E64D0000}"/>
    <cellStyle name="Normal 9 3 2 3 4" xfId="8153" xr:uid="{00000000-0005-0000-0000-0000E74D0000}"/>
    <cellStyle name="Normal 9 3 2 3 4 2" xfId="14236" xr:uid="{00000000-0005-0000-0000-0000E84D0000}"/>
    <cellStyle name="Normal 9 3 2 3 4 3" xfId="20513" xr:uid="{00000000-0005-0000-0000-0000E94D0000}"/>
    <cellStyle name="Normal 9 3 2 3 5" xfId="14231" xr:uid="{00000000-0005-0000-0000-0000EA4D0000}"/>
    <cellStyle name="Normal 9 3 2 3 6" xfId="20508" xr:uid="{00000000-0005-0000-0000-0000EB4D0000}"/>
    <cellStyle name="Normal 9 3 2 4" xfId="8154" xr:uid="{00000000-0005-0000-0000-0000EC4D0000}"/>
    <cellStyle name="Normal 9 3 2 4 2" xfId="8155" xr:uid="{00000000-0005-0000-0000-0000ED4D0000}"/>
    <cellStyle name="Normal 9 3 2 4 2 2" xfId="14238" xr:uid="{00000000-0005-0000-0000-0000EE4D0000}"/>
    <cellStyle name="Normal 9 3 2 4 2 3" xfId="20515" xr:uid="{00000000-0005-0000-0000-0000EF4D0000}"/>
    <cellStyle name="Normal 9 3 2 4 3" xfId="14237" xr:uid="{00000000-0005-0000-0000-0000F04D0000}"/>
    <cellStyle name="Normal 9 3 2 4 4" xfId="20514" xr:uid="{00000000-0005-0000-0000-0000F14D0000}"/>
    <cellStyle name="Normal 9 3 2 5" xfId="8156" xr:uid="{00000000-0005-0000-0000-0000F24D0000}"/>
    <cellStyle name="Normal 9 3 2 5 2" xfId="8157" xr:uid="{00000000-0005-0000-0000-0000F34D0000}"/>
    <cellStyle name="Normal 9 3 2 5 2 2" xfId="14240" xr:uid="{00000000-0005-0000-0000-0000F44D0000}"/>
    <cellStyle name="Normal 9 3 2 5 2 3" xfId="20517" xr:uid="{00000000-0005-0000-0000-0000F54D0000}"/>
    <cellStyle name="Normal 9 3 2 5 3" xfId="14239" xr:uid="{00000000-0005-0000-0000-0000F64D0000}"/>
    <cellStyle name="Normal 9 3 2 5 4" xfId="20516" xr:uid="{00000000-0005-0000-0000-0000F74D0000}"/>
    <cellStyle name="Normal 9 3 2 6" xfId="8158" xr:uid="{00000000-0005-0000-0000-0000F84D0000}"/>
    <cellStyle name="Normal 9 3 2 6 2" xfId="14241" xr:uid="{00000000-0005-0000-0000-0000F94D0000}"/>
    <cellStyle name="Normal 9 3 2 6 3" xfId="20518" xr:uid="{00000000-0005-0000-0000-0000FA4D0000}"/>
    <cellStyle name="Normal 9 3 2 7" xfId="14218" xr:uid="{00000000-0005-0000-0000-0000FB4D0000}"/>
    <cellStyle name="Normal 9 3 2 8" xfId="20495" xr:uid="{00000000-0005-0000-0000-0000FC4D0000}"/>
    <cellStyle name="Normal 9 3 3" xfId="8159" xr:uid="{00000000-0005-0000-0000-0000FD4D0000}"/>
    <cellStyle name="Normal 9 3 3 2" xfId="8160" xr:uid="{00000000-0005-0000-0000-0000FE4D0000}"/>
    <cellStyle name="Normal 9 3 3 2 2" xfId="8161" xr:uid="{00000000-0005-0000-0000-0000FF4D0000}"/>
    <cellStyle name="Normal 9 3 3 2 2 2" xfId="8162" xr:uid="{00000000-0005-0000-0000-0000004E0000}"/>
    <cellStyle name="Normal 9 3 3 2 2 2 2" xfId="14245" xr:uid="{00000000-0005-0000-0000-0000014E0000}"/>
    <cellStyle name="Normal 9 3 3 2 2 2 3" xfId="20522" xr:uid="{00000000-0005-0000-0000-0000024E0000}"/>
    <cellStyle name="Normal 9 3 3 2 2 3" xfId="14244" xr:uid="{00000000-0005-0000-0000-0000034E0000}"/>
    <cellStyle name="Normal 9 3 3 2 2 4" xfId="20521" xr:uid="{00000000-0005-0000-0000-0000044E0000}"/>
    <cellStyle name="Normal 9 3 3 2 3" xfId="8163" xr:uid="{00000000-0005-0000-0000-0000054E0000}"/>
    <cellStyle name="Normal 9 3 3 2 3 2" xfId="8164" xr:uid="{00000000-0005-0000-0000-0000064E0000}"/>
    <cellStyle name="Normal 9 3 3 2 3 2 2" xfId="14247" xr:uid="{00000000-0005-0000-0000-0000074E0000}"/>
    <cellStyle name="Normal 9 3 3 2 3 2 3" xfId="20524" xr:uid="{00000000-0005-0000-0000-0000084E0000}"/>
    <cellStyle name="Normal 9 3 3 2 3 3" xfId="14246" xr:uid="{00000000-0005-0000-0000-0000094E0000}"/>
    <cellStyle name="Normal 9 3 3 2 3 4" xfId="20523" xr:uid="{00000000-0005-0000-0000-00000A4E0000}"/>
    <cellStyle name="Normal 9 3 3 2 4" xfId="8165" xr:uid="{00000000-0005-0000-0000-00000B4E0000}"/>
    <cellStyle name="Normal 9 3 3 2 4 2" xfId="14248" xr:uid="{00000000-0005-0000-0000-00000C4E0000}"/>
    <cellStyle name="Normal 9 3 3 2 4 3" xfId="20525" xr:uid="{00000000-0005-0000-0000-00000D4E0000}"/>
    <cellStyle name="Normal 9 3 3 2 5" xfId="14243" xr:uid="{00000000-0005-0000-0000-00000E4E0000}"/>
    <cellStyle name="Normal 9 3 3 2 6" xfId="20520" xr:uid="{00000000-0005-0000-0000-00000F4E0000}"/>
    <cellStyle name="Normal 9 3 3 3" xfId="8166" xr:uid="{00000000-0005-0000-0000-0000104E0000}"/>
    <cellStyle name="Normal 9 3 3 3 2" xfId="8167" xr:uid="{00000000-0005-0000-0000-0000114E0000}"/>
    <cellStyle name="Normal 9 3 3 3 2 2" xfId="14250" xr:uid="{00000000-0005-0000-0000-0000124E0000}"/>
    <cellStyle name="Normal 9 3 3 3 2 3" xfId="20527" xr:uid="{00000000-0005-0000-0000-0000134E0000}"/>
    <cellStyle name="Normal 9 3 3 3 3" xfId="14249" xr:uid="{00000000-0005-0000-0000-0000144E0000}"/>
    <cellStyle name="Normal 9 3 3 3 4" xfId="20526" xr:uid="{00000000-0005-0000-0000-0000154E0000}"/>
    <cellStyle name="Normal 9 3 3 4" xfId="8168" xr:uid="{00000000-0005-0000-0000-0000164E0000}"/>
    <cellStyle name="Normal 9 3 3 4 2" xfId="8169" xr:uid="{00000000-0005-0000-0000-0000174E0000}"/>
    <cellStyle name="Normal 9 3 3 4 2 2" xfId="14252" xr:uid="{00000000-0005-0000-0000-0000184E0000}"/>
    <cellStyle name="Normal 9 3 3 4 2 3" xfId="20529" xr:uid="{00000000-0005-0000-0000-0000194E0000}"/>
    <cellStyle name="Normal 9 3 3 4 3" xfId="14251" xr:uid="{00000000-0005-0000-0000-00001A4E0000}"/>
    <cellStyle name="Normal 9 3 3 4 4" xfId="20528" xr:uid="{00000000-0005-0000-0000-00001B4E0000}"/>
    <cellStyle name="Normal 9 3 3 5" xfId="8170" xr:uid="{00000000-0005-0000-0000-00001C4E0000}"/>
    <cellStyle name="Normal 9 3 3 5 2" xfId="14253" xr:uid="{00000000-0005-0000-0000-00001D4E0000}"/>
    <cellStyle name="Normal 9 3 3 5 3" xfId="20530" xr:uid="{00000000-0005-0000-0000-00001E4E0000}"/>
    <cellStyle name="Normal 9 3 3 6" xfId="14242" xr:uid="{00000000-0005-0000-0000-00001F4E0000}"/>
    <cellStyle name="Normal 9 3 3 7" xfId="20519" xr:uid="{00000000-0005-0000-0000-0000204E0000}"/>
    <cellStyle name="Normal 9 3 4" xfId="8171" xr:uid="{00000000-0005-0000-0000-0000214E0000}"/>
    <cellStyle name="Normal 9 3 4 2" xfId="8172" xr:uid="{00000000-0005-0000-0000-0000224E0000}"/>
    <cellStyle name="Normal 9 3 4 2 2" xfId="8173" xr:uid="{00000000-0005-0000-0000-0000234E0000}"/>
    <cellStyle name="Normal 9 3 4 2 2 2" xfId="14256" xr:uid="{00000000-0005-0000-0000-0000244E0000}"/>
    <cellStyle name="Normal 9 3 4 2 2 3" xfId="20533" xr:uid="{00000000-0005-0000-0000-0000254E0000}"/>
    <cellStyle name="Normal 9 3 4 2 3" xfId="14255" xr:uid="{00000000-0005-0000-0000-0000264E0000}"/>
    <cellStyle name="Normal 9 3 4 2 4" xfId="20532" xr:uid="{00000000-0005-0000-0000-0000274E0000}"/>
    <cellStyle name="Normal 9 3 4 3" xfId="8174" xr:uid="{00000000-0005-0000-0000-0000284E0000}"/>
    <cellStyle name="Normal 9 3 4 3 2" xfId="8175" xr:uid="{00000000-0005-0000-0000-0000294E0000}"/>
    <cellStyle name="Normal 9 3 4 3 2 2" xfId="14258" xr:uid="{00000000-0005-0000-0000-00002A4E0000}"/>
    <cellStyle name="Normal 9 3 4 3 2 3" xfId="20535" xr:uid="{00000000-0005-0000-0000-00002B4E0000}"/>
    <cellStyle name="Normal 9 3 4 3 3" xfId="14257" xr:uid="{00000000-0005-0000-0000-00002C4E0000}"/>
    <cellStyle name="Normal 9 3 4 3 4" xfId="20534" xr:uid="{00000000-0005-0000-0000-00002D4E0000}"/>
    <cellStyle name="Normal 9 3 4 4" xfId="8176" xr:uid="{00000000-0005-0000-0000-00002E4E0000}"/>
    <cellStyle name="Normal 9 3 4 4 2" xfId="14259" xr:uid="{00000000-0005-0000-0000-00002F4E0000}"/>
    <cellStyle name="Normal 9 3 4 4 3" xfId="20536" xr:uid="{00000000-0005-0000-0000-0000304E0000}"/>
    <cellStyle name="Normal 9 3 4 5" xfId="14254" xr:uid="{00000000-0005-0000-0000-0000314E0000}"/>
    <cellStyle name="Normal 9 3 4 6" xfId="20531" xr:uid="{00000000-0005-0000-0000-0000324E0000}"/>
    <cellStyle name="Normal 9 3 5" xfId="8177" xr:uid="{00000000-0005-0000-0000-0000334E0000}"/>
    <cellStyle name="Normal 9 3 5 2" xfId="8178" xr:uid="{00000000-0005-0000-0000-0000344E0000}"/>
    <cellStyle name="Normal 9 3 5 2 2" xfId="14261" xr:uid="{00000000-0005-0000-0000-0000354E0000}"/>
    <cellStyle name="Normal 9 3 5 2 3" xfId="20538" xr:uid="{00000000-0005-0000-0000-0000364E0000}"/>
    <cellStyle name="Normal 9 3 5 3" xfId="14260" xr:uid="{00000000-0005-0000-0000-0000374E0000}"/>
    <cellStyle name="Normal 9 3 5 4" xfId="20537" xr:uid="{00000000-0005-0000-0000-0000384E0000}"/>
    <cellStyle name="Normal 9 3 6" xfId="8179" xr:uid="{00000000-0005-0000-0000-0000394E0000}"/>
    <cellStyle name="Normal 9 3 6 2" xfId="8180" xr:uid="{00000000-0005-0000-0000-00003A4E0000}"/>
    <cellStyle name="Normal 9 3 6 2 2" xfId="14263" xr:uid="{00000000-0005-0000-0000-00003B4E0000}"/>
    <cellStyle name="Normal 9 3 6 2 3" xfId="20540" xr:uid="{00000000-0005-0000-0000-00003C4E0000}"/>
    <cellStyle name="Normal 9 3 6 3" xfId="14262" xr:uid="{00000000-0005-0000-0000-00003D4E0000}"/>
    <cellStyle name="Normal 9 3 6 4" xfId="20539" xr:uid="{00000000-0005-0000-0000-00003E4E0000}"/>
    <cellStyle name="Normal 9 3 7" xfId="8181" xr:uid="{00000000-0005-0000-0000-00003F4E0000}"/>
    <cellStyle name="Normal 9 3 7 2" xfId="14264" xr:uid="{00000000-0005-0000-0000-0000404E0000}"/>
    <cellStyle name="Normal 9 3 7 3" xfId="20541" xr:uid="{00000000-0005-0000-0000-0000414E0000}"/>
    <cellStyle name="Normal 9 3 8" xfId="8182" xr:uid="{00000000-0005-0000-0000-0000424E0000}"/>
    <cellStyle name="Normal 9 3 8 2" xfId="20542" xr:uid="{00000000-0005-0000-0000-0000434E0000}"/>
    <cellStyle name="Normal 9 3 9" xfId="14217" xr:uid="{00000000-0005-0000-0000-0000444E0000}"/>
    <cellStyle name="Normal 9 4" xfId="8183" xr:uid="{00000000-0005-0000-0000-0000454E0000}"/>
    <cellStyle name="Normal 9 4 2" xfId="8184" xr:uid="{00000000-0005-0000-0000-0000464E0000}"/>
    <cellStyle name="Normal 9 4 2 2" xfId="8185" xr:uid="{00000000-0005-0000-0000-0000474E0000}"/>
    <cellStyle name="Normal 9 4 2 2 2" xfId="8186" xr:uid="{00000000-0005-0000-0000-0000484E0000}"/>
    <cellStyle name="Normal 9 4 2 2 2 2" xfId="8187" xr:uid="{00000000-0005-0000-0000-0000494E0000}"/>
    <cellStyle name="Normal 9 4 2 2 2 2 2" xfId="8188" xr:uid="{00000000-0005-0000-0000-00004A4E0000}"/>
    <cellStyle name="Normal 9 4 2 2 2 2 2 2" xfId="14270" xr:uid="{00000000-0005-0000-0000-00004B4E0000}"/>
    <cellStyle name="Normal 9 4 2 2 2 2 2 3" xfId="20548" xr:uid="{00000000-0005-0000-0000-00004C4E0000}"/>
    <cellStyle name="Normal 9 4 2 2 2 2 3" xfId="14269" xr:uid="{00000000-0005-0000-0000-00004D4E0000}"/>
    <cellStyle name="Normal 9 4 2 2 2 2 4" xfId="20547" xr:uid="{00000000-0005-0000-0000-00004E4E0000}"/>
    <cellStyle name="Normal 9 4 2 2 2 3" xfId="8189" xr:uid="{00000000-0005-0000-0000-00004F4E0000}"/>
    <cellStyle name="Normal 9 4 2 2 2 3 2" xfId="8190" xr:uid="{00000000-0005-0000-0000-0000504E0000}"/>
    <cellStyle name="Normal 9 4 2 2 2 3 2 2" xfId="14272" xr:uid="{00000000-0005-0000-0000-0000514E0000}"/>
    <cellStyle name="Normal 9 4 2 2 2 3 2 3" xfId="20550" xr:uid="{00000000-0005-0000-0000-0000524E0000}"/>
    <cellStyle name="Normal 9 4 2 2 2 3 3" xfId="14271" xr:uid="{00000000-0005-0000-0000-0000534E0000}"/>
    <cellStyle name="Normal 9 4 2 2 2 3 4" xfId="20549" xr:uid="{00000000-0005-0000-0000-0000544E0000}"/>
    <cellStyle name="Normal 9 4 2 2 2 4" xfId="8191" xr:uid="{00000000-0005-0000-0000-0000554E0000}"/>
    <cellStyle name="Normal 9 4 2 2 2 4 2" xfId="14273" xr:uid="{00000000-0005-0000-0000-0000564E0000}"/>
    <cellStyle name="Normal 9 4 2 2 2 4 3" xfId="20551" xr:uid="{00000000-0005-0000-0000-0000574E0000}"/>
    <cellStyle name="Normal 9 4 2 2 2 5" xfId="14268" xr:uid="{00000000-0005-0000-0000-0000584E0000}"/>
    <cellStyle name="Normal 9 4 2 2 2 6" xfId="20546" xr:uid="{00000000-0005-0000-0000-0000594E0000}"/>
    <cellStyle name="Normal 9 4 2 2 3" xfId="8192" xr:uid="{00000000-0005-0000-0000-00005A4E0000}"/>
    <cellStyle name="Normal 9 4 2 2 3 2" xfId="8193" xr:uid="{00000000-0005-0000-0000-00005B4E0000}"/>
    <cellStyle name="Normal 9 4 2 2 3 2 2" xfId="14275" xr:uid="{00000000-0005-0000-0000-00005C4E0000}"/>
    <cellStyle name="Normal 9 4 2 2 3 2 3" xfId="20553" xr:uid="{00000000-0005-0000-0000-00005D4E0000}"/>
    <cellStyle name="Normal 9 4 2 2 3 3" xfId="14274" xr:uid="{00000000-0005-0000-0000-00005E4E0000}"/>
    <cellStyle name="Normal 9 4 2 2 3 4" xfId="20552" xr:uid="{00000000-0005-0000-0000-00005F4E0000}"/>
    <cellStyle name="Normal 9 4 2 2 4" xfId="8194" xr:uid="{00000000-0005-0000-0000-0000604E0000}"/>
    <cellStyle name="Normal 9 4 2 2 4 2" xfId="8195" xr:uid="{00000000-0005-0000-0000-0000614E0000}"/>
    <cellStyle name="Normal 9 4 2 2 4 2 2" xfId="14277" xr:uid="{00000000-0005-0000-0000-0000624E0000}"/>
    <cellStyle name="Normal 9 4 2 2 4 2 3" xfId="20555" xr:uid="{00000000-0005-0000-0000-0000634E0000}"/>
    <cellStyle name="Normal 9 4 2 2 4 3" xfId="14276" xr:uid="{00000000-0005-0000-0000-0000644E0000}"/>
    <cellStyle name="Normal 9 4 2 2 4 4" xfId="20554" xr:uid="{00000000-0005-0000-0000-0000654E0000}"/>
    <cellStyle name="Normal 9 4 2 2 5" xfId="8196" xr:uid="{00000000-0005-0000-0000-0000664E0000}"/>
    <cellStyle name="Normal 9 4 2 2 5 2" xfId="14278" xr:uid="{00000000-0005-0000-0000-0000674E0000}"/>
    <cellStyle name="Normal 9 4 2 2 5 3" xfId="20556" xr:uid="{00000000-0005-0000-0000-0000684E0000}"/>
    <cellStyle name="Normal 9 4 2 2 6" xfId="14267" xr:uid="{00000000-0005-0000-0000-0000694E0000}"/>
    <cellStyle name="Normal 9 4 2 2 7" xfId="20545" xr:uid="{00000000-0005-0000-0000-00006A4E0000}"/>
    <cellStyle name="Normal 9 4 2 3" xfId="8197" xr:uid="{00000000-0005-0000-0000-00006B4E0000}"/>
    <cellStyle name="Normal 9 4 2 3 2" xfId="8198" xr:uid="{00000000-0005-0000-0000-00006C4E0000}"/>
    <cellStyle name="Normal 9 4 2 3 2 2" xfId="8199" xr:uid="{00000000-0005-0000-0000-00006D4E0000}"/>
    <cellStyle name="Normal 9 4 2 3 2 2 2" xfId="14281" xr:uid="{00000000-0005-0000-0000-00006E4E0000}"/>
    <cellStyle name="Normal 9 4 2 3 2 2 3" xfId="20559" xr:uid="{00000000-0005-0000-0000-00006F4E0000}"/>
    <cellStyle name="Normal 9 4 2 3 2 3" xfId="14280" xr:uid="{00000000-0005-0000-0000-0000704E0000}"/>
    <cellStyle name="Normal 9 4 2 3 2 4" xfId="20558" xr:uid="{00000000-0005-0000-0000-0000714E0000}"/>
    <cellStyle name="Normal 9 4 2 3 3" xfId="8200" xr:uid="{00000000-0005-0000-0000-0000724E0000}"/>
    <cellStyle name="Normal 9 4 2 3 3 2" xfId="8201" xr:uid="{00000000-0005-0000-0000-0000734E0000}"/>
    <cellStyle name="Normal 9 4 2 3 3 2 2" xfId="14283" xr:uid="{00000000-0005-0000-0000-0000744E0000}"/>
    <cellStyle name="Normal 9 4 2 3 3 2 3" xfId="20561" xr:uid="{00000000-0005-0000-0000-0000754E0000}"/>
    <cellStyle name="Normal 9 4 2 3 3 3" xfId="14282" xr:uid="{00000000-0005-0000-0000-0000764E0000}"/>
    <cellStyle name="Normal 9 4 2 3 3 4" xfId="20560" xr:uid="{00000000-0005-0000-0000-0000774E0000}"/>
    <cellStyle name="Normal 9 4 2 3 4" xfId="8202" xr:uid="{00000000-0005-0000-0000-0000784E0000}"/>
    <cellStyle name="Normal 9 4 2 3 4 2" xfId="14284" xr:uid="{00000000-0005-0000-0000-0000794E0000}"/>
    <cellStyle name="Normal 9 4 2 3 4 3" xfId="20562" xr:uid="{00000000-0005-0000-0000-00007A4E0000}"/>
    <cellStyle name="Normal 9 4 2 3 5" xfId="14279" xr:uid="{00000000-0005-0000-0000-00007B4E0000}"/>
    <cellStyle name="Normal 9 4 2 3 6" xfId="20557" xr:uid="{00000000-0005-0000-0000-00007C4E0000}"/>
    <cellStyle name="Normal 9 4 2 4" xfId="8203" xr:uid="{00000000-0005-0000-0000-00007D4E0000}"/>
    <cellStyle name="Normal 9 4 2 4 2" xfId="8204" xr:uid="{00000000-0005-0000-0000-00007E4E0000}"/>
    <cellStyle name="Normal 9 4 2 4 2 2" xfId="14286" xr:uid="{00000000-0005-0000-0000-00007F4E0000}"/>
    <cellStyle name="Normal 9 4 2 4 2 3" xfId="20564" xr:uid="{00000000-0005-0000-0000-0000804E0000}"/>
    <cellStyle name="Normal 9 4 2 4 3" xfId="14285" xr:uid="{00000000-0005-0000-0000-0000814E0000}"/>
    <cellStyle name="Normal 9 4 2 4 4" xfId="20563" xr:uid="{00000000-0005-0000-0000-0000824E0000}"/>
    <cellStyle name="Normal 9 4 2 5" xfId="8205" xr:uid="{00000000-0005-0000-0000-0000834E0000}"/>
    <cellStyle name="Normal 9 4 2 5 2" xfId="8206" xr:uid="{00000000-0005-0000-0000-0000844E0000}"/>
    <cellStyle name="Normal 9 4 2 5 2 2" xfId="14288" xr:uid="{00000000-0005-0000-0000-0000854E0000}"/>
    <cellStyle name="Normal 9 4 2 5 2 3" xfId="20566" xr:uid="{00000000-0005-0000-0000-0000864E0000}"/>
    <cellStyle name="Normal 9 4 2 5 3" xfId="14287" xr:uid="{00000000-0005-0000-0000-0000874E0000}"/>
    <cellStyle name="Normal 9 4 2 5 4" xfId="20565" xr:uid="{00000000-0005-0000-0000-0000884E0000}"/>
    <cellStyle name="Normal 9 4 2 6" xfId="8207" xr:uid="{00000000-0005-0000-0000-0000894E0000}"/>
    <cellStyle name="Normal 9 4 2 6 2" xfId="14289" xr:uid="{00000000-0005-0000-0000-00008A4E0000}"/>
    <cellStyle name="Normal 9 4 2 6 3" xfId="20567" xr:uid="{00000000-0005-0000-0000-00008B4E0000}"/>
    <cellStyle name="Normal 9 4 2 7" xfId="14266" xr:uid="{00000000-0005-0000-0000-00008C4E0000}"/>
    <cellStyle name="Normal 9 4 2 8" xfId="20544" xr:uid="{00000000-0005-0000-0000-00008D4E0000}"/>
    <cellStyle name="Normal 9 4 3" xfId="8208" xr:uid="{00000000-0005-0000-0000-00008E4E0000}"/>
    <cellStyle name="Normal 9 4 3 2" xfId="8209" xr:uid="{00000000-0005-0000-0000-00008F4E0000}"/>
    <cellStyle name="Normal 9 4 3 2 2" xfId="8210" xr:uid="{00000000-0005-0000-0000-0000904E0000}"/>
    <cellStyle name="Normal 9 4 3 2 2 2" xfId="8211" xr:uid="{00000000-0005-0000-0000-0000914E0000}"/>
    <cellStyle name="Normal 9 4 3 2 2 2 2" xfId="14293" xr:uid="{00000000-0005-0000-0000-0000924E0000}"/>
    <cellStyle name="Normal 9 4 3 2 2 2 3" xfId="20571" xr:uid="{00000000-0005-0000-0000-0000934E0000}"/>
    <cellStyle name="Normal 9 4 3 2 2 3" xfId="14292" xr:uid="{00000000-0005-0000-0000-0000944E0000}"/>
    <cellStyle name="Normal 9 4 3 2 2 4" xfId="20570" xr:uid="{00000000-0005-0000-0000-0000954E0000}"/>
    <cellStyle name="Normal 9 4 3 2 3" xfId="8212" xr:uid="{00000000-0005-0000-0000-0000964E0000}"/>
    <cellStyle name="Normal 9 4 3 2 3 2" xfId="8213" xr:uid="{00000000-0005-0000-0000-0000974E0000}"/>
    <cellStyle name="Normal 9 4 3 2 3 2 2" xfId="14295" xr:uid="{00000000-0005-0000-0000-0000984E0000}"/>
    <cellStyle name="Normal 9 4 3 2 3 2 3" xfId="20573" xr:uid="{00000000-0005-0000-0000-0000994E0000}"/>
    <cellStyle name="Normal 9 4 3 2 3 3" xfId="14294" xr:uid="{00000000-0005-0000-0000-00009A4E0000}"/>
    <cellStyle name="Normal 9 4 3 2 3 4" xfId="20572" xr:uid="{00000000-0005-0000-0000-00009B4E0000}"/>
    <cellStyle name="Normal 9 4 3 2 4" xfId="8214" xr:uid="{00000000-0005-0000-0000-00009C4E0000}"/>
    <cellStyle name="Normal 9 4 3 2 4 2" xfId="14296" xr:uid="{00000000-0005-0000-0000-00009D4E0000}"/>
    <cellStyle name="Normal 9 4 3 2 4 3" xfId="20574" xr:uid="{00000000-0005-0000-0000-00009E4E0000}"/>
    <cellStyle name="Normal 9 4 3 2 5" xfId="14291" xr:uid="{00000000-0005-0000-0000-00009F4E0000}"/>
    <cellStyle name="Normal 9 4 3 2 6" xfId="20569" xr:uid="{00000000-0005-0000-0000-0000A04E0000}"/>
    <cellStyle name="Normal 9 4 3 3" xfId="8215" xr:uid="{00000000-0005-0000-0000-0000A14E0000}"/>
    <cellStyle name="Normal 9 4 3 3 2" xfId="8216" xr:uid="{00000000-0005-0000-0000-0000A24E0000}"/>
    <cellStyle name="Normal 9 4 3 3 2 2" xfId="14298" xr:uid="{00000000-0005-0000-0000-0000A34E0000}"/>
    <cellStyle name="Normal 9 4 3 3 2 3" xfId="20576" xr:uid="{00000000-0005-0000-0000-0000A44E0000}"/>
    <cellStyle name="Normal 9 4 3 3 3" xfId="14297" xr:uid="{00000000-0005-0000-0000-0000A54E0000}"/>
    <cellStyle name="Normal 9 4 3 3 4" xfId="20575" xr:uid="{00000000-0005-0000-0000-0000A64E0000}"/>
    <cellStyle name="Normal 9 4 3 4" xfId="8217" xr:uid="{00000000-0005-0000-0000-0000A74E0000}"/>
    <cellStyle name="Normal 9 4 3 4 2" xfId="8218" xr:uid="{00000000-0005-0000-0000-0000A84E0000}"/>
    <cellStyle name="Normal 9 4 3 4 2 2" xfId="14300" xr:uid="{00000000-0005-0000-0000-0000A94E0000}"/>
    <cellStyle name="Normal 9 4 3 4 2 3" xfId="20578" xr:uid="{00000000-0005-0000-0000-0000AA4E0000}"/>
    <cellStyle name="Normal 9 4 3 4 3" xfId="14299" xr:uid="{00000000-0005-0000-0000-0000AB4E0000}"/>
    <cellStyle name="Normal 9 4 3 4 4" xfId="20577" xr:uid="{00000000-0005-0000-0000-0000AC4E0000}"/>
    <cellStyle name="Normal 9 4 3 5" xfId="8219" xr:uid="{00000000-0005-0000-0000-0000AD4E0000}"/>
    <cellStyle name="Normal 9 4 3 5 2" xfId="14301" xr:uid="{00000000-0005-0000-0000-0000AE4E0000}"/>
    <cellStyle name="Normal 9 4 3 5 3" xfId="20579" xr:uid="{00000000-0005-0000-0000-0000AF4E0000}"/>
    <cellStyle name="Normal 9 4 3 6" xfId="14290" xr:uid="{00000000-0005-0000-0000-0000B04E0000}"/>
    <cellStyle name="Normal 9 4 3 7" xfId="20568" xr:uid="{00000000-0005-0000-0000-0000B14E0000}"/>
    <cellStyle name="Normal 9 4 4" xfId="8220" xr:uid="{00000000-0005-0000-0000-0000B24E0000}"/>
    <cellStyle name="Normal 9 4 4 2" xfId="8221" xr:uid="{00000000-0005-0000-0000-0000B34E0000}"/>
    <cellStyle name="Normal 9 4 4 2 2" xfId="8222" xr:uid="{00000000-0005-0000-0000-0000B44E0000}"/>
    <cellStyle name="Normal 9 4 4 2 2 2" xfId="14304" xr:uid="{00000000-0005-0000-0000-0000B54E0000}"/>
    <cellStyle name="Normal 9 4 4 2 2 3" xfId="20582" xr:uid="{00000000-0005-0000-0000-0000B64E0000}"/>
    <cellStyle name="Normal 9 4 4 2 3" xfId="14303" xr:uid="{00000000-0005-0000-0000-0000B74E0000}"/>
    <cellStyle name="Normal 9 4 4 2 4" xfId="20581" xr:uid="{00000000-0005-0000-0000-0000B84E0000}"/>
    <cellStyle name="Normal 9 4 4 3" xfId="8223" xr:uid="{00000000-0005-0000-0000-0000B94E0000}"/>
    <cellStyle name="Normal 9 4 4 3 2" xfId="8224" xr:uid="{00000000-0005-0000-0000-0000BA4E0000}"/>
    <cellStyle name="Normal 9 4 4 3 2 2" xfId="14306" xr:uid="{00000000-0005-0000-0000-0000BB4E0000}"/>
    <cellStyle name="Normal 9 4 4 3 2 3" xfId="20584" xr:uid="{00000000-0005-0000-0000-0000BC4E0000}"/>
    <cellStyle name="Normal 9 4 4 3 3" xfId="14305" xr:uid="{00000000-0005-0000-0000-0000BD4E0000}"/>
    <cellStyle name="Normal 9 4 4 3 4" xfId="20583" xr:uid="{00000000-0005-0000-0000-0000BE4E0000}"/>
    <cellStyle name="Normal 9 4 4 4" xfId="8225" xr:uid="{00000000-0005-0000-0000-0000BF4E0000}"/>
    <cellStyle name="Normal 9 4 4 4 2" xfId="14307" xr:uid="{00000000-0005-0000-0000-0000C04E0000}"/>
    <cellStyle name="Normal 9 4 4 4 3" xfId="20585" xr:uid="{00000000-0005-0000-0000-0000C14E0000}"/>
    <cellStyle name="Normal 9 4 4 5" xfId="14302" xr:uid="{00000000-0005-0000-0000-0000C24E0000}"/>
    <cellStyle name="Normal 9 4 4 6" xfId="20580" xr:uid="{00000000-0005-0000-0000-0000C34E0000}"/>
    <cellStyle name="Normal 9 4 5" xfId="8226" xr:uid="{00000000-0005-0000-0000-0000C44E0000}"/>
    <cellStyle name="Normal 9 4 5 2" xfId="8227" xr:uid="{00000000-0005-0000-0000-0000C54E0000}"/>
    <cellStyle name="Normal 9 4 5 2 2" xfId="14309" xr:uid="{00000000-0005-0000-0000-0000C64E0000}"/>
    <cellStyle name="Normal 9 4 5 2 3" xfId="20587" xr:uid="{00000000-0005-0000-0000-0000C74E0000}"/>
    <cellStyle name="Normal 9 4 5 3" xfId="14308" xr:uid="{00000000-0005-0000-0000-0000C84E0000}"/>
    <cellStyle name="Normal 9 4 5 4" xfId="20586" xr:uid="{00000000-0005-0000-0000-0000C94E0000}"/>
    <cellStyle name="Normal 9 4 6" xfId="8228" xr:uid="{00000000-0005-0000-0000-0000CA4E0000}"/>
    <cellStyle name="Normal 9 4 6 2" xfId="8229" xr:uid="{00000000-0005-0000-0000-0000CB4E0000}"/>
    <cellStyle name="Normal 9 4 6 2 2" xfId="14311" xr:uid="{00000000-0005-0000-0000-0000CC4E0000}"/>
    <cellStyle name="Normal 9 4 6 2 3" xfId="20589" xr:uid="{00000000-0005-0000-0000-0000CD4E0000}"/>
    <cellStyle name="Normal 9 4 6 3" xfId="14310" xr:uid="{00000000-0005-0000-0000-0000CE4E0000}"/>
    <cellStyle name="Normal 9 4 6 4" xfId="20588" xr:uid="{00000000-0005-0000-0000-0000CF4E0000}"/>
    <cellStyle name="Normal 9 4 7" xfId="8230" xr:uid="{00000000-0005-0000-0000-0000D04E0000}"/>
    <cellStyle name="Normal 9 4 7 2" xfId="14312" xr:uid="{00000000-0005-0000-0000-0000D14E0000}"/>
    <cellStyle name="Normal 9 4 7 3" xfId="20590" xr:uid="{00000000-0005-0000-0000-0000D24E0000}"/>
    <cellStyle name="Normal 9 4 8" xfId="14265" xr:uid="{00000000-0005-0000-0000-0000D34E0000}"/>
    <cellStyle name="Normal 9 4 9" xfId="20543" xr:uid="{00000000-0005-0000-0000-0000D44E0000}"/>
    <cellStyle name="Normal 9 5" xfId="8231" xr:uid="{00000000-0005-0000-0000-0000D54E0000}"/>
    <cellStyle name="Normal 9 5 10" xfId="14313" xr:uid="{00000000-0005-0000-0000-0000D64E0000}"/>
    <cellStyle name="Normal 9 5 11" xfId="20591" xr:uid="{00000000-0005-0000-0000-0000D74E0000}"/>
    <cellStyle name="Normal 9 5 2" xfId="8232" xr:uid="{00000000-0005-0000-0000-0000D84E0000}"/>
    <cellStyle name="Normal 9 5 2 2" xfId="8233" xr:uid="{00000000-0005-0000-0000-0000D94E0000}"/>
    <cellStyle name="Normal 9 5 2 2 2" xfId="8234" xr:uid="{00000000-0005-0000-0000-0000DA4E0000}"/>
    <cellStyle name="Normal 9 5 2 2 2 2" xfId="8235" xr:uid="{00000000-0005-0000-0000-0000DB4E0000}"/>
    <cellStyle name="Normal 9 5 2 2 2 2 2" xfId="14317" xr:uid="{00000000-0005-0000-0000-0000DC4E0000}"/>
    <cellStyle name="Normal 9 5 2 2 2 2 3" xfId="20595" xr:uid="{00000000-0005-0000-0000-0000DD4E0000}"/>
    <cellStyle name="Normal 9 5 2 2 2 3" xfId="14316" xr:uid="{00000000-0005-0000-0000-0000DE4E0000}"/>
    <cellStyle name="Normal 9 5 2 2 2 4" xfId="20594" xr:uid="{00000000-0005-0000-0000-0000DF4E0000}"/>
    <cellStyle name="Normal 9 5 2 2 3" xfId="8236" xr:uid="{00000000-0005-0000-0000-0000E04E0000}"/>
    <cellStyle name="Normal 9 5 2 2 3 2" xfId="8237" xr:uid="{00000000-0005-0000-0000-0000E14E0000}"/>
    <cellStyle name="Normal 9 5 2 2 3 2 2" xfId="14319" xr:uid="{00000000-0005-0000-0000-0000E24E0000}"/>
    <cellStyle name="Normal 9 5 2 2 3 2 3" xfId="20597" xr:uid="{00000000-0005-0000-0000-0000E34E0000}"/>
    <cellStyle name="Normal 9 5 2 2 3 3" xfId="14318" xr:uid="{00000000-0005-0000-0000-0000E44E0000}"/>
    <cellStyle name="Normal 9 5 2 2 3 4" xfId="20596" xr:uid="{00000000-0005-0000-0000-0000E54E0000}"/>
    <cellStyle name="Normal 9 5 2 2 4" xfId="8238" xr:uid="{00000000-0005-0000-0000-0000E64E0000}"/>
    <cellStyle name="Normal 9 5 2 2 4 2" xfId="14320" xr:uid="{00000000-0005-0000-0000-0000E74E0000}"/>
    <cellStyle name="Normal 9 5 2 2 4 3" xfId="20598" xr:uid="{00000000-0005-0000-0000-0000E84E0000}"/>
    <cellStyle name="Normal 9 5 2 2 5" xfId="8239" xr:uid="{00000000-0005-0000-0000-0000E94E0000}"/>
    <cellStyle name="Normal 9 5 2 2 5 2" xfId="14321" xr:uid="{00000000-0005-0000-0000-0000EA4E0000}"/>
    <cellStyle name="Normal 9 5 2 2 5 3" xfId="20599" xr:uid="{00000000-0005-0000-0000-0000EB4E0000}"/>
    <cellStyle name="Normal 9 5 2 2 6" xfId="14315" xr:uid="{00000000-0005-0000-0000-0000EC4E0000}"/>
    <cellStyle name="Normal 9 5 2 2 7" xfId="20593" xr:uid="{00000000-0005-0000-0000-0000ED4E0000}"/>
    <cellStyle name="Normal 9 5 2 3" xfId="8240" xr:uid="{00000000-0005-0000-0000-0000EE4E0000}"/>
    <cellStyle name="Normal 9 5 2 3 2" xfId="8241" xr:uid="{00000000-0005-0000-0000-0000EF4E0000}"/>
    <cellStyle name="Normal 9 5 2 3 2 2" xfId="14323" xr:uid="{00000000-0005-0000-0000-0000F04E0000}"/>
    <cellStyle name="Normal 9 5 2 3 2 3" xfId="20601" xr:uid="{00000000-0005-0000-0000-0000F14E0000}"/>
    <cellStyle name="Normal 9 5 2 3 3" xfId="8242" xr:uid="{00000000-0005-0000-0000-0000F24E0000}"/>
    <cellStyle name="Normal 9 5 2 3 3 2" xfId="14324" xr:uid="{00000000-0005-0000-0000-0000F34E0000}"/>
    <cellStyle name="Normal 9 5 2 3 3 3" xfId="20602" xr:uid="{00000000-0005-0000-0000-0000F44E0000}"/>
    <cellStyle name="Normal 9 5 2 3 4" xfId="14322" xr:uid="{00000000-0005-0000-0000-0000F54E0000}"/>
    <cellStyle name="Normal 9 5 2 3 5" xfId="20600" xr:uid="{00000000-0005-0000-0000-0000F64E0000}"/>
    <cellStyle name="Normal 9 5 2 4" xfId="8243" xr:uid="{00000000-0005-0000-0000-0000F74E0000}"/>
    <cellStyle name="Normal 9 5 2 4 2" xfId="8244" xr:uid="{00000000-0005-0000-0000-0000F84E0000}"/>
    <cellStyle name="Normal 9 5 2 4 2 2" xfId="14326" xr:uid="{00000000-0005-0000-0000-0000F94E0000}"/>
    <cellStyle name="Normal 9 5 2 4 2 3" xfId="20604" xr:uid="{00000000-0005-0000-0000-0000FA4E0000}"/>
    <cellStyle name="Normal 9 5 2 4 3" xfId="8245" xr:uid="{00000000-0005-0000-0000-0000FB4E0000}"/>
    <cellStyle name="Normal 9 5 2 4 3 2" xfId="14327" xr:uid="{00000000-0005-0000-0000-0000FC4E0000}"/>
    <cellStyle name="Normal 9 5 2 4 3 3" xfId="20605" xr:uid="{00000000-0005-0000-0000-0000FD4E0000}"/>
    <cellStyle name="Normal 9 5 2 4 4" xfId="14325" xr:uid="{00000000-0005-0000-0000-0000FE4E0000}"/>
    <cellStyle name="Normal 9 5 2 4 5" xfId="20603" xr:uid="{00000000-0005-0000-0000-0000FF4E0000}"/>
    <cellStyle name="Normal 9 5 2 5" xfId="8246" xr:uid="{00000000-0005-0000-0000-0000004F0000}"/>
    <cellStyle name="Normal 9 5 2 5 2" xfId="14328" xr:uid="{00000000-0005-0000-0000-0000014F0000}"/>
    <cellStyle name="Normal 9 5 2 5 3" xfId="20606" xr:uid="{00000000-0005-0000-0000-0000024F0000}"/>
    <cellStyle name="Normal 9 5 2 6" xfId="8247" xr:uid="{00000000-0005-0000-0000-0000034F0000}"/>
    <cellStyle name="Normal 9 5 2 6 2" xfId="14329" xr:uid="{00000000-0005-0000-0000-0000044F0000}"/>
    <cellStyle name="Normal 9 5 2 6 3" xfId="20607" xr:uid="{00000000-0005-0000-0000-0000054F0000}"/>
    <cellStyle name="Normal 9 5 2 7" xfId="14314" xr:uid="{00000000-0005-0000-0000-0000064F0000}"/>
    <cellStyle name="Normal 9 5 2 8" xfId="20592" xr:uid="{00000000-0005-0000-0000-0000074F0000}"/>
    <cellStyle name="Normal 9 5 3" xfId="8248" xr:uid="{00000000-0005-0000-0000-0000084F0000}"/>
    <cellStyle name="Normal 9 5 3 2" xfId="8249" xr:uid="{00000000-0005-0000-0000-0000094F0000}"/>
    <cellStyle name="Normal 9 5 3 2 2" xfId="8250" xr:uid="{00000000-0005-0000-0000-00000A4F0000}"/>
    <cellStyle name="Normal 9 5 3 2 2 2" xfId="8251" xr:uid="{00000000-0005-0000-0000-00000B4F0000}"/>
    <cellStyle name="Normal 9 5 3 2 2 2 2" xfId="14333" xr:uid="{00000000-0005-0000-0000-00000C4F0000}"/>
    <cellStyle name="Normal 9 5 3 2 2 2 3" xfId="20611" xr:uid="{00000000-0005-0000-0000-00000D4F0000}"/>
    <cellStyle name="Normal 9 5 3 2 2 3" xfId="8252" xr:uid="{00000000-0005-0000-0000-00000E4F0000}"/>
    <cellStyle name="Normal 9 5 3 2 2 3 2" xfId="14334" xr:uid="{00000000-0005-0000-0000-00000F4F0000}"/>
    <cellStyle name="Normal 9 5 3 2 2 3 3" xfId="20612" xr:uid="{00000000-0005-0000-0000-0000104F0000}"/>
    <cellStyle name="Normal 9 5 3 2 2 4" xfId="14332" xr:uid="{00000000-0005-0000-0000-0000114F0000}"/>
    <cellStyle name="Normal 9 5 3 2 2 5" xfId="20610" xr:uid="{00000000-0005-0000-0000-0000124F0000}"/>
    <cellStyle name="Normal 9 5 3 2 3" xfId="8253" xr:uid="{00000000-0005-0000-0000-0000134F0000}"/>
    <cellStyle name="Normal 9 5 3 2 3 2" xfId="8254" xr:uid="{00000000-0005-0000-0000-0000144F0000}"/>
    <cellStyle name="Normal 9 5 3 2 3 2 2" xfId="14336" xr:uid="{00000000-0005-0000-0000-0000154F0000}"/>
    <cellStyle name="Normal 9 5 3 2 3 2 3" xfId="20614" xr:uid="{00000000-0005-0000-0000-0000164F0000}"/>
    <cellStyle name="Normal 9 5 3 2 3 3" xfId="8255" xr:uid="{00000000-0005-0000-0000-0000174F0000}"/>
    <cellStyle name="Normal 9 5 3 2 3 3 2" xfId="14337" xr:uid="{00000000-0005-0000-0000-0000184F0000}"/>
    <cellStyle name="Normal 9 5 3 2 3 3 3" xfId="20615" xr:uid="{00000000-0005-0000-0000-0000194F0000}"/>
    <cellStyle name="Normal 9 5 3 2 3 4" xfId="14335" xr:uid="{00000000-0005-0000-0000-00001A4F0000}"/>
    <cellStyle name="Normal 9 5 3 2 3 5" xfId="20613" xr:uid="{00000000-0005-0000-0000-00001B4F0000}"/>
    <cellStyle name="Normal 9 5 3 2 4" xfId="8256" xr:uid="{00000000-0005-0000-0000-00001C4F0000}"/>
    <cellStyle name="Normal 9 5 3 2 4 2" xfId="14338" xr:uid="{00000000-0005-0000-0000-00001D4F0000}"/>
    <cellStyle name="Normal 9 5 3 2 4 3" xfId="20616" xr:uid="{00000000-0005-0000-0000-00001E4F0000}"/>
    <cellStyle name="Normal 9 5 3 2 5" xfId="8257" xr:uid="{00000000-0005-0000-0000-00001F4F0000}"/>
    <cellStyle name="Normal 9 5 3 2 5 2" xfId="14339" xr:uid="{00000000-0005-0000-0000-0000204F0000}"/>
    <cellStyle name="Normal 9 5 3 2 5 3" xfId="20617" xr:uid="{00000000-0005-0000-0000-0000214F0000}"/>
    <cellStyle name="Normal 9 5 3 2 6" xfId="14331" xr:uid="{00000000-0005-0000-0000-0000224F0000}"/>
    <cellStyle name="Normal 9 5 3 2 7" xfId="20609" xr:uid="{00000000-0005-0000-0000-0000234F0000}"/>
    <cellStyle name="Normal 9 5 3 3" xfId="8258" xr:uid="{00000000-0005-0000-0000-0000244F0000}"/>
    <cellStyle name="Normal 9 5 3 3 2" xfId="8259" xr:uid="{00000000-0005-0000-0000-0000254F0000}"/>
    <cellStyle name="Normal 9 5 3 3 2 2" xfId="14341" xr:uid="{00000000-0005-0000-0000-0000264F0000}"/>
    <cellStyle name="Normal 9 5 3 3 2 3" xfId="20619" xr:uid="{00000000-0005-0000-0000-0000274F0000}"/>
    <cellStyle name="Normal 9 5 3 3 3" xfId="8260" xr:uid="{00000000-0005-0000-0000-0000284F0000}"/>
    <cellStyle name="Normal 9 5 3 3 3 2" xfId="14342" xr:uid="{00000000-0005-0000-0000-0000294F0000}"/>
    <cellStyle name="Normal 9 5 3 3 3 3" xfId="20620" xr:uid="{00000000-0005-0000-0000-00002A4F0000}"/>
    <cellStyle name="Normal 9 5 3 3 4" xfId="8261" xr:uid="{00000000-0005-0000-0000-00002B4F0000}"/>
    <cellStyle name="Normal 9 5 3 3 4 2" xfId="14343" xr:uid="{00000000-0005-0000-0000-00002C4F0000}"/>
    <cellStyle name="Normal 9 5 3 3 4 3" xfId="20621" xr:uid="{00000000-0005-0000-0000-00002D4F0000}"/>
    <cellStyle name="Normal 9 5 3 3 5" xfId="8262" xr:uid="{00000000-0005-0000-0000-00002E4F0000}"/>
    <cellStyle name="Normal 9 5 3 3 5 2" xfId="14344" xr:uid="{00000000-0005-0000-0000-00002F4F0000}"/>
    <cellStyle name="Normal 9 5 3 3 5 3" xfId="20622" xr:uid="{00000000-0005-0000-0000-0000304F0000}"/>
    <cellStyle name="Normal 9 5 3 3 6" xfId="14340" xr:uid="{00000000-0005-0000-0000-0000314F0000}"/>
    <cellStyle name="Normal 9 5 3 3 7" xfId="20618" xr:uid="{00000000-0005-0000-0000-0000324F0000}"/>
    <cellStyle name="Normal 9 5 3 4" xfId="8263" xr:uid="{00000000-0005-0000-0000-0000334F0000}"/>
    <cellStyle name="Normal 9 5 3 4 2" xfId="8264" xr:uid="{00000000-0005-0000-0000-0000344F0000}"/>
    <cellStyle name="Normal 9 5 3 4 2 2" xfId="14346" xr:uid="{00000000-0005-0000-0000-0000354F0000}"/>
    <cellStyle name="Normal 9 5 3 4 2 3" xfId="20624" xr:uid="{00000000-0005-0000-0000-0000364F0000}"/>
    <cellStyle name="Normal 9 5 3 4 3" xfId="8265" xr:uid="{00000000-0005-0000-0000-0000374F0000}"/>
    <cellStyle name="Normal 9 5 3 4 3 2" xfId="14347" xr:uid="{00000000-0005-0000-0000-0000384F0000}"/>
    <cellStyle name="Normal 9 5 3 4 3 3" xfId="20625" xr:uid="{00000000-0005-0000-0000-0000394F0000}"/>
    <cellStyle name="Normal 9 5 3 4 4" xfId="14345" xr:uid="{00000000-0005-0000-0000-00003A4F0000}"/>
    <cellStyle name="Normal 9 5 3 4 5" xfId="20623" xr:uid="{00000000-0005-0000-0000-00003B4F0000}"/>
    <cellStyle name="Normal 9 5 3 5" xfId="8266" xr:uid="{00000000-0005-0000-0000-00003C4F0000}"/>
    <cellStyle name="Normal 9 5 3 5 2" xfId="8267" xr:uid="{00000000-0005-0000-0000-00003D4F0000}"/>
    <cellStyle name="Normal 9 5 3 5 2 2" xfId="14349" xr:uid="{00000000-0005-0000-0000-00003E4F0000}"/>
    <cellStyle name="Normal 9 5 3 5 2 3" xfId="20627" xr:uid="{00000000-0005-0000-0000-00003F4F0000}"/>
    <cellStyle name="Normal 9 5 3 5 3" xfId="8268" xr:uid="{00000000-0005-0000-0000-0000404F0000}"/>
    <cellStyle name="Normal 9 5 3 5 3 2" xfId="14350" xr:uid="{00000000-0005-0000-0000-0000414F0000}"/>
    <cellStyle name="Normal 9 5 3 5 3 3" xfId="20628" xr:uid="{00000000-0005-0000-0000-0000424F0000}"/>
    <cellStyle name="Normal 9 5 3 5 4" xfId="14348" xr:uid="{00000000-0005-0000-0000-0000434F0000}"/>
    <cellStyle name="Normal 9 5 3 5 5" xfId="20626" xr:uid="{00000000-0005-0000-0000-0000444F0000}"/>
    <cellStyle name="Normal 9 5 3 6" xfId="8269" xr:uid="{00000000-0005-0000-0000-0000454F0000}"/>
    <cellStyle name="Normal 9 5 3 6 2" xfId="14351" xr:uid="{00000000-0005-0000-0000-0000464F0000}"/>
    <cellStyle name="Normal 9 5 3 6 3" xfId="20629" xr:uid="{00000000-0005-0000-0000-0000474F0000}"/>
    <cellStyle name="Normal 9 5 3 7" xfId="8270" xr:uid="{00000000-0005-0000-0000-0000484F0000}"/>
    <cellStyle name="Normal 9 5 3 7 2" xfId="14352" xr:uid="{00000000-0005-0000-0000-0000494F0000}"/>
    <cellStyle name="Normal 9 5 3 7 3" xfId="20630" xr:uid="{00000000-0005-0000-0000-00004A4F0000}"/>
    <cellStyle name="Normal 9 5 3 8" xfId="14330" xr:uid="{00000000-0005-0000-0000-00004B4F0000}"/>
    <cellStyle name="Normal 9 5 3 9" xfId="20608" xr:uid="{00000000-0005-0000-0000-00004C4F0000}"/>
    <cellStyle name="Normal 9 5 4" xfId="8271" xr:uid="{00000000-0005-0000-0000-00004D4F0000}"/>
    <cellStyle name="Normal 9 5 4 2" xfId="8272" xr:uid="{00000000-0005-0000-0000-00004E4F0000}"/>
    <cellStyle name="Normal 9 5 4 2 2" xfId="8273" xr:uid="{00000000-0005-0000-0000-00004F4F0000}"/>
    <cellStyle name="Normal 9 5 4 2 2 2" xfId="14355" xr:uid="{00000000-0005-0000-0000-0000504F0000}"/>
    <cellStyle name="Normal 9 5 4 2 2 3" xfId="20633" xr:uid="{00000000-0005-0000-0000-0000514F0000}"/>
    <cellStyle name="Normal 9 5 4 2 3" xfId="8274" xr:uid="{00000000-0005-0000-0000-0000524F0000}"/>
    <cellStyle name="Normal 9 5 4 2 3 2" xfId="14356" xr:uid="{00000000-0005-0000-0000-0000534F0000}"/>
    <cellStyle name="Normal 9 5 4 2 3 3" xfId="20634" xr:uid="{00000000-0005-0000-0000-0000544F0000}"/>
    <cellStyle name="Normal 9 5 4 2 4" xfId="14354" xr:uid="{00000000-0005-0000-0000-0000554F0000}"/>
    <cellStyle name="Normal 9 5 4 2 5" xfId="20632" xr:uid="{00000000-0005-0000-0000-0000564F0000}"/>
    <cellStyle name="Normal 9 5 4 3" xfId="8275" xr:uid="{00000000-0005-0000-0000-0000574F0000}"/>
    <cellStyle name="Normal 9 5 4 3 2" xfId="8276" xr:uid="{00000000-0005-0000-0000-0000584F0000}"/>
    <cellStyle name="Normal 9 5 4 3 2 2" xfId="14358" xr:uid="{00000000-0005-0000-0000-0000594F0000}"/>
    <cellStyle name="Normal 9 5 4 3 2 3" xfId="20636" xr:uid="{00000000-0005-0000-0000-00005A4F0000}"/>
    <cellStyle name="Normal 9 5 4 3 3" xfId="8277" xr:uid="{00000000-0005-0000-0000-00005B4F0000}"/>
    <cellStyle name="Normal 9 5 4 3 3 2" xfId="14359" xr:uid="{00000000-0005-0000-0000-00005C4F0000}"/>
    <cellStyle name="Normal 9 5 4 3 3 3" xfId="20637" xr:uid="{00000000-0005-0000-0000-00005D4F0000}"/>
    <cellStyle name="Normal 9 5 4 3 4" xfId="14357" xr:uid="{00000000-0005-0000-0000-00005E4F0000}"/>
    <cellStyle name="Normal 9 5 4 3 5" xfId="20635" xr:uid="{00000000-0005-0000-0000-00005F4F0000}"/>
    <cellStyle name="Normal 9 5 4 4" xfId="8278" xr:uid="{00000000-0005-0000-0000-0000604F0000}"/>
    <cellStyle name="Normal 9 5 4 4 2" xfId="14360" xr:uid="{00000000-0005-0000-0000-0000614F0000}"/>
    <cellStyle name="Normal 9 5 4 4 3" xfId="20638" xr:uid="{00000000-0005-0000-0000-0000624F0000}"/>
    <cellStyle name="Normal 9 5 4 5" xfId="8279" xr:uid="{00000000-0005-0000-0000-0000634F0000}"/>
    <cellStyle name="Normal 9 5 4 5 2" xfId="14361" xr:uid="{00000000-0005-0000-0000-0000644F0000}"/>
    <cellStyle name="Normal 9 5 4 5 3" xfId="20639" xr:uid="{00000000-0005-0000-0000-0000654F0000}"/>
    <cellStyle name="Normal 9 5 4 6" xfId="14353" xr:uid="{00000000-0005-0000-0000-0000664F0000}"/>
    <cellStyle name="Normal 9 5 4 7" xfId="20631" xr:uid="{00000000-0005-0000-0000-0000674F0000}"/>
    <cellStyle name="Normal 9 5 5" xfId="8280" xr:uid="{00000000-0005-0000-0000-0000684F0000}"/>
    <cellStyle name="Normal 9 5 5 2" xfId="8281" xr:uid="{00000000-0005-0000-0000-0000694F0000}"/>
    <cellStyle name="Normal 9 5 5 2 2" xfId="14363" xr:uid="{00000000-0005-0000-0000-00006A4F0000}"/>
    <cellStyle name="Normal 9 5 5 2 3" xfId="20641" xr:uid="{00000000-0005-0000-0000-00006B4F0000}"/>
    <cellStyle name="Normal 9 5 5 3" xfId="8282" xr:uid="{00000000-0005-0000-0000-00006C4F0000}"/>
    <cellStyle name="Normal 9 5 5 3 2" xfId="14364" xr:uid="{00000000-0005-0000-0000-00006D4F0000}"/>
    <cellStyle name="Normal 9 5 5 3 3" xfId="20642" xr:uid="{00000000-0005-0000-0000-00006E4F0000}"/>
    <cellStyle name="Normal 9 5 5 4" xfId="8283" xr:uid="{00000000-0005-0000-0000-00006F4F0000}"/>
    <cellStyle name="Normal 9 5 5 4 2" xfId="14365" xr:uid="{00000000-0005-0000-0000-0000704F0000}"/>
    <cellStyle name="Normal 9 5 5 4 3" xfId="20643" xr:uid="{00000000-0005-0000-0000-0000714F0000}"/>
    <cellStyle name="Normal 9 5 5 5" xfId="8284" xr:uid="{00000000-0005-0000-0000-0000724F0000}"/>
    <cellStyle name="Normal 9 5 5 5 2" xfId="14366" xr:uid="{00000000-0005-0000-0000-0000734F0000}"/>
    <cellStyle name="Normal 9 5 5 5 3" xfId="20644" xr:uid="{00000000-0005-0000-0000-0000744F0000}"/>
    <cellStyle name="Normal 9 5 5 6" xfId="14362" xr:uid="{00000000-0005-0000-0000-0000754F0000}"/>
    <cellStyle name="Normal 9 5 5 7" xfId="20640" xr:uid="{00000000-0005-0000-0000-0000764F0000}"/>
    <cellStyle name="Normal 9 5 6" xfId="8285" xr:uid="{00000000-0005-0000-0000-0000774F0000}"/>
    <cellStyle name="Normal 9 5 6 2" xfId="8286" xr:uid="{00000000-0005-0000-0000-0000784F0000}"/>
    <cellStyle name="Normal 9 5 6 2 2" xfId="14368" xr:uid="{00000000-0005-0000-0000-0000794F0000}"/>
    <cellStyle name="Normal 9 5 6 2 3" xfId="20646" xr:uid="{00000000-0005-0000-0000-00007A4F0000}"/>
    <cellStyle name="Normal 9 5 6 3" xfId="8287" xr:uid="{00000000-0005-0000-0000-00007B4F0000}"/>
    <cellStyle name="Normal 9 5 6 3 2" xfId="14369" xr:uid="{00000000-0005-0000-0000-00007C4F0000}"/>
    <cellStyle name="Normal 9 5 6 3 3" xfId="20647" xr:uid="{00000000-0005-0000-0000-00007D4F0000}"/>
    <cellStyle name="Normal 9 5 6 4" xfId="14367" xr:uid="{00000000-0005-0000-0000-00007E4F0000}"/>
    <cellStyle name="Normal 9 5 6 5" xfId="20645" xr:uid="{00000000-0005-0000-0000-00007F4F0000}"/>
    <cellStyle name="Normal 9 5 7" xfId="8288" xr:uid="{00000000-0005-0000-0000-0000804F0000}"/>
    <cellStyle name="Normal 9 5 7 2" xfId="8289" xr:uid="{00000000-0005-0000-0000-0000814F0000}"/>
    <cellStyle name="Normal 9 5 7 2 2" xfId="14371" xr:uid="{00000000-0005-0000-0000-0000824F0000}"/>
    <cellStyle name="Normal 9 5 7 2 3" xfId="20649" xr:uid="{00000000-0005-0000-0000-0000834F0000}"/>
    <cellStyle name="Normal 9 5 7 3" xfId="8290" xr:uid="{00000000-0005-0000-0000-0000844F0000}"/>
    <cellStyle name="Normal 9 5 7 3 2" xfId="14372" xr:uid="{00000000-0005-0000-0000-0000854F0000}"/>
    <cellStyle name="Normal 9 5 7 3 3" xfId="20650" xr:uid="{00000000-0005-0000-0000-0000864F0000}"/>
    <cellStyle name="Normal 9 5 7 4" xfId="14370" xr:uid="{00000000-0005-0000-0000-0000874F0000}"/>
    <cellStyle name="Normal 9 5 7 5" xfId="20648" xr:uid="{00000000-0005-0000-0000-0000884F0000}"/>
    <cellStyle name="Normal 9 5 8" xfId="8291" xr:uid="{00000000-0005-0000-0000-0000894F0000}"/>
    <cellStyle name="Normal 9 5 8 2" xfId="14373" xr:uid="{00000000-0005-0000-0000-00008A4F0000}"/>
    <cellStyle name="Normal 9 5 8 3" xfId="20651" xr:uid="{00000000-0005-0000-0000-00008B4F0000}"/>
    <cellStyle name="Normal 9 5 9" xfId="8292" xr:uid="{00000000-0005-0000-0000-00008C4F0000}"/>
    <cellStyle name="Normal 9 5 9 2" xfId="14374" xr:uid="{00000000-0005-0000-0000-00008D4F0000}"/>
    <cellStyle name="Normal 9 5 9 3" xfId="20652" xr:uid="{00000000-0005-0000-0000-00008E4F0000}"/>
    <cellStyle name="Normal 9 5_10070" xfId="8293" xr:uid="{00000000-0005-0000-0000-00008F4F0000}"/>
    <cellStyle name="Normal 9 6" xfId="8294" xr:uid="{00000000-0005-0000-0000-0000904F0000}"/>
    <cellStyle name="Normal 9 6 2" xfId="8295" xr:uid="{00000000-0005-0000-0000-0000914F0000}"/>
    <cellStyle name="Normal 9 6 2 2" xfId="8296" xr:uid="{00000000-0005-0000-0000-0000924F0000}"/>
    <cellStyle name="Normal 9 6 2 2 2" xfId="8297" xr:uid="{00000000-0005-0000-0000-0000934F0000}"/>
    <cellStyle name="Normal 9 6 2 2 2 2" xfId="14378" xr:uid="{00000000-0005-0000-0000-0000944F0000}"/>
    <cellStyle name="Normal 9 6 2 2 2 3" xfId="20656" xr:uid="{00000000-0005-0000-0000-0000954F0000}"/>
    <cellStyle name="Normal 9 6 2 2 3" xfId="14377" xr:uid="{00000000-0005-0000-0000-0000964F0000}"/>
    <cellStyle name="Normal 9 6 2 2 4" xfId="20655" xr:uid="{00000000-0005-0000-0000-0000974F0000}"/>
    <cellStyle name="Normal 9 6 2 3" xfId="8298" xr:uid="{00000000-0005-0000-0000-0000984F0000}"/>
    <cellStyle name="Normal 9 6 2 3 2" xfId="8299" xr:uid="{00000000-0005-0000-0000-0000994F0000}"/>
    <cellStyle name="Normal 9 6 2 3 2 2" xfId="14380" xr:uid="{00000000-0005-0000-0000-00009A4F0000}"/>
    <cellStyle name="Normal 9 6 2 3 2 3" xfId="20658" xr:uid="{00000000-0005-0000-0000-00009B4F0000}"/>
    <cellStyle name="Normal 9 6 2 3 3" xfId="14379" xr:uid="{00000000-0005-0000-0000-00009C4F0000}"/>
    <cellStyle name="Normal 9 6 2 3 4" xfId="20657" xr:uid="{00000000-0005-0000-0000-00009D4F0000}"/>
    <cellStyle name="Normal 9 6 2 4" xfId="8300" xr:uid="{00000000-0005-0000-0000-00009E4F0000}"/>
    <cellStyle name="Normal 9 6 2 4 2" xfId="14381" xr:uid="{00000000-0005-0000-0000-00009F4F0000}"/>
    <cellStyle name="Normal 9 6 2 4 3" xfId="20659" xr:uid="{00000000-0005-0000-0000-0000A04F0000}"/>
    <cellStyle name="Normal 9 6 2 5" xfId="14376" xr:uid="{00000000-0005-0000-0000-0000A14F0000}"/>
    <cellStyle name="Normal 9 6 2 6" xfId="20654" xr:uid="{00000000-0005-0000-0000-0000A24F0000}"/>
    <cellStyle name="Normal 9 6 3" xfId="8301" xr:uid="{00000000-0005-0000-0000-0000A34F0000}"/>
    <cellStyle name="Normal 9 6 3 2" xfId="8302" xr:uid="{00000000-0005-0000-0000-0000A44F0000}"/>
    <cellStyle name="Normal 9 6 3 2 2" xfId="14383" xr:uid="{00000000-0005-0000-0000-0000A54F0000}"/>
    <cellStyle name="Normal 9 6 3 2 3" xfId="20661" xr:uid="{00000000-0005-0000-0000-0000A64F0000}"/>
    <cellStyle name="Normal 9 6 3 3" xfId="8303" xr:uid="{00000000-0005-0000-0000-0000A74F0000}"/>
    <cellStyle name="Normal 9 6 3 3 2" xfId="14384" xr:uid="{00000000-0005-0000-0000-0000A84F0000}"/>
    <cellStyle name="Normal 9 6 3 3 3" xfId="20662" xr:uid="{00000000-0005-0000-0000-0000A94F0000}"/>
    <cellStyle name="Normal 9 6 3 4" xfId="14382" xr:uid="{00000000-0005-0000-0000-0000AA4F0000}"/>
    <cellStyle name="Normal 9 6 3 5" xfId="20660" xr:uid="{00000000-0005-0000-0000-0000AB4F0000}"/>
    <cellStyle name="Normal 9 6 4" xfId="8304" xr:uid="{00000000-0005-0000-0000-0000AC4F0000}"/>
    <cellStyle name="Normal 9 6 4 2" xfId="8305" xr:uid="{00000000-0005-0000-0000-0000AD4F0000}"/>
    <cellStyle name="Normal 9 6 4 2 2" xfId="14386" xr:uid="{00000000-0005-0000-0000-0000AE4F0000}"/>
    <cellStyle name="Normal 9 6 4 2 3" xfId="20664" xr:uid="{00000000-0005-0000-0000-0000AF4F0000}"/>
    <cellStyle name="Normal 9 6 4 3" xfId="14385" xr:uid="{00000000-0005-0000-0000-0000B04F0000}"/>
    <cellStyle name="Normal 9 6 4 4" xfId="20663" xr:uid="{00000000-0005-0000-0000-0000B14F0000}"/>
    <cellStyle name="Normal 9 6 5" xfId="8306" xr:uid="{00000000-0005-0000-0000-0000B24F0000}"/>
    <cellStyle name="Normal 9 6 5 2" xfId="14387" xr:uid="{00000000-0005-0000-0000-0000B34F0000}"/>
    <cellStyle name="Normal 9 6 5 3" xfId="20665" xr:uid="{00000000-0005-0000-0000-0000B44F0000}"/>
    <cellStyle name="Normal 9 6 6" xfId="14375" xr:uid="{00000000-0005-0000-0000-0000B54F0000}"/>
    <cellStyle name="Normal 9 6 7" xfId="20653" xr:uid="{00000000-0005-0000-0000-0000B64F0000}"/>
    <cellStyle name="Normal 9 7" xfId="8307" xr:uid="{00000000-0005-0000-0000-0000B74F0000}"/>
    <cellStyle name="Normal 9 7 2" xfId="8308" xr:uid="{00000000-0005-0000-0000-0000B84F0000}"/>
    <cellStyle name="Normal 9 7 2 2" xfId="8309" xr:uid="{00000000-0005-0000-0000-0000B94F0000}"/>
    <cellStyle name="Normal 9 7 2 2 2" xfId="14390" xr:uid="{00000000-0005-0000-0000-0000BA4F0000}"/>
    <cellStyle name="Normal 9 7 2 2 3" xfId="20668" xr:uid="{00000000-0005-0000-0000-0000BB4F0000}"/>
    <cellStyle name="Normal 9 7 2 3" xfId="14389" xr:uid="{00000000-0005-0000-0000-0000BC4F0000}"/>
    <cellStyle name="Normal 9 7 2 4" xfId="20667" xr:uid="{00000000-0005-0000-0000-0000BD4F0000}"/>
    <cellStyle name="Normal 9 7 3" xfId="8310" xr:uid="{00000000-0005-0000-0000-0000BE4F0000}"/>
    <cellStyle name="Normal 9 7 3 2" xfId="8311" xr:uid="{00000000-0005-0000-0000-0000BF4F0000}"/>
    <cellStyle name="Normal 9 7 3 2 2" xfId="14392" xr:uid="{00000000-0005-0000-0000-0000C04F0000}"/>
    <cellStyle name="Normal 9 7 3 2 3" xfId="20670" xr:uid="{00000000-0005-0000-0000-0000C14F0000}"/>
    <cellStyle name="Normal 9 7 3 3" xfId="14391" xr:uid="{00000000-0005-0000-0000-0000C24F0000}"/>
    <cellStyle name="Normal 9 7 3 4" xfId="20669" xr:uid="{00000000-0005-0000-0000-0000C34F0000}"/>
    <cellStyle name="Normal 9 7 4" xfId="8312" xr:uid="{00000000-0005-0000-0000-0000C44F0000}"/>
    <cellStyle name="Normal 9 7 4 2" xfId="14393" xr:uid="{00000000-0005-0000-0000-0000C54F0000}"/>
    <cellStyle name="Normal 9 7 4 3" xfId="20671" xr:uid="{00000000-0005-0000-0000-0000C64F0000}"/>
    <cellStyle name="Normal 9 7 5" xfId="8313" xr:uid="{00000000-0005-0000-0000-0000C74F0000}"/>
    <cellStyle name="Normal 9 7 5 2" xfId="14394" xr:uid="{00000000-0005-0000-0000-0000C84F0000}"/>
    <cellStyle name="Normal 9 7 5 3" xfId="20672" xr:uid="{00000000-0005-0000-0000-0000C94F0000}"/>
    <cellStyle name="Normal 9 7 6" xfId="14388" xr:uid="{00000000-0005-0000-0000-0000CA4F0000}"/>
    <cellStyle name="Normal 9 7 7" xfId="20666" xr:uid="{00000000-0005-0000-0000-0000CB4F0000}"/>
    <cellStyle name="Normal 9 8" xfId="8314" xr:uid="{00000000-0005-0000-0000-0000CC4F0000}"/>
    <cellStyle name="Normal 9 8 2" xfId="8315" xr:uid="{00000000-0005-0000-0000-0000CD4F0000}"/>
    <cellStyle name="Normal 9 8 2 2" xfId="14396" xr:uid="{00000000-0005-0000-0000-0000CE4F0000}"/>
    <cellStyle name="Normal 9 8 2 3" xfId="20674" xr:uid="{00000000-0005-0000-0000-0000CF4F0000}"/>
    <cellStyle name="Normal 9 8 3" xfId="8316" xr:uid="{00000000-0005-0000-0000-0000D04F0000}"/>
    <cellStyle name="Normal 9 8 3 2" xfId="14397" xr:uid="{00000000-0005-0000-0000-0000D14F0000}"/>
    <cellStyle name="Normal 9 8 3 3" xfId="20675" xr:uid="{00000000-0005-0000-0000-0000D24F0000}"/>
    <cellStyle name="Normal 9 8 4" xfId="14395" xr:uid="{00000000-0005-0000-0000-0000D34F0000}"/>
    <cellStyle name="Normal 9 8 5" xfId="20673" xr:uid="{00000000-0005-0000-0000-0000D44F0000}"/>
    <cellStyle name="Normal 9 9" xfId="8317" xr:uid="{00000000-0005-0000-0000-0000D54F0000}"/>
    <cellStyle name="Normal 9 9 2" xfId="8318" xr:uid="{00000000-0005-0000-0000-0000D64F0000}"/>
    <cellStyle name="Normal 9 9 2 2" xfId="14399" xr:uid="{00000000-0005-0000-0000-0000D74F0000}"/>
    <cellStyle name="Normal 9 9 2 3" xfId="20677" xr:uid="{00000000-0005-0000-0000-0000D84F0000}"/>
    <cellStyle name="Normal 9 9 3" xfId="8319" xr:uid="{00000000-0005-0000-0000-0000D94F0000}"/>
    <cellStyle name="Normal 9 9 3 2" xfId="14400" xr:uid="{00000000-0005-0000-0000-0000DA4F0000}"/>
    <cellStyle name="Normal 9 9 3 3" xfId="20678" xr:uid="{00000000-0005-0000-0000-0000DB4F0000}"/>
    <cellStyle name="Normal 9 9 4" xfId="14398" xr:uid="{00000000-0005-0000-0000-0000DC4F0000}"/>
    <cellStyle name="Normal 9 9 5" xfId="20676" xr:uid="{00000000-0005-0000-0000-0000DD4F0000}"/>
    <cellStyle name="Normal 9_2180" xfId="14401" xr:uid="{00000000-0005-0000-0000-0000DE4F0000}"/>
    <cellStyle name="Normal 90" xfId="8320" xr:uid="{00000000-0005-0000-0000-0000DF4F0000}"/>
    <cellStyle name="Normal 90 2" xfId="8321" xr:uid="{00000000-0005-0000-0000-0000E04F0000}"/>
    <cellStyle name="Normal 90 2 2" xfId="14403" xr:uid="{00000000-0005-0000-0000-0000E14F0000}"/>
    <cellStyle name="Normal 90 2 3" xfId="20680" xr:uid="{00000000-0005-0000-0000-0000E24F0000}"/>
    <cellStyle name="Normal 90 3" xfId="8322" xr:uid="{00000000-0005-0000-0000-0000E34F0000}"/>
    <cellStyle name="Normal 90 3 2" xfId="20681" xr:uid="{00000000-0005-0000-0000-0000E44F0000}"/>
    <cellStyle name="Normal 90 4" xfId="14402" xr:uid="{00000000-0005-0000-0000-0000E54F0000}"/>
    <cellStyle name="Normal 90 5" xfId="20679" xr:uid="{00000000-0005-0000-0000-0000E64F0000}"/>
    <cellStyle name="Normal 91" xfId="8323" xr:uid="{00000000-0005-0000-0000-0000E74F0000}"/>
    <cellStyle name="Normal 91 2" xfId="8324" xr:uid="{00000000-0005-0000-0000-0000E84F0000}"/>
    <cellStyle name="Normal 91 2 2" xfId="20683" xr:uid="{00000000-0005-0000-0000-0000E94F0000}"/>
    <cellStyle name="Normal 91 3" xfId="14404" xr:uid="{00000000-0005-0000-0000-0000EA4F0000}"/>
    <cellStyle name="Normal 91 4" xfId="20682" xr:uid="{00000000-0005-0000-0000-0000EB4F0000}"/>
    <cellStyle name="Normal 92" xfId="8325" xr:uid="{00000000-0005-0000-0000-0000EC4F0000}"/>
    <cellStyle name="Normal 92 2" xfId="8326" xr:uid="{00000000-0005-0000-0000-0000ED4F0000}"/>
    <cellStyle name="Normal 92 2 2" xfId="8327" xr:uid="{00000000-0005-0000-0000-0000EE4F0000}"/>
    <cellStyle name="Normal 92 2 2 2" xfId="14407" xr:uid="{00000000-0005-0000-0000-0000EF4F0000}"/>
    <cellStyle name="Normal 92 2 2 3" xfId="20686" xr:uid="{00000000-0005-0000-0000-0000F04F0000}"/>
    <cellStyle name="Normal 92 2 3" xfId="14406" xr:uid="{00000000-0005-0000-0000-0000F14F0000}"/>
    <cellStyle name="Normal 92 2 4" xfId="20685" xr:uid="{00000000-0005-0000-0000-0000F24F0000}"/>
    <cellStyle name="Normal 92 3" xfId="8328" xr:uid="{00000000-0005-0000-0000-0000F34F0000}"/>
    <cellStyle name="Normal 92 3 2" xfId="20687" xr:uid="{00000000-0005-0000-0000-0000F44F0000}"/>
    <cellStyle name="Normal 92 4" xfId="14405" xr:uid="{00000000-0005-0000-0000-0000F54F0000}"/>
    <cellStyle name="Normal 92 5" xfId="20684" xr:uid="{00000000-0005-0000-0000-0000F64F0000}"/>
    <cellStyle name="Normal 93" xfId="8329" xr:uid="{00000000-0005-0000-0000-0000F74F0000}"/>
    <cellStyle name="Normal 93 2" xfId="8330" xr:uid="{00000000-0005-0000-0000-0000F84F0000}"/>
    <cellStyle name="Normal 93 2 2" xfId="14409" xr:uid="{00000000-0005-0000-0000-0000F94F0000}"/>
    <cellStyle name="Normal 93 2 3" xfId="20689" xr:uid="{00000000-0005-0000-0000-0000FA4F0000}"/>
    <cellStyle name="Normal 93 3" xfId="8331" xr:uid="{00000000-0005-0000-0000-0000FB4F0000}"/>
    <cellStyle name="Normal 93 3 2" xfId="14410" xr:uid="{00000000-0005-0000-0000-0000FC4F0000}"/>
    <cellStyle name="Normal 93 3 3" xfId="20690" xr:uid="{00000000-0005-0000-0000-0000FD4F0000}"/>
    <cellStyle name="Normal 93 4" xfId="8332" xr:uid="{00000000-0005-0000-0000-0000FE4F0000}"/>
    <cellStyle name="Normal 93 4 2" xfId="20691" xr:uid="{00000000-0005-0000-0000-0000FF4F0000}"/>
    <cellStyle name="Normal 93 5" xfId="14408" xr:uid="{00000000-0005-0000-0000-000000500000}"/>
    <cellStyle name="Normal 93 6" xfId="20688" xr:uid="{00000000-0005-0000-0000-000001500000}"/>
    <cellStyle name="Normal 94" xfId="8333" xr:uid="{00000000-0005-0000-0000-000002500000}"/>
    <cellStyle name="Normal 94 2" xfId="8334" xr:uid="{00000000-0005-0000-0000-000003500000}"/>
    <cellStyle name="Normal 94 2 2" xfId="14412" xr:uid="{00000000-0005-0000-0000-000004500000}"/>
    <cellStyle name="Normal 94 2 3" xfId="20693" xr:uid="{00000000-0005-0000-0000-000005500000}"/>
    <cellStyle name="Normal 94 3" xfId="8335" xr:uid="{00000000-0005-0000-0000-000006500000}"/>
    <cellStyle name="Normal 94 3 2" xfId="14413" xr:uid="{00000000-0005-0000-0000-000007500000}"/>
    <cellStyle name="Normal 94 3 3" xfId="20694" xr:uid="{00000000-0005-0000-0000-000008500000}"/>
    <cellStyle name="Normal 94 4" xfId="8336" xr:uid="{00000000-0005-0000-0000-000009500000}"/>
    <cellStyle name="Normal 94 4 2" xfId="20695" xr:uid="{00000000-0005-0000-0000-00000A500000}"/>
    <cellStyle name="Normal 94 5" xfId="14411" xr:uid="{00000000-0005-0000-0000-00000B500000}"/>
    <cellStyle name="Normal 94 6" xfId="20692" xr:uid="{00000000-0005-0000-0000-00000C500000}"/>
    <cellStyle name="Normal 95" xfId="8337" xr:uid="{00000000-0005-0000-0000-00000D500000}"/>
    <cellStyle name="Normal 95 2" xfId="8338" xr:uid="{00000000-0005-0000-0000-00000E500000}"/>
    <cellStyle name="Normal 95 2 2" xfId="14415" xr:uid="{00000000-0005-0000-0000-00000F500000}"/>
    <cellStyle name="Normal 95 2 3" xfId="20697" xr:uid="{00000000-0005-0000-0000-000010500000}"/>
    <cellStyle name="Normal 95 3" xfId="8339" xr:uid="{00000000-0005-0000-0000-000011500000}"/>
    <cellStyle name="Normal 95 3 2" xfId="14416" xr:uid="{00000000-0005-0000-0000-000012500000}"/>
    <cellStyle name="Normal 95 3 3" xfId="20698" xr:uid="{00000000-0005-0000-0000-000013500000}"/>
    <cellStyle name="Normal 95 4" xfId="8340" xr:uid="{00000000-0005-0000-0000-000014500000}"/>
    <cellStyle name="Normal 95 4 2" xfId="20699" xr:uid="{00000000-0005-0000-0000-000015500000}"/>
    <cellStyle name="Normal 95 5" xfId="14414" xr:uid="{00000000-0005-0000-0000-000016500000}"/>
    <cellStyle name="Normal 95 6" xfId="20696" xr:uid="{00000000-0005-0000-0000-000017500000}"/>
    <cellStyle name="Normal 96" xfId="8341" xr:uid="{00000000-0005-0000-0000-000018500000}"/>
    <cellStyle name="Normal 96 2" xfId="8342" xr:uid="{00000000-0005-0000-0000-000019500000}"/>
    <cellStyle name="Normal 96 2 2" xfId="14418" xr:uid="{00000000-0005-0000-0000-00001A500000}"/>
    <cellStyle name="Normal 96 2 3" xfId="20701" xr:uid="{00000000-0005-0000-0000-00001B500000}"/>
    <cellStyle name="Normal 96 3" xfId="8343" xr:uid="{00000000-0005-0000-0000-00001C500000}"/>
    <cellStyle name="Normal 96 3 2" xfId="14419" xr:uid="{00000000-0005-0000-0000-00001D500000}"/>
    <cellStyle name="Normal 96 3 3" xfId="20702" xr:uid="{00000000-0005-0000-0000-00001E500000}"/>
    <cellStyle name="Normal 96 4" xfId="8344" xr:uid="{00000000-0005-0000-0000-00001F500000}"/>
    <cellStyle name="Normal 96 4 2" xfId="20703" xr:uid="{00000000-0005-0000-0000-000020500000}"/>
    <cellStyle name="Normal 96 5" xfId="14417" xr:uid="{00000000-0005-0000-0000-000021500000}"/>
    <cellStyle name="Normal 96 6" xfId="20700" xr:uid="{00000000-0005-0000-0000-000022500000}"/>
    <cellStyle name="Normal 97" xfId="8345" xr:uid="{00000000-0005-0000-0000-000023500000}"/>
    <cellStyle name="Normal 97 2" xfId="8346" xr:uid="{00000000-0005-0000-0000-000024500000}"/>
    <cellStyle name="Normal 97 2 2" xfId="14421" xr:uid="{00000000-0005-0000-0000-000025500000}"/>
    <cellStyle name="Normal 97 2 3" xfId="20705" xr:uid="{00000000-0005-0000-0000-000026500000}"/>
    <cellStyle name="Normal 97 3" xfId="8347" xr:uid="{00000000-0005-0000-0000-000027500000}"/>
    <cellStyle name="Normal 97 3 2" xfId="14422" xr:uid="{00000000-0005-0000-0000-000028500000}"/>
    <cellStyle name="Normal 97 3 3" xfId="20706" xr:uid="{00000000-0005-0000-0000-000029500000}"/>
    <cellStyle name="Normal 97 4" xfId="8348" xr:uid="{00000000-0005-0000-0000-00002A500000}"/>
    <cellStyle name="Normal 97 4 2" xfId="20707" xr:uid="{00000000-0005-0000-0000-00002B500000}"/>
    <cellStyle name="Normal 97 5" xfId="14420" xr:uid="{00000000-0005-0000-0000-00002C500000}"/>
    <cellStyle name="Normal 97 6" xfId="20704" xr:uid="{00000000-0005-0000-0000-00002D500000}"/>
    <cellStyle name="Normal 98" xfId="8349" xr:uid="{00000000-0005-0000-0000-00002E500000}"/>
    <cellStyle name="Normal 98 2" xfId="8350" xr:uid="{00000000-0005-0000-0000-00002F500000}"/>
    <cellStyle name="Normal 98 2 2" xfId="8351" xr:uid="{00000000-0005-0000-0000-000030500000}"/>
    <cellStyle name="Normal 98 2 2 2" xfId="14425" xr:uid="{00000000-0005-0000-0000-000031500000}"/>
    <cellStyle name="Normal 98 2 2 3" xfId="20710" xr:uid="{00000000-0005-0000-0000-000032500000}"/>
    <cellStyle name="Normal 98 2 3" xfId="14424" xr:uid="{00000000-0005-0000-0000-000033500000}"/>
    <cellStyle name="Normal 98 2 4" xfId="20709" xr:uid="{00000000-0005-0000-0000-000034500000}"/>
    <cellStyle name="Normal 98 3" xfId="8352" xr:uid="{00000000-0005-0000-0000-000035500000}"/>
    <cellStyle name="Normal 98 3 2" xfId="20711" xr:uid="{00000000-0005-0000-0000-000036500000}"/>
    <cellStyle name="Normal 98 4" xfId="14423" xr:uid="{00000000-0005-0000-0000-000037500000}"/>
    <cellStyle name="Normal 98 5" xfId="20708" xr:uid="{00000000-0005-0000-0000-000038500000}"/>
    <cellStyle name="Normal 99" xfId="8353" xr:uid="{00000000-0005-0000-0000-000039500000}"/>
    <cellStyle name="Normal 99 2" xfId="8354" xr:uid="{00000000-0005-0000-0000-00003A500000}"/>
    <cellStyle name="Normal 99 2 2" xfId="14427" xr:uid="{00000000-0005-0000-0000-00003B500000}"/>
    <cellStyle name="Normal 99 2 3" xfId="20713" xr:uid="{00000000-0005-0000-0000-00003C500000}"/>
    <cellStyle name="Normal 99 3" xfId="8355" xr:uid="{00000000-0005-0000-0000-00003D500000}"/>
    <cellStyle name="Normal 99 3 2" xfId="14428" xr:uid="{00000000-0005-0000-0000-00003E500000}"/>
    <cellStyle name="Normal 99 3 3" xfId="20714" xr:uid="{00000000-0005-0000-0000-00003F500000}"/>
    <cellStyle name="Normal 99 4" xfId="8356" xr:uid="{00000000-0005-0000-0000-000040500000}"/>
    <cellStyle name="Normal 99 4 2" xfId="14429" xr:uid="{00000000-0005-0000-0000-000041500000}"/>
    <cellStyle name="Normal 99 4 3" xfId="20715" xr:uid="{00000000-0005-0000-0000-000042500000}"/>
    <cellStyle name="Normal 99 5" xfId="8357" xr:uid="{00000000-0005-0000-0000-000043500000}"/>
    <cellStyle name="Normal 99 5 2" xfId="20716" xr:uid="{00000000-0005-0000-0000-000044500000}"/>
    <cellStyle name="Normal 99 6" xfId="14426" xr:uid="{00000000-0005-0000-0000-000045500000}"/>
    <cellStyle name="Normal 99 7" xfId="20712" xr:uid="{00000000-0005-0000-0000-000046500000}"/>
    <cellStyle name="Normal_Clark County Depr 12-31-10 R" xfId="23033" xr:uid="{FAC8B8A4-B306-4088-8C5A-38ACC9171912}"/>
    <cellStyle name="Normal_Depr 2144 3-31-12" xfId="23019" xr:uid="{00000000-0005-0000-0000-000047500000}"/>
    <cellStyle name="Note 2" xfId="8358" xr:uid="{00000000-0005-0000-0000-000049500000}"/>
    <cellStyle name="Note 2 2" xfId="8359" xr:uid="{00000000-0005-0000-0000-00004A500000}"/>
    <cellStyle name="Note 2 2 2" xfId="8360" xr:uid="{00000000-0005-0000-0000-00004B500000}"/>
    <cellStyle name="Note 2 2 2 2" xfId="8361" xr:uid="{00000000-0005-0000-0000-00004C500000}"/>
    <cellStyle name="Note 2 2 2 2 2" xfId="14433" xr:uid="{00000000-0005-0000-0000-00004D500000}"/>
    <cellStyle name="Note 2 2 2 2 3" xfId="20720" xr:uid="{00000000-0005-0000-0000-00004E500000}"/>
    <cellStyle name="Note 2 2 2 3" xfId="8362" xr:uid="{00000000-0005-0000-0000-00004F500000}"/>
    <cellStyle name="Note 2 2 2 3 2" xfId="14434" xr:uid="{00000000-0005-0000-0000-000050500000}"/>
    <cellStyle name="Note 2 2 2 3 3" xfId="20721" xr:uid="{00000000-0005-0000-0000-000051500000}"/>
    <cellStyle name="Note 2 2 2 4" xfId="8363" xr:uid="{00000000-0005-0000-0000-000052500000}"/>
    <cellStyle name="Note 2 2 2 4 2" xfId="14435" xr:uid="{00000000-0005-0000-0000-000053500000}"/>
    <cellStyle name="Note 2 2 2 4 3" xfId="20722" xr:uid="{00000000-0005-0000-0000-000054500000}"/>
    <cellStyle name="Note 2 2 2 5" xfId="8364" xr:uid="{00000000-0005-0000-0000-000055500000}"/>
    <cellStyle name="Note 2 2 2 5 2" xfId="14436" xr:uid="{00000000-0005-0000-0000-000056500000}"/>
    <cellStyle name="Note 2 2 2 5 3" xfId="20723" xr:uid="{00000000-0005-0000-0000-000057500000}"/>
    <cellStyle name="Note 2 2 2 6" xfId="14432" xr:uid="{00000000-0005-0000-0000-000058500000}"/>
    <cellStyle name="Note 2 2 2 7" xfId="20719" xr:uid="{00000000-0005-0000-0000-000059500000}"/>
    <cellStyle name="Note 2 2 3" xfId="8365" xr:uid="{00000000-0005-0000-0000-00005A500000}"/>
    <cellStyle name="Note 2 2 3 2" xfId="8366" xr:uid="{00000000-0005-0000-0000-00005B500000}"/>
    <cellStyle name="Note 2 2 3 2 2" xfId="14438" xr:uid="{00000000-0005-0000-0000-00005C500000}"/>
    <cellStyle name="Note 2 2 3 2 3" xfId="20725" xr:uid="{00000000-0005-0000-0000-00005D500000}"/>
    <cellStyle name="Note 2 2 3 3" xfId="8367" xr:uid="{00000000-0005-0000-0000-00005E500000}"/>
    <cellStyle name="Note 2 2 3 3 2" xfId="14439" xr:uid="{00000000-0005-0000-0000-00005F500000}"/>
    <cellStyle name="Note 2 2 3 3 3" xfId="20726" xr:uid="{00000000-0005-0000-0000-000060500000}"/>
    <cellStyle name="Note 2 2 3 4" xfId="8368" xr:uid="{00000000-0005-0000-0000-000061500000}"/>
    <cellStyle name="Note 2 2 3 4 2" xfId="14440" xr:uid="{00000000-0005-0000-0000-000062500000}"/>
    <cellStyle name="Note 2 2 3 4 3" xfId="20727" xr:uid="{00000000-0005-0000-0000-000063500000}"/>
    <cellStyle name="Note 2 2 3 5" xfId="8369" xr:uid="{00000000-0005-0000-0000-000064500000}"/>
    <cellStyle name="Note 2 2 3 5 2" xfId="14441" xr:uid="{00000000-0005-0000-0000-000065500000}"/>
    <cellStyle name="Note 2 2 3 5 3" xfId="20728" xr:uid="{00000000-0005-0000-0000-000066500000}"/>
    <cellStyle name="Note 2 2 3 6" xfId="14437" xr:uid="{00000000-0005-0000-0000-000067500000}"/>
    <cellStyle name="Note 2 2 3 7" xfId="20724" xr:uid="{00000000-0005-0000-0000-000068500000}"/>
    <cellStyle name="Note 2 2 4" xfId="8370" xr:uid="{00000000-0005-0000-0000-000069500000}"/>
    <cellStyle name="Note 2 2 4 2" xfId="20729" xr:uid="{00000000-0005-0000-0000-00006A500000}"/>
    <cellStyle name="Note 2 2 5" xfId="14431" xr:uid="{00000000-0005-0000-0000-00006B500000}"/>
    <cellStyle name="Note 2 2 6" xfId="20718" xr:uid="{00000000-0005-0000-0000-00006C500000}"/>
    <cellStyle name="Note 2 3" xfId="8371" xr:uid="{00000000-0005-0000-0000-00006D500000}"/>
    <cellStyle name="Note 2 3 2" xfId="8372" xr:uid="{00000000-0005-0000-0000-00006E500000}"/>
    <cellStyle name="Note 2 3 2 2" xfId="8373" xr:uid="{00000000-0005-0000-0000-00006F500000}"/>
    <cellStyle name="Note 2 3 2 2 2" xfId="14444" xr:uid="{00000000-0005-0000-0000-000070500000}"/>
    <cellStyle name="Note 2 3 2 2 3" xfId="20732" xr:uid="{00000000-0005-0000-0000-000071500000}"/>
    <cellStyle name="Note 2 3 2 3" xfId="8374" xr:uid="{00000000-0005-0000-0000-000072500000}"/>
    <cellStyle name="Note 2 3 2 3 2" xfId="14445" xr:uid="{00000000-0005-0000-0000-000073500000}"/>
    <cellStyle name="Note 2 3 2 3 3" xfId="20733" xr:uid="{00000000-0005-0000-0000-000074500000}"/>
    <cellStyle name="Note 2 3 2 4" xfId="8375" xr:uid="{00000000-0005-0000-0000-000075500000}"/>
    <cellStyle name="Note 2 3 2 4 2" xfId="14446" xr:uid="{00000000-0005-0000-0000-000076500000}"/>
    <cellStyle name="Note 2 3 2 4 3" xfId="20734" xr:uid="{00000000-0005-0000-0000-000077500000}"/>
    <cellStyle name="Note 2 3 2 5" xfId="8376" xr:uid="{00000000-0005-0000-0000-000078500000}"/>
    <cellStyle name="Note 2 3 2 5 2" xfId="14447" xr:uid="{00000000-0005-0000-0000-000079500000}"/>
    <cellStyle name="Note 2 3 2 5 3" xfId="20735" xr:uid="{00000000-0005-0000-0000-00007A500000}"/>
    <cellStyle name="Note 2 3 2 6" xfId="14443" xr:uid="{00000000-0005-0000-0000-00007B500000}"/>
    <cellStyle name="Note 2 3 2 7" xfId="20731" xr:uid="{00000000-0005-0000-0000-00007C500000}"/>
    <cellStyle name="Note 2 3 3" xfId="8377" xr:uid="{00000000-0005-0000-0000-00007D500000}"/>
    <cellStyle name="Note 2 3 3 2" xfId="14448" xr:uid="{00000000-0005-0000-0000-00007E500000}"/>
    <cellStyle name="Note 2 3 3 3" xfId="20736" xr:uid="{00000000-0005-0000-0000-00007F500000}"/>
    <cellStyle name="Note 2 3 4" xfId="8378" xr:uid="{00000000-0005-0000-0000-000080500000}"/>
    <cellStyle name="Note 2 3 4 2" xfId="20737" xr:uid="{00000000-0005-0000-0000-000081500000}"/>
    <cellStyle name="Note 2 3 5" xfId="14442" xr:uid="{00000000-0005-0000-0000-000082500000}"/>
    <cellStyle name="Note 2 3 6" xfId="20730" xr:uid="{00000000-0005-0000-0000-000083500000}"/>
    <cellStyle name="Note 2 4" xfId="8379" xr:uid="{00000000-0005-0000-0000-000084500000}"/>
    <cellStyle name="Note 2 4 2" xfId="8380" xr:uid="{00000000-0005-0000-0000-000085500000}"/>
    <cellStyle name="Note 2 4 2 2" xfId="8381" xr:uid="{00000000-0005-0000-0000-000086500000}"/>
    <cellStyle name="Note 2 4 2 2 2" xfId="14451" xr:uid="{00000000-0005-0000-0000-000087500000}"/>
    <cellStyle name="Note 2 4 2 2 3" xfId="20740" xr:uid="{00000000-0005-0000-0000-000088500000}"/>
    <cellStyle name="Note 2 4 2 3" xfId="8382" xr:uid="{00000000-0005-0000-0000-000089500000}"/>
    <cellStyle name="Note 2 4 2 3 2" xfId="14452" xr:uid="{00000000-0005-0000-0000-00008A500000}"/>
    <cellStyle name="Note 2 4 2 3 3" xfId="20741" xr:uid="{00000000-0005-0000-0000-00008B500000}"/>
    <cellStyle name="Note 2 4 2 4" xfId="8383" xr:uid="{00000000-0005-0000-0000-00008C500000}"/>
    <cellStyle name="Note 2 4 2 4 2" xfId="14453" xr:uid="{00000000-0005-0000-0000-00008D500000}"/>
    <cellStyle name="Note 2 4 2 4 3" xfId="20742" xr:uid="{00000000-0005-0000-0000-00008E500000}"/>
    <cellStyle name="Note 2 4 2 5" xfId="8384" xr:uid="{00000000-0005-0000-0000-00008F500000}"/>
    <cellStyle name="Note 2 4 2 5 2" xfId="14454" xr:uid="{00000000-0005-0000-0000-000090500000}"/>
    <cellStyle name="Note 2 4 2 5 3" xfId="20743" xr:uid="{00000000-0005-0000-0000-000091500000}"/>
    <cellStyle name="Note 2 4 2 6" xfId="14450" xr:uid="{00000000-0005-0000-0000-000092500000}"/>
    <cellStyle name="Note 2 4 2 7" xfId="20739" xr:uid="{00000000-0005-0000-0000-000093500000}"/>
    <cellStyle name="Note 2 4 3" xfId="8385" xr:uid="{00000000-0005-0000-0000-000094500000}"/>
    <cellStyle name="Note 2 4 3 2" xfId="14455" xr:uid="{00000000-0005-0000-0000-000095500000}"/>
    <cellStyle name="Note 2 4 3 3" xfId="20744" xr:uid="{00000000-0005-0000-0000-000096500000}"/>
    <cellStyle name="Note 2 4 4" xfId="8386" xr:uid="{00000000-0005-0000-0000-000097500000}"/>
    <cellStyle name="Note 2 4 4 2" xfId="20745" xr:uid="{00000000-0005-0000-0000-000098500000}"/>
    <cellStyle name="Note 2 4 5" xfId="14449" xr:uid="{00000000-0005-0000-0000-000099500000}"/>
    <cellStyle name="Note 2 4 6" xfId="20738" xr:uid="{00000000-0005-0000-0000-00009A500000}"/>
    <cellStyle name="Note 2 5" xfId="8387" xr:uid="{00000000-0005-0000-0000-00009B500000}"/>
    <cellStyle name="Note 2 5 2" xfId="8388" xr:uid="{00000000-0005-0000-0000-00009C500000}"/>
    <cellStyle name="Note 2 5 2 2" xfId="14457" xr:uid="{00000000-0005-0000-0000-00009D500000}"/>
    <cellStyle name="Note 2 5 2 3" xfId="20747" xr:uid="{00000000-0005-0000-0000-00009E500000}"/>
    <cellStyle name="Note 2 5 3" xfId="8389" xr:uid="{00000000-0005-0000-0000-00009F500000}"/>
    <cellStyle name="Note 2 5 3 2" xfId="14458" xr:uid="{00000000-0005-0000-0000-0000A0500000}"/>
    <cellStyle name="Note 2 5 3 3" xfId="20748" xr:uid="{00000000-0005-0000-0000-0000A1500000}"/>
    <cellStyle name="Note 2 5 4" xfId="8390" xr:uid="{00000000-0005-0000-0000-0000A2500000}"/>
    <cellStyle name="Note 2 5 4 2" xfId="14459" xr:uid="{00000000-0005-0000-0000-0000A3500000}"/>
    <cellStyle name="Note 2 5 4 3" xfId="20749" xr:uid="{00000000-0005-0000-0000-0000A4500000}"/>
    <cellStyle name="Note 2 5 5" xfId="8391" xr:uid="{00000000-0005-0000-0000-0000A5500000}"/>
    <cellStyle name="Note 2 5 5 2" xfId="14460" xr:uid="{00000000-0005-0000-0000-0000A6500000}"/>
    <cellStyle name="Note 2 5 5 3" xfId="20750" xr:uid="{00000000-0005-0000-0000-0000A7500000}"/>
    <cellStyle name="Note 2 5 6" xfId="14456" xr:uid="{00000000-0005-0000-0000-0000A8500000}"/>
    <cellStyle name="Note 2 5 7" xfId="20746" xr:uid="{00000000-0005-0000-0000-0000A9500000}"/>
    <cellStyle name="Note 2 6" xfId="8392" xr:uid="{00000000-0005-0000-0000-0000AA500000}"/>
    <cellStyle name="Note 2 6 2" xfId="14461" xr:uid="{00000000-0005-0000-0000-0000AB500000}"/>
    <cellStyle name="Note 2 6 3" xfId="20751" xr:uid="{00000000-0005-0000-0000-0000AC500000}"/>
    <cellStyle name="Note 2 7" xfId="8393" xr:uid="{00000000-0005-0000-0000-0000AD500000}"/>
    <cellStyle name="Note 2 7 2" xfId="20752" xr:uid="{00000000-0005-0000-0000-0000AE500000}"/>
    <cellStyle name="Note 2 8" xfId="14430" xr:uid="{00000000-0005-0000-0000-0000AF500000}"/>
    <cellStyle name="Note 2 9" xfId="20717" xr:uid="{00000000-0005-0000-0000-0000B0500000}"/>
    <cellStyle name="Note 3" xfId="8394" xr:uid="{00000000-0005-0000-0000-0000B1500000}"/>
    <cellStyle name="Note 3 2" xfId="8395" xr:uid="{00000000-0005-0000-0000-0000B2500000}"/>
    <cellStyle name="Note 3 2 2" xfId="8396" xr:uid="{00000000-0005-0000-0000-0000B3500000}"/>
    <cellStyle name="Note 3 2 2 2" xfId="8397" xr:uid="{00000000-0005-0000-0000-0000B4500000}"/>
    <cellStyle name="Note 3 2 2 2 2" xfId="14465" xr:uid="{00000000-0005-0000-0000-0000B5500000}"/>
    <cellStyle name="Note 3 2 2 2 3" xfId="20756" xr:uid="{00000000-0005-0000-0000-0000B6500000}"/>
    <cellStyle name="Note 3 2 2 3" xfId="8398" xr:uid="{00000000-0005-0000-0000-0000B7500000}"/>
    <cellStyle name="Note 3 2 2 3 2" xfId="14466" xr:uid="{00000000-0005-0000-0000-0000B8500000}"/>
    <cellStyle name="Note 3 2 2 3 3" xfId="20757" xr:uid="{00000000-0005-0000-0000-0000B9500000}"/>
    <cellStyle name="Note 3 2 2 4" xfId="8399" xr:uid="{00000000-0005-0000-0000-0000BA500000}"/>
    <cellStyle name="Note 3 2 2 4 2" xfId="14467" xr:uid="{00000000-0005-0000-0000-0000BB500000}"/>
    <cellStyle name="Note 3 2 2 4 3" xfId="20758" xr:uid="{00000000-0005-0000-0000-0000BC500000}"/>
    <cellStyle name="Note 3 2 2 5" xfId="8400" xr:uid="{00000000-0005-0000-0000-0000BD500000}"/>
    <cellStyle name="Note 3 2 2 5 2" xfId="14468" xr:uid="{00000000-0005-0000-0000-0000BE500000}"/>
    <cellStyle name="Note 3 2 2 5 3" xfId="20759" xr:uid="{00000000-0005-0000-0000-0000BF500000}"/>
    <cellStyle name="Note 3 2 2 6" xfId="14464" xr:uid="{00000000-0005-0000-0000-0000C0500000}"/>
    <cellStyle name="Note 3 2 2 7" xfId="20755" xr:uid="{00000000-0005-0000-0000-0000C1500000}"/>
    <cellStyle name="Note 3 2 3" xfId="8401" xr:uid="{00000000-0005-0000-0000-0000C2500000}"/>
    <cellStyle name="Note 3 2 3 2" xfId="8402" xr:uid="{00000000-0005-0000-0000-0000C3500000}"/>
    <cellStyle name="Note 3 2 3 2 2" xfId="14470" xr:uid="{00000000-0005-0000-0000-0000C4500000}"/>
    <cellStyle name="Note 3 2 3 2 3" xfId="20761" xr:uid="{00000000-0005-0000-0000-0000C5500000}"/>
    <cellStyle name="Note 3 2 3 3" xfId="8403" xr:uid="{00000000-0005-0000-0000-0000C6500000}"/>
    <cellStyle name="Note 3 2 3 3 2" xfId="14471" xr:uid="{00000000-0005-0000-0000-0000C7500000}"/>
    <cellStyle name="Note 3 2 3 3 3" xfId="20762" xr:uid="{00000000-0005-0000-0000-0000C8500000}"/>
    <cellStyle name="Note 3 2 3 4" xfId="8404" xr:uid="{00000000-0005-0000-0000-0000C9500000}"/>
    <cellStyle name="Note 3 2 3 4 2" xfId="14472" xr:uid="{00000000-0005-0000-0000-0000CA500000}"/>
    <cellStyle name="Note 3 2 3 4 3" xfId="20763" xr:uid="{00000000-0005-0000-0000-0000CB500000}"/>
    <cellStyle name="Note 3 2 3 5" xfId="8405" xr:uid="{00000000-0005-0000-0000-0000CC500000}"/>
    <cellStyle name="Note 3 2 3 5 2" xfId="14473" xr:uid="{00000000-0005-0000-0000-0000CD500000}"/>
    <cellStyle name="Note 3 2 3 5 3" xfId="20764" xr:uid="{00000000-0005-0000-0000-0000CE500000}"/>
    <cellStyle name="Note 3 2 3 6" xfId="14469" xr:uid="{00000000-0005-0000-0000-0000CF500000}"/>
    <cellStyle name="Note 3 2 3 7" xfId="20760" xr:uid="{00000000-0005-0000-0000-0000D0500000}"/>
    <cellStyle name="Note 3 2 4" xfId="8406" xr:uid="{00000000-0005-0000-0000-0000D1500000}"/>
    <cellStyle name="Note 3 2 4 2" xfId="20765" xr:uid="{00000000-0005-0000-0000-0000D2500000}"/>
    <cellStyle name="Note 3 2 5" xfId="14463" xr:uid="{00000000-0005-0000-0000-0000D3500000}"/>
    <cellStyle name="Note 3 2 6" xfId="20754" xr:uid="{00000000-0005-0000-0000-0000D4500000}"/>
    <cellStyle name="Note 3 3" xfId="8407" xr:uid="{00000000-0005-0000-0000-0000D5500000}"/>
    <cellStyle name="Note 3 3 2" xfId="8408" xr:uid="{00000000-0005-0000-0000-0000D6500000}"/>
    <cellStyle name="Note 3 3 2 2" xfId="8409" xr:uid="{00000000-0005-0000-0000-0000D7500000}"/>
    <cellStyle name="Note 3 3 2 2 2" xfId="14476" xr:uid="{00000000-0005-0000-0000-0000D8500000}"/>
    <cellStyle name="Note 3 3 2 2 3" xfId="20768" xr:uid="{00000000-0005-0000-0000-0000D9500000}"/>
    <cellStyle name="Note 3 3 2 3" xfId="8410" xr:uid="{00000000-0005-0000-0000-0000DA500000}"/>
    <cellStyle name="Note 3 3 2 3 2" xfId="14477" xr:uid="{00000000-0005-0000-0000-0000DB500000}"/>
    <cellStyle name="Note 3 3 2 3 3" xfId="20769" xr:uid="{00000000-0005-0000-0000-0000DC500000}"/>
    <cellStyle name="Note 3 3 2 4" xfId="8411" xr:uid="{00000000-0005-0000-0000-0000DD500000}"/>
    <cellStyle name="Note 3 3 2 4 2" xfId="14478" xr:uid="{00000000-0005-0000-0000-0000DE500000}"/>
    <cellStyle name="Note 3 3 2 4 3" xfId="20770" xr:uid="{00000000-0005-0000-0000-0000DF500000}"/>
    <cellStyle name="Note 3 3 2 5" xfId="8412" xr:uid="{00000000-0005-0000-0000-0000E0500000}"/>
    <cellStyle name="Note 3 3 2 5 2" xfId="14479" xr:uid="{00000000-0005-0000-0000-0000E1500000}"/>
    <cellStyle name="Note 3 3 2 5 3" xfId="20771" xr:uid="{00000000-0005-0000-0000-0000E2500000}"/>
    <cellStyle name="Note 3 3 2 6" xfId="14475" xr:uid="{00000000-0005-0000-0000-0000E3500000}"/>
    <cellStyle name="Note 3 3 2 7" xfId="20767" xr:uid="{00000000-0005-0000-0000-0000E4500000}"/>
    <cellStyle name="Note 3 3 3" xfId="8413" xr:uid="{00000000-0005-0000-0000-0000E5500000}"/>
    <cellStyle name="Note 3 3 3 2" xfId="14480" xr:uid="{00000000-0005-0000-0000-0000E6500000}"/>
    <cellStyle name="Note 3 3 3 3" xfId="20772" xr:uid="{00000000-0005-0000-0000-0000E7500000}"/>
    <cellStyle name="Note 3 3 4" xfId="8414" xr:uid="{00000000-0005-0000-0000-0000E8500000}"/>
    <cellStyle name="Note 3 3 4 2" xfId="20773" xr:uid="{00000000-0005-0000-0000-0000E9500000}"/>
    <cellStyle name="Note 3 3 5" xfId="14474" xr:uid="{00000000-0005-0000-0000-0000EA500000}"/>
    <cellStyle name="Note 3 3 6" xfId="20766" xr:uid="{00000000-0005-0000-0000-0000EB500000}"/>
    <cellStyle name="Note 3 4" xfId="8415" xr:uid="{00000000-0005-0000-0000-0000EC500000}"/>
    <cellStyle name="Note 3 4 2" xfId="8416" xr:uid="{00000000-0005-0000-0000-0000ED500000}"/>
    <cellStyle name="Note 3 4 2 2" xfId="8417" xr:uid="{00000000-0005-0000-0000-0000EE500000}"/>
    <cellStyle name="Note 3 4 2 2 2" xfId="14483" xr:uid="{00000000-0005-0000-0000-0000EF500000}"/>
    <cellStyle name="Note 3 4 2 2 3" xfId="20776" xr:uid="{00000000-0005-0000-0000-0000F0500000}"/>
    <cellStyle name="Note 3 4 2 3" xfId="8418" xr:uid="{00000000-0005-0000-0000-0000F1500000}"/>
    <cellStyle name="Note 3 4 2 3 2" xfId="14484" xr:uid="{00000000-0005-0000-0000-0000F2500000}"/>
    <cellStyle name="Note 3 4 2 3 3" xfId="20777" xr:uid="{00000000-0005-0000-0000-0000F3500000}"/>
    <cellStyle name="Note 3 4 2 4" xfId="8419" xr:uid="{00000000-0005-0000-0000-0000F4500000}"/>
    <cellStyle name="Note 3 4 2 4 2" xfId="14485" xr:uid="{00000000-0005-0000-0000-0000F5500000}"/>
    <cellStyle name="Note 3 4 2 4 3" xfId="20778" xr:uid="{00000000-0005-0000-0000-0000F6500000}"/>
    <cellStyle name="Note 3 4 2 5" xfId="8420" xr:uid="{00000000-0005-0000-0000-0000F7500000}"/>
    <cellStyle name="Note 3 4 2 5 2" xfId="14486" xr:uid="{00000000-0005-0000-0000-0000F8500000}"/>
    <cellStyle name="Note 3 4 2 5 3" xfId="20779" xr:uid="{00000000-0005-0000-0000-0000F9500000}"/>
    <cellStyle name="Note 3 4 2 6" xfId="14482" xr:uid="{00000000-0005-0000-0000-0000FA500000}"/>
    <cellStyle name="Note 3 4 2 7" xfId="20775" xr:uid="{00000000-0005-0000-0000-0000FB500000}"/>
    <cellStyle name="Note 3 4 3" xfId="8421" xr:uid="{00000000-0005-0000-0000-0000FC500000}"/>
    <cellStyle name="Note 3 4 3 2" xfId="14487" xr:uid="{00000000-0005-0000-0000-0000FD500000}"/>
    <cellStyle name="Note 3 4 3 3" xfId="20780" xr:uid="{00000000-0005-0000-0000-0000FE500000}"/>
    <cellStyle name="Note 3 4 4" xfId="8422" xr:uid="{00000000-0005-0000-0000-0000FF500000}"/>
    <cellStyle name="Note 3 4 4 2" xfId="20781" xr:uid="{00000000-0005-0000-0000-000000510000}"/>
    <cellStyle name="Note 3 4 5" xfId="14481" xr:uid="{00000000-0005-0000-0000-000001510000}"/>
    <cellStyle name="Note 3 4 6" xfId="20774" xr:uid="{00000000-0005-0000-0000-000002510000}"/>
    <cellStyle name="Note 3 5" xfId="8423" xr:uid="{00000000-0005-0000-0000-000003510000}"/>
    <cellStyle name="Note 3 5 2" xfId="8424" xr:uid="{00000000-0005-0000-0000-000004510000}"/>
    <cellStyle name="Note 3 5 2 2" xfId="14489" xr:uid="{00000000-0005-0000-0000-000005510000}"/>
    <cellStyle name="Note 3 5 2 3" xfId="20783" xr:uid="{00000000-0005-0000-0000-000006510000}"/>
    <cellStyle name="Note 3 5 3" xfId="8425" xr:uid="{00000000-0005-0000-0000-000007510000}"/>
    <cellStyle name="Note 3 5 3 2" xfId="14490" xr:uid="{00000000-0005-0000-0000-000008510000}"/>
    <cellStyle name="Note 3 5 3 3" xfId="20784" xr:uid="{00000000-0005-0000-0000-000009510000}"/>
    <cellStyle name="Note 3 5 4" xfId="8426" xr:uid="{00000000-0005-0000-0000-00000A510000}"/>
    <cellStyle name="Note 3 5 4 2" xfId="14491" xr:uid="{00000000-0005-0000-0000-00000B510000}"/>
    <cellStyle name="Note 3 5 4 3" xfId="20785" xr:uid="{00000000-0005-0000-0000-00000C510000}"/>
    <cellStyle name="Note 3 5 5" xfId="8427" xr:uid="{00000000-0005-0000-0000-00000D510000}"/>
    <cellStyle name="Note 3 5 5 2" xfId="14492" xr:uid="{00000000-0005-0000-0000-00000E510000}"/>
    <cellStyle name="Note 3 5 5 3" xfId="20786" xr:uid="{00000000-0005-0000-0000-00000F510000}"/>
    <cellStyle name="Note 3 5 6" xfId="14488" xr:uid="{00000000-0005-0000-0000-000010510000}"/>
    <cellStyle name="Note 3 5 7" xfId="20782" xr:uid="{00000000-0005-0000-0000-000011510000}"/>
    <cellStyle name="Note 3 6" xfId="8428" xr:uid="{00000000-0005-0000-0000-000012510000}"/>
    <cellStyle name="Note 3 6 2" xfId="14493" xr:uid="{00000000-0005-0000-0000-000013510000}"/>
    <cellStyle name="Note 3 6 3" xfId="20787" xr:uid="{00000000-0005-0000-0000-000014510000}"/>
    <cellStyle name="Note 3 7" xfId="8429" xr:uid="{00000000-0005-0000-0000-000015510000}"/>
    <cellStyle name="Note 3 7 2" xfId="20788" xr:uid="{00000000-0005-0000-0000-000016510000}"/>
    <cellStyle name="Note 3 8" xfId="14462" xr:uid="{00000000-0005-0000-0000-000017510000}"/>
    <cellStyle name="Note 3 9" xfId="20753" xr:uid="{00000000-0005-0000-0000-000018510000}"/>
    <cellStyle name="Note 4" xfId="8430" xr:uid="{00000000-0005-0000-0000-000019510000}"/>
    <cellStyle name="Note 4 2" xfId="8431" xr:uid="{00000000-0005-0000-0000-00001A510000}"/>
    <cellStyle name="Note 4 2 2" xfId="14495" xr:uid="{00000000-0005-0000-0000-00001B510000}"/>
    <cellStyle name="Note 4 2 3" xfId="20790" xr:uid="{00000000-0005-0000-0000-00001C510000}"/>
    <cellStyle name="Note 4 3" xfId="8432" xr:uid="{00000000-0005-0000-0000-00001D510000}"/>
    <cellStyle name="Note 4 3 2" xfId="8433" xr:uid="{00000000-0005-0000-0000-00001E510000}"/>
    <cellStyle name="Note 4 3 2 2" xfId="14497" xr:uid="{00000000-0005-0000-0000-00001F510000}"/>
    <cellStyle name="Note 4 3 2 3" xfId="20792" xr:uid="{00000000-0005-0000-0000-000020510000}"/>
    <cellStyle name="Note 4 3 3" xfId="8434" xr:uid="{00000000-0005-0000-0000-000021510000}"/>
    <cellStyle name="Note 4 3 3 2" xfId="14498" xr:uid="{00000000-0005-0000-0000-000022510000}"/>
    <cellStyle name="Note 4 3 3 3" xfId="20793" xr:uid="{00000000-0005-0000-0000-000023510000}"/>
    <cellStyle name="Note 4 3 4" xfId="8435" xr:uid="{00000000-0005-0000-0000-000024510000}"/>
    <cellStyle name="Note 4 3 4 2" xfId="14499" xr:uid="{00000000-0005-0000-0000-000025510000}"/>
    <cellStyle name="Note 4 3 4 3" xfId="20794" xr:uid="{00000000-0005-0000-0000-000026510000}"/>
    <cellStyle name="Note 4 3 5" xfId="8436" xr:uid="{00000000-0005-0000-0000-000027510000}"/>
    <cellStyle name="Note 4 3 5 2" xfId="14500" xr:uid="{00000000-0005-0000-0000-000028510000}"/>
    <cellStyle name="Note 4 3 5 3" xfId="20795" xr:uid="{00000000-0005-0000-0000-000029510000}"/>
    <cellStyle name="Note 4 3 6" xfId="14496" xr:uid="{00000000-0005-0000-0000-00002A510000}"/>
    <cellStyle name="Note 4 3 7" xfId="20791" xr:uid="{00000000-0005-0000-0000-00002B510000}"/>
    <cellStyle name="Note 4 4" xfId="8437" xr:uid="{00000000-0005-0000-0000-00002C510000}"/>
    <cellStyle name="Note 4 4 2" xfId="14501" xr:uid="{00000000-0005-0000-0000-00002D510000}"/>
    <cellStyle name="Note 4 4 3" xfId="20796" xr:uid="{00000000-0005-0000-0000-00002E510000}"/>
    <cellStyle name="Note 4 5" xfId="8438" xr:uid="{00000000-0005-0000-0000-00002F510000}"/>
    <cellStyle name="Note 4 5 2" xfId="14502" xr:uid="{00000000-0005-0000-0000-000030510000}"/>
    <cellStyle name="Note 4 5 3" xfId="20797" xr:uid="{00000000-0005-0000-0000-000031510000}"/>
    <cellStyle name="Note 4 6" xfId="8439" xr:uid="{00000000-0005-0000-0000-000032510000}"/>
    <cellStyle name="Note 4 6 2" xfId="20798" xr:uid="{00000000-0005-0000-0000-000033510000}"/>
    <cellStyle name="Note 4 7" xfId="14494" xr:uid="{00000000-0005-0000-0000-000034510000}"/>
    <cellStyle name="Note 4 8" xfId="20789" xr:uid="{00000000-0005-0000-0000-000035510000}"/>
    <cellStyle name="Note 5" xfId="8440" xr:uid="{00000000-0005-0000-0000-000036510000}"/>
    <cellStyle name="Note 5 2" xfId="8441" xr:uid="{00000000-0005-0000-0000-000037510000}"/>
    <cellStyle name="Note 5 2 2" xfId="8442" xr:uid="{00000000-0005-0000-0000-000038510000}"/>
    <cellStyle name="Note 5 2 2 2" xfId="14505" xr:uid="{00000000-0005-0000-0000-000039510000}"/>
    <cellStyle name="Note 5 2 2 3" xfId="20801" xr:uid="{00000000-0005-0000-0000-00003A510000}"/>
    <cellStyle name="Note 5 2 3" xfId="8443" xr:uid="{00000000-0005-0000-0000-00003B510000}"/>
    <cellStyle name="Note 5 2 3 2" xfId="14506" xr:uid="{00000000-0005-0000-0000-00003C510000}"/>
    <cellStyle name="Note 5 2 3 3" xfId="20802" xr:uid="{00000000-0005-0000-0000-00003D510000}"/>
    <cellStyle name="Note 5 2 4" xfId="8444" xr:uid="{00000000-0005-0000-0000-00003E510000}"/>
    <cellStyle name="Note 5 2 4 2" xfId="14507" xr:uid="{00000000-0005-0000-0000-00003F510000}"/>
    <cellStyle name="Note 5 2 4 3" xfId="20803" xr:uid="{00000000-0005-0000-0000-000040510000}"/>
    <cellStyle name="Note 5 2 5" xfId="8445" xr:uid="{00000000-0005-0000-0000-000041510000}"/>
    <cellStyle name="Note 5 2 5 2" xfId="14508" xr:uid="{00000000-0005-0000-0000-000042510000}"/>
    <cellStyle name="Note 5 2 5 3" xfId="20804" xr:uid="{00000000-0005-0000-0000-000043510000}"/>
    <cellStyle name="Note 5 2 6" xfId="14504" xr:uid="{00000000-0005-0000-0000-000044510000}"/>
    <cellStyle name="Note 5 2 7" xfId="20800" xr:uid="{00000000-0005-0000-0000-000045510000}"/>
    <cellStyle name="Note 5 3" xfId="14503" xr:uid="{00000000-0005-0000-0000-000046510000}"/>
    <cellStyle name="Note 5 4" xfId="20799" xr:uid="{00000000-0005-0000-0000-000047510000}"/>
    <cellStyle name="Note 6" xfId="8446" xr:uid="{00000000-0005-0000-0000-000048510000}"/>
    <cellStyle name="Note 6 2" xfId="14509" xr:uid="{00000000-0005-0000-0000-000049510000}"/>
    <cellStyle name="Note 6 3" xfId="20805" xr:uid="{00000000-0005-0000-0000-00004A510000}"/>
    <cellStyle name="Notes" xfId="8447" xr:uid="{00000000-0005-0000-0000-00004B510000}"/>
    <cellStyle name="Notes 2" xfId="8448" xr:uid="{00000000-0005-0000-0000-00004C510000}"/>
    <cellStyle name="Notes 2 2" xfId="20807" xr:uid="{00000000-0005-0000-0000-00004D510000}"/>
    <cellStyle name="Notes 3" xfId="14510" xr:uid="{00000000-0005-0000-0000-00004E510000}"/>
    <cellStyle name="Notes 4" xfId="20806" xr:uid="{00000000-0005-0000-0000-00004F510000}"/>
    <cellStyle name="Output 2" xfId="8449" xr:uid="{00000000-0005-0000-0000-000050510000}"/>
    <cellStyle name="Output 2 2" xfId="8450" xr:uid="{00000000-0005-0000-0000-000051510000}"/>
    <cellStyle name="Output 2 2 2" xfId="8451" xr:uid="{00000000-0005-0000-0000-000052510000}"/>
    <cellStyle name="Output 2 2 2 2" xfId="8452" xr:uid="{00000000-0005-0000-0000-000053510000}"/>
    <cellStyle name="Output 2 2 2 2 2" xfId="8453" xr:uid="{00000000-0005-0000-0000-000054510000}"/>
    <cellStyle name="Output 2 2 2 2 2 2" xfId="14516" xr:uid="{00000000-0005-0000-0000-000055510000}"/>
    <cellStyle name="Output 2 2 2 2 2 3" xfId="20812" xr:uid="{00000000-0005-0000-0000-000056510000}"/>
    <cellStyle name="Output 2 2 2 2 3" xfId="8454" xr:uid="{00000000-0005-0000-0000-000057510000}"/>
    <cellStyle name="Output 2 2 2 2 3 2" xfId="14517" xr:uid="{00000000-0005-0000-0000-000058510000}"/>
    <cellStyle name="Output 2 2 2 2 3 3" xfId="20813" xr:uid="{00000000-0005-0000-0000-000059510000}"/>
    <cellStyle name="Output 2 2 2 2 4" xfId="8455" xr:uid="{00000000-0005-0000-0000-00005A510000}"/>
    <cellStyle name="Output 2 2 2 2 4 2" xfId="14518" xr:uid="{00000000-0005-0000-0000-00005B510000}"/>
    <cellStyle name="Output 2 2 2 2 4 3" xfId="20814" xr:uid="{00000000-0005-0000-0000-00005C510000}"/>
    <cellStyle name="Output 2 2 2 2 5" xfId="8456" xr:uid="{00000000-0005-0000-0000-00005D510000}"/>
    <cellStyle name="Output 2 2 2 2 5 2" xfId="14519" xr:uid="{00000000-0005-0000-0000-00005E510000}"/>
    <cellStyle name="Output 2 2 2 2 5 3" xfId="20815" xr:uid="{00000000-0005-0000-0000-00005F510000}"/>
    <cellStyle name="Output 2 2 2 2 6" xfId="14515" xr:uid="{00000000-0005-0000-0000-000060510000}"/>
    <cellStyle name="Output 2 2 2 2 7" xfId="20811" xr:uid="{00000000-0005-0000-0000-000061510000}"/>
    <cellStyle name="Output 2 2 2 3" xfId="8457" xr:uid="{00000000-0005-0000-0000-000062510000}"/>
    <cellStyle name="Output 2 2 2 3 2" xfId="14520" xr:uid="{00000000-0005-0000-0000-000063510000}"/>
    <cellStyle name="Output 2 2 2 3 3" xfId="20816" xr:uid="{00000000-0005-0000-0000-000064510000}"/>
    <cellStyle name="Output 2 2 2 4" xfId="14514" xr:uid="{00000000-0005-0000-0000-000065510000}"/>
    <cellStyle name="Output 2 2 2 5" xfId="20810" xr:uid="{00000000-0005-0000-0000-000066510000}"/>
    <cellStyle name="Output 2 2 3" xfId="8458" xr:uid="{00000000-0005-0000-0000-000067510000}"/>
    <cellStyle name="Output 2 2 3 2" xfId="8459" xr:uid="{00000000-0005-0000-0000-000068510000}"/>
    <cellStyle name="Output 2 2 3 2 2" xfId="14522" xr:uid="{00000000-0005-0000-0000-000069510000}"/>
    <cellStyle name="Output 2 2 3 2 3" xfId="20818" xr:uid="{00000000-0005-0000-0000-00006A510000}"/>
    <cellStyle name="Output 2 2 3 3" xfId="8460" xr:uid="{00000000-0005-0000-0000-00006B510000}"/>
    <cellStyle name="Output 2 2 3 3 2" xfId="14523" xr:uid="{00000000-0005-0000-0000-00006C510000}"/>
    <cellStyle name="Output 2 2 3 3 3" xfId="20819" xr:uid="{00000000-0005-0000-0000-00006D510000}"/>
    <cellStyle name="Output 2 2 3 4" xfId="8461" xr:uid="{00000000-0005-0000-0000-00006E510000}"/>
    <cellStyle name="Output 2 2 3 4 2" xfId="14524" xr:uid="{00000000-0005-0000-0000-00006F510000}"/>
    <cellStyle name="Output 2 2 3 4 3" xfId="20820" xr:uid="{00000000-0005-0000-0000-000070510000}"/>
    <cellStyle name="Output 2 2 3 5" xfId="8462" xr:uid="{00000000-0005-0000-0000-000071510000}"/>
    <cellStyle name="Output 2 2 3 5 2" xfId="14525" xr:uid="{00000000-0005-0000-0000-000072510000}"/>
    <cellStyle name="Output 2 2 3 5 3" xfId="20821" xr:uid="{00000000-0005-0000-0000-000073510000}"/>
    <cellStyle name="Output 2 2 3 6" xfId="14521" xr:uid="{00000000-0005-0000-0000-000074510000}"/>
    <cellStyle name="Output 2 2 3 7" xfId="20817" xr:uid="{00000000-0005-0000-0000-000075510000}"/>
    <cellStyle name="Output 2 2 4" xfId="8463" xr:uid="{00000000-0005-0000-0000-000076510000}"/>
    <cellStyle name="Output 2 2 4 2" xfId="14526" xr:uid="{00000000-0005-0000-0000-000077510000}"/>
    <cellStyle name="Output 2 2 4 3" xfId="20822" xr:uid="{00000000-0005-0000-0000-000078510000}"/>
    <cellStyle name="Output 2 2 5" xfId="8464" xr:uid="{00000000-0005-0000-0000-000079510000}"/>
    <cellStyle name="Output 2 2 5 2" xfId="20823" xr:uid="{00000000-0005-0000-0000-00007A510000}"/>
    <cellStyle name="Output 2 2 6" xfId="14513" xr:uid="{00000000-0005-0000-0000-00007B510000}"/>
    <cellStyle name="Output 2 2 7" xfId="20809" xr:uid="{00000000-0005-0000-0000-00007C510000}"/>
    <cellStyle name="Output 2 3" xfId="8465" xr:uid="{00000000-0005-0000-0000-00007D510000}"/>
    <cellStyle name="Output 2 3 2" xfId="8466" xr:uid="{00000000-0005-0000-0000-00007E510000}"/>
    <cellStyle name="Output 2 3 2 2" xfId="8467" xr:uid="{00000000-0005-0000-0000-00007F510000}"/>
    <cellStyle name="Output 2 3 2 2 2" xfId="14529" xr:uid="{00000000-0005-0000-0000-000080510000}"/>
    <cellStyle name="Output 2 3 2 2 3" xfId="20826" xr:uid="{00000000-0005-0000-0000-000081510000}"/>
    <cellStyle name="Output 2 3 2 3" xfId="8468" xr:uid="{00000000-0005-0000-0000-000082510000}"/>
    <cellStyle name="Output 2 3 2 3 2" xfId="14530" xr:uid="{00000000-0005-0000-0000-000083510000}"/>
    <cellStyle name="Output 2 3 2 3 3" xfId="20827" xr:uid="{00000000-0005-0000-0000-000084510000}"/>
    <cellStyle name="Output 2 3 2 4" xfId="8469" xr:uid="{00000000-0005-0000-0000-000085510000}"/>
    <cellStyle name="Output 2 3 2 4 2" xfId="14531" xr:uid="{00000000-0005-0000-0000-000086510000}"/>
    <cellStyle name="Output 2 3 2 4 3" xfId="20828" xr:uid="{00000000-0005-0000-0000-000087510000}"/>
    <cellStyle name="Output 2 3 2 5" xfId="8470" xr:uid="{00000000-0005-0000-0000-000088510000}"/>
    <cellStyle name="Output 2 3 2 5 2" xfId="14532" xr:uid="{00000000-0005-0000-0000-000089510000}"/>
    <cellStyle name="Output 2 3 2 5 3" xfId="20829" xr:uid="{00000000-0005-0000-0000-00008A510000}"/>
    <cellStyle name="Output 2 3 2 6" xfId="14528" xr:uid="{00000000-0005-0000-0000-00008B510000}"/>
    <cellStyle name="Output 2 3 2 7" xfId="20825" xr:uid="{00000000-0005-0000-0000-00008C510000}"/>
    <cellStyle name="Output 2 3 3" xfId="8471" xr:uid="{00000000-0005-0000-0000-00008D510000}"/>
    <cellStyle name="Output 2 3 3 2" xfId="14533" xr:uid="{00000000-0005-0000-0000-00008E510000}"/>
    <cellStyle name="Output 2 3 3 3" xfId="20830" xr:uid="{00000000-0005-0000-0000-00008F510000}"/>
    <cellStyle name="Output 2 3 4" xfId="8472" xr:uid="{00000000-0005-0000-0000-000090510000}"/>
    <cellStyle name="Output 2 3 4 2" xfId="20831" xr:uid="{00000000-0005-0000-0000-000091510000}"/>
    <cellStyle name="Output 2 3 5" xfId="14527" xr:uid="{00000000-0005-0000-0000-000092510000}"/>
    <cellStyle name="Output 2 3 6" xfId="20824" xr:uid="{00000000-0005-0000-0000-000093510000}"/>
    <cellStyle name="Output 2 4" xfId="8473" xr:uid="{00000000-0005-0000-0000-000094510000}"/>
    <cellStyle name="Output 2 4 2" xfId="8474" xr:uid="{00000000-0005-0000-0000-000095510000}"/>
    <cellStyle name="Output 2 4 2 2" xfId="14535" xr:uid="{00000000-0005-0000-0000-000096510000}"/>
    <cellStyle name="Output 2 4 2 3" xfId="20833" xr:uid="{00000000-0005-0000-0000-000097510000}"/>
    <cellStyle name="Output 2 4 3" xfId="8475" xr:uid="{00000000-0005-0000-0000-000098510000}"/>
    <cellStyle name="Output 2 4 3 2" xfId="14536" xr:uid="{00000000-0005-0000-0000-000099510000}"/>
    <cellStyle name="Output 2 4 3 3" xfId="20834" xr:uid="{00000000-0005-0000-0000-00009A510000}"/>
    <cellStyle name="Output 2 4 4" xfId="8476" xr:uid="{00000000-0005-0000-0000-00009B510000}"/>
    <cellStyle name="Output 2 4 4 2" xfId="14537" xr:uid="{00000000-0005-0000-0000-00009C510000}"/>
    <cellStyle name="Output 2 4 4 3" xfId="20835" xr:uid="{00000000-0005-0000-0000-00009D510000}"/>
    <cellStyle name="Output 2 4 5" xfId="8477" xr:uid="{00000000-0005-0000-0000-00009E510000}"/>
    <cellStyle name="Output 2 4 5 2" xfId="14538" xr:uid="{00000000-0005-0000-0000-00009F510000}"/>
    <cellStyle name="Output 2 4 5 3" xfId="20836" xr:uid="{00000000-0005-0000-0000-0000A0510000}"/>
    <cellStyle name="Output 2 4 6" xfId="14534" xr:uid="{00000000-0005-0000-0000-0000A1510000}"/>
    <cellStyle name="Output 2 4 7" xfId="20832" xr:uid="{00000000-0005-0000-0000-0000A2510000}"/>
    <cellStyle name="Output 2 5" xfId="8478" xr:uid="{00000000-0005-0000-0000-0000A3510000}"/>
    <cellStyle name="Output 2 5 2" xfId="14539" xr:uid="{00000000-0005-0000-0000-0000A4510000}"/>
    <cellStyle name="Output 2 5 3" xfId="20837" xr:uid="{00000000-0005-0000-0000-0000A5510000}"/>
    <cellStyle name="Output 2 6" xfId="8479" xr:uid="{00000000-0005-0000-0000-0000A6510000}"/>
    <cellStyle name="Output 2 6 2" xfId="20838" xr:uid="{00000000-0005-0000-0000-0000A7510000}"/>
    <cellStyle name="Output 2 7" xfId="14512" xr:uid="{00000000-0005-0000-0000-0000A8510000}"/>
    <cellStyle name="Output 2 8" xfId="20808" xr:uid="{00000000-0005-0000-0000-0000A9510000}"/>
    <cellStyle name="Output 3" xfId="8480" xr:uid="{00000000-0005-0000-0000-0000AA510000}"/>
    <cellStyle name="Output 3 2" xfId="8481" xr:uid="{00000000-0005-0000-0000-0000AB510000}"/>
    <cellStyle name="Output 3 2 2" xfId="8482" xr:uid="{00000000-0005-0000-0000-0000AC510000}"/>
    <cellStyle name="Output 3 2 2 2" xfId="8483" xr:uid="{00000000-0005-0000-0000-0000AD510000}"/>
    <cellStyle name="Output 3 2 2 2 2" xfId="14543" xr:uid="{00000000-0005-0000-0000-0000AE510000}"/>
    <cellStyle name="Output 3 2 2 2 3" xfId="20842" xr:uid="{00000000-0005-0000-0000-0000AF510000}"/>
    <cellStyle name="Output 3 2 2 3" xfId="8484" xr:uid="{00000000-0005-0000-0000-0000B0510000}"/>
    <cellStyle name="Output 3 2 2 3 2" xfId="14544" xr:uid="{00000000-0005-0000-0000-0000B1510000}"/>
    <cellStyle name="Output 3 2 2 3 3" xfId="20843" xr:uid="{00000000-0005-0000-0000-0000B2510000}"/>
    <cellStyle name="Output 3 2 2 4" xfId="8485" xr:uid="{00000000-0005-0000-0000-0000B3510000}"/>
    <cellStyle name="Output 3 2 2 4 2" xfId="14545" xr:uid="{00000000-0005-0000-0000-0000B4510000}"/>
    <cellStyle name="Output 3 2 2 4 3" xfId="20844" xr:uid="{00000000-0005-0000-0000-0000B5510000}"/>
    <cellStyle name="Output 3 2 2 5" xfId="8486" xr:uid="{00000000-0005-0000-0000-0000B6510000}"/>
    <cellStyle name="Output 3 2 2 5 2" xfId="14546" xr:uid="{00000000-0005-0000-0000-0000B7510000}"/>
    <cellStyle name="Output 3 2 2 5 3" xfId="20845" xr:uid="{00000000-0005-0000-0000-0000B8510000}"/>
    <cellStyle name="Output 3 2 2 6" xfId="14542" xr:uid="{00000000-0005-0000-0000-0000B9510000}"/>
    <cellStyle name="Output 3 2 2 7" xfId="20841" xr:uid="{00000000-0005-0000-0000-0000BA510000}"/>
    <cellStyle name="Output 3 2 3" xfId="8487" xr:uid="{00000000-0005-0000-0000-0000BB510000}"/>
    <cellStyle name="Output 3 2 3 2" xfId="14547" xr:uid="{00000000-0005-0000-0000-0000BC510000}"/>
    <cellStyle name="Output 3 2 3 3" xfId="20846" xr:uid="{00000000-0005-0000-0000-0000BD510000}"/>
    <cellStyle name="Output 3 2 4" xfId="8488" xr:uid="{00000000-0005-0000-0000-0000BE510000}"/>
    <cellStyle name="Output 3 2 4 2" xfId="20847" xr:uid="{00000000-0005-0000-0000-0000BF510000}"/>
    <cellStyle name="Output 3 2 5" xfId="14541" xr:uid="{00000000-0005-0000-0000-0000C0510000}"/>
    <cellStyle name="Output 3 2 6" xfId="20840" xr:uid="{00000000-0005-0000-0000-0000C1510000}"/>
    <cellStyle name="Output 3 3" xfId="8489" xr:uid="{00000000-0005-0000-0000-0000C2510000}"/>
    <cellStyle name="Output 3 3 2" xfId="8490" xr:uid="{00000000-0005-0000-0000-0000C3510000}"/>
    <cellStyle name="Output 3 3 2 2" xfId="14549" xr:uid="{00000000-0005-0000-0000-0000C4510000}"/>
    <cellStyle name="Output 3 3 2 3" xfId="20849" xr:uid="{00000000-0005-0000-0000-0000C5510000}"/>
    <cellStyle name="Output 3 3 3" xfId="8491" xr:uid="{00000000-0005-0000-0000-0000C6510000}"/>
    <cellStyle name="Output 3 3 3 2" xfId="14550" xr:uid="{00000000-0005-0000-0000-0000C7510000}"/>
    <cellStyle name="Output 3 3 3 3" xfId="20850" xr:uid="{00000000-0005-0000-0000-0000C8510000}"/>
    <cellStyle name="Output 3 3 4" xfId="8492" xr:uid="{00000000-0005-0000-0000-0000C9510000}"/>
    <cellStyle name="Output 3 3 4 2" xfId="14551" xr:uid="{00000000-0005-0000-0000-0000CA510000}"/>
    <cellStyle name="Output 3 3 4 3" xfId="20851" xr:uid="{00000000-0005-0000-0000-0000CB510000}"/>
    <cellStyle name="Output 3 3 5" xfId="8493" xr:uid="{00000000-0005-0000-0000-0000CC510000}"/>
    <cellStyle name="Output 3 3 5 2" xfId="14552" xr:uid="{00000000-0005-0000-0000-0000CD510000}"/>
    <cellStyle name="Output 3 3 5 3" xfId="20852" xr:uid="{00000000-0005-0000-0000-0000CE510000}"/>
    <cellStyle name="Output 3 3 6" xfId="8494" xr:uid="{00000000-0005-0000-0000-0000CF510000}"/>
    <cellStyle name="Output 3 3 6 2" xfId="20853" xr:uid="{00000000-0005-0000-0000-0000D0510000}"/>
    <cellStyle name="Output 3 3 7" xfId="14548" xr:uid="{00000000-0005-0000-0000-0000D1510000}"/>
    <cellStyle name="Output 3 3 8" xfId="20848" xr:uid="{00000000-0005-0000-0000-0000D2510000}"/>
    <cellStyle name="Output 3 4" xfId="8495" xr:uid="{00000000-0005-0000-0000-0000D3510000}"/>
    <cellStyle name="Output 3 4 2" xfId="8496" xr:uid="{00000000-0005-0000-0000-0000D4510000}"/>
    <cellStyle name="Output 3 4 2 2" xfId="14554" xr:uid="{00000000-0005-0000-0000-0000D5510000}"/>
    <cellStyle name="Output 3 4 2 3" xfId="20855" xr:uid="{00000000-0005-0000-0000-0000D6510000}"/>
    <cellStyle name="Output 3 4 3" xfId="8497" xr:uid="{00000000-0005-0000-0000-0000D7510000}"/>
    <cellStyle name="Output 3 4 3 2" xfId="14555" xr:uid="{00000000-0005-0000-0000-0000D8510000}"/>
    <cellStyle name="Output 3 4 3 3" xfId="20856" xr:uid="{00000000-0005-0000-0000-0000D9510000}"/>
    <cellStyle name="Output 3 4 4" xfId="8498" xr:uid="{00000000-0005-0000-0000-0000DA510000}"/>
    <cellStyle name="Output 3 4 4 2" xfId="14556" xr:uid="{00000000-0005-0000-0000-0000DB510000}"/>
    <cellStyle name="Output 3 4 4 3" xfId="20857" xr:uid="{00000000-0005-0000-0000-0000DC510000}"/>
    <cellStyle name="Output 3 4 5" xfId="8499" xr:uid="{00000000-0005-0000-0000-0000DD510000}"/>
    <cellStyle name="Output 3 4 5 2" xfId="14557" xr:uid="{00000000-0005-0000-0000-0000DE510000}"/>
    <cellStyle name="Output 3 4 5 3" xfId="20858" xr:uid="{00000000-0005-0000-0000-0000DF510000}"/>
    <cellStyle name="Output 3 4 6" xfId="14553" xr:uid="{00000000-0005-0000-0000-0000E0510000}"/>
    <cellStyle name="Output 3 4 7" xfId="20854" xr:uid="{00000000-0005-0000-0000-0000E1510000}"/>
    <cellStyle name="Output 3 5" xfId="8500" xr:uid="{00000000-0005-0000-0000-0000E2510000}"/>
    <cellStyle name="Output 3 5 2" xfId="14558" xr:uid="{00000000-0005-0000-0000-0000E3510000}"/>
    <cellStyle name="Output 3 5 3" xfId="20859" xr:uid="{00000000-0005-0000-0000-0000E4510000}"/>
    <cellStyle name="Output 3 6" xfId="8501" xr:uid="{00000000-0005-0000-0000-0000E5510000}"/>
    <cellStyle name="Output 3 6 2" xfId="20860" xr:uid="{00000000-0005-0000-0000-0000E6510000}"/>
    <cellStyle name="Output 3 7" xfId="14540" xr:uid="{00000000-0005-0000-0000-0000E7510000}"/>
    <cellStyle name="Output 3 8" xfId="20839" xr:uid="{00000000-0005-0000-0000-0000E8510000}"/>
    <cellStyle name="Output 4" xfId="8502" xr:uid="{00000000-0005-0000-0000-0000E9510000}"/>
    <cellStyle name="Output 4 2" xfId="14559" xr:uid="{00000000-0005-0000-0000-0000EA510000}"/>
    <cellStyle name="Output 4 3" xfId="20861" xr:uid="{00000000-0005-0000-0000-0000EB510000}"/>
    <cellStyle name="Output 5" xfId="8503" xr:uid="{00000000-0005-0000-0000-0000EC510000}"/>
    <cellStyle name="Output 5 2" xfId="20862" xr:uid="{00000000-0005-0000-0000-0000ED510000}"/>
    <cellStyle name="Output 6" xfId="14511" xr:uid="{00000000-0005-0000-0000-0000EE510000}"/>
    <cellStyle name="Percent" xfId="15197" builtinId="5"/>
    <cellStyle name="Percent 10" xfId="8504" xr:uid="{00000000-0005-0000-0000-0000F0510000}"/>
    <cellStyle name="Percent 10 2" xfId="8505" xr:uid="{00000000-0005-0000-0000-0000F1510000}"/>
    <cellStyle name="Percent 10 2 2" xfId="14561" xr:uid="{00000000-0005-0000-0000-0000F2510000}"/>
    <cellStyle name="Percent 10 2 3" xfId="20864" xr:uid="{00000000-0005-0000-0000-0000F3510000}"/>
    <cellStyle name="Percent 10 3" xfId="8506" xr:uid="{00000000-0005-0000-0000-0000F4510000}"/>
    <cellStyle name="Percent 10 3 2" xfId="14562" xr:uid="{00000000-0005-0000-0000-0000F5510000}"/>
    <cellStyle name="Percent 10 3 3" xfId="20865" xr:uid="{00000000-0005-0000-0000-0000F6510000}"/>
    <cellStyle name="Percent 10 4" xfId="8507" xr:uid="{00000000-0005-0000-0000-0000F7510000}"/>
    <cellStyle name="Percent 10 4 2" xfId="14563" xr:uid="{00000000-0005-0000-0000-0000F8510000}"/>
    <cellStyle name="Percent 10 4 3" xfId="20866" xr:uid="{00000000-0005-0000-0000-0000F9510000}"/>
    <cellStyle name="Percent 10 5" xfId="8508" xr:uid="{00000000-0005-0000-0000-0000FA510000}"/>
    <cellStyle name="Percent 10 5 2" xfId="20867" xr:uid="{00000000-0005-0000-0000-0000FB510000}"/>
    <cellStyle name="Percent 10 6" xfId="14560" xr:uid="{00000000-0005-0000-0000-0000FC510000}"/>
    <cellStyle name="Percent 10 7" xfId="20863" xr:uid="{00000000-0005-0000-0000-0000FD510000}"/>
    <cellStyle name="Percent 11" xfId="8509" xr:uid="{00000000-0005-0000-0000-0000FE510000}"/>
    <cellStyle name="Percent 11 2" xfId="8510" xr:uid="{00000000-0005-0000-0000-0000FF510000}"/>
    <cellStyle name="Percent 11 2 2" xfId="8511" xr:uid="{00000000-0005-0000-0000-000000520000}"/>
    <cellStyle name="Percent 11 2 2 2" xfId="14566" xr:uid="{00000000-0005-0000-0000-000001520000}"/>
    <cellStyle name="Percent 11 2 2 3" xfId="20870" xr:uid="{00000000-0005-0000-0000-000002520000}"/>
    <cellStyle name="Percent 11 2 3" xfId="14565" xr:uid="{00000000-0005-0000-0000-000003520000}"/>
    <cellStyle name="Percent 11 2 4" xfId="20869" xr:uid="{00000000-0005-0000-0000-000004520000}"/>
    <cellStyle name="Percent 11 3" xfId="8512" xr:uid="{00000000-0005-0000-0000-000005520000}"/>
    <cellStyle name="Percent 11 3 2" xfId="8513" xr:uid="{00000000-0005-0000-0000-000006520000}"/>
    <cellStyle name="Percent 11 3 2 2" xfId="14568" xr:uid="{00000000-0005-0000-0000-000007520000}"/>
    <cellStyle name="Percent 11 3 2 3" xfId="20872" xr:uid="{00000000-0005-0000-0000-000008520000}"/>
    <cellStyle name="Percent 11 3 3" xfId="14567" xr:uid="{00000000-0005-0000-0000-000009520000}"/>
    <cellStyle name="Percent 11 3 4" xfId="20871" xr:uid="{00000000-0005-0000-0000-00000A520000}"/>
    <cellStyle name="Percent 11 4" xfId="8514" xr:uid="{00000000-0005-0000-0000-00000B520000}"/>
    <cellStyle name="Percent 11 4 2" xfId="14569" xr:uid="{00000000-0005-0000-0000-00000C520000}"/>
    <cellStyle name="Percent 11 4 3" xfId="20873" xr:uid="{00000000-0005-0000-0000-00000D520000}"/>
    <cellStyle name="Percent 11 5" xfId="14564" xr:uid="{00000000-0005-0000-0000-00000E520000}"/>
    <cellStyle name="Percent 11 6" xfId="20868" xr:uid="{00000000-0005-0000-0000-00000F520000}"/>
    <cellStyle name="Percent 12" xfId="8515" xr:uid="{00000000-0005-0000-0000-000010520000}"/>
    <cellStyle name="Percent 12 2" xfId="14570" xr:uid="{00000000-0005-0000-0000-000011520000}"/>
    <cellStyle name="Percent 12 3" xfId="20874" xr:uid="{00000000-0005-0000-0000-000012520000}"/>
    <cellStyle name="Percent 13" xfId="8516" xr:uid="{00000000-0005-0000-0000-000013520000}"/>
    <cellStyle name="Percent 13 2" xfId="14571" xr:uid="{00000000-0005-0000-0000-000014520000}"/>
    <cellStyle name="Percent 13 3" xfId="20875" xr:uid="{00000000-0005-0000-0000-000015520000}"/>
    <cellStyle name="Percent 14" xfId="8517" xr:uid="{00000000-0005-0000-0000-000016520000}"/>
    <cellStyle name="Percent 14 2" xfId="8518" xr:uid="{00000000-0005-0000-0000-000017520000}"/>
    <cellStyle name="Percent 14 2 2" xfId="8519" xr:uid="{00000000-0005-0000-0000-000018520000}"/>
    <cellStyle name="Percent 14 2 2 2" xfId="14574" xr:uid="{00000000-0005-0000-0000-000019520000}"/>
    <cellStyle name="Percent 14 2 2 3" xfId="20878" xr:uid="{00000000-0005-0000-0000-00001A520000}"/>
    <cellStyle name="Percent 14 2 3" xfId="14573" xr:uid="{00000000-0005-0000-0000-00001B520000}"/>
    <cellStyle name="Percent 14 2 4" xfId="20877" xr:uid="{00000000-0005-0000-0000-00001C520000}"/>
    <cellStyle name="Percent 14 3" xfId="14572" xr:uid="{00000000-0005-0000-0000-00001D520000}"/>
    <cellStyle name="Percent 14 4" xfId="20876" xr:uid="{00000000-0005-0000-0000-00001E520000}"/>
    <cellStyle name="Percent 15" xfId="8520" xr:uid="{00000000-0005-0000-0000-00001F520000}"/>
    <cellStyle name="Percent 15 2" xfId="20879" xr:uid="{00000000-0005-0000-0000-000020520000}"/>
    <cellStyle name="Percent 16" xfId="15196" xr:uid="{00000000-0005-0000-0000-000021520000}"/>
    <cellStyle name="Percent 16 2" xfId="8521" xr:uid="{00000000-0005-0000-0000-000022520000}"/>
    <cellStyle name="Percent 16 2 2" xfId="8522" xr:uid="{00000000-0005-0000-0000-000023520000}"/>
    <cellStyle name="Percent 16 2 2 2" xfId="14576" xr:uid="{00000000-0005-0000-0000-000024520000}"/>
    <cellStyle name="Percent 16 2 2 3" xfId="20881" xr:uid="{00000000-0005-0000-0000-000025520000}"/>
    <cellStyle name="Percent 16 2 3" xfId="14575" xr:uid="{00000000-0005-0000-0000-000026520000}"/>
    <cellStyle name="Percent 16 2 4" xfId="20880" xr:uid="{00000000-0005-0000-0000-000027520000}"/>
    <cellStyle name="Percent 17" xfId="22829" xr:uid="{00000000-0005-0000-0000-000028520000}"/>
    <cellStyle name="Percent 2" xfId="8523" xr:uid="{00000000-0005-0000-0000-000029520000}"/>
    <cellStyle name="Percent 2 2" xfId="8524" xr:uid="{00000000-0005-0000-0000-00002A520000}"/>
    <cellStyle name="Percent 2 2 2" xfId="8525" xr:uid="{00000000-0005-0000-0000-00002B520000}"/>
    <cellStyle name="Percent 2 2 2 2" xfId="8526" xr:uid="{00000000-0005-0000-0000-00002C520000}"/>
    <cellStyle name="Percent 2 2 2 2 2" xfId="20885" xr:uid="{00000000-0005-0000-0000-00002D520000}"/>
    <cellStyle name="Percent 2 2 2 3" xfId="14579" xr:uid="{00000000-0005-0000-0000-00002E520000}"/>
    <cellStyle name="Percent 2 2 2 4" xfId="20884" xr:uid="{00000000-0005-0000-0000-00002F520000}"/>
    <cellStyle name="Percent 2 2 3" xfId="8527" xr:uid="{00000000-0005-0000-0000-000030520000}"/>
    <cellStyle name="Percent 2 2 3 2" xfId="8528" xr:uid="{00000000-0005-0000-0000-000031520000}"/>
    <cellStyle name="Percent 2 2 3 2 2" xfId="14581" xr:uid="{00000000-0005-0000-0000-000032520000}"/>
    <cellStyle name="Percent 2 2 3 2 3" xfId="20887" xr:uid="{00000000-0005-0000-0000-000033520000}"/>
    <cellStyle name="Percent 2 2 3 3" xfId="8529" xr:uid="{00000000-0005-0000-0000-000034520000}"/>
    <cellStyle name="Percent 2 2 3 3 2" xfId="20888" xr:uid="{00000000-0005-0000-0000-000035520000}"/>
    <cellStyle name="Percent 2 2 3 4" xfId="14580" xr:uid="{00000000-0005-0000-0000-000036520000}"/>
    <cellStyle name="Percent 2 2 3 5" xfId="20886" xr:uid="{00000000-0005-0000-0000-000037520000}"/>
    <cellStyle name="Percent 2 2 4" xfId="8530" xr:uid="{00000000-0005-0000-0000-000038520000}"/>
    <cellStyle name="Percent 2 2 4 2" xfId="20889" xr:uid="{00000000-0005-0000-0000-000039520000}"/>
    <cellStyle name="Percent 2 2 5" xfId="14578" xr:uid="{00000000-0005-0000-0000-00003A520000}"/>
    <cellStyle name="Percent 2 2 6" xfId="20883" xr:uid="{00000000-0005-0000-0000-00003B520000}"/>
    <cellStyle name="Percent 2 3" xfId="8531" xr:uid="{00000000-0005-0000-0000-00003C520000}"/>
    <cellStyle name="Percent 2 3 2" xfId="8532" xr:uid="{00000000-0005-0000-0000-00003D520000}"/>
    <cellStyle name="Percent 2 3 2 2" xfId="14583" xr:uid="{00000000-0005-0000-0000-00003E520000}"/>
    <cellStyle name="Percent 2 3 2 3" xfId="20891" xr:uid="{00000000-0005-0000-0000-00003F520000}"/>
    <cellStyle name="Percent 2 3 3" xfId="8533" xr:uid="{00000000-0005-0000-0000-000040520000}"/>
    <cellStyle name="Percent 2 3 3 2" xfId="14584" xr:uid="{00000000-0005-0000-0000-000041520000}"/>
    <cellStyle name="Percent 2 3 3 3" xfId="20892" xr:uid="{00000000-0005-0000-0000-000042520000}"/>
    <cellStyle name="Percent 2 3 4" xfId="8534" xr:uid="{00000000-0005-0000-0000-000043520000}"/>
    <cellStyle name="Percent 2 3 4 2" xfId="20893" xr:uid="{00000000-0005-0000-0000-000044520000}"/>
    <cellStyle name="Percent 2 3 5" xfId="14582" xr:uid="{00000000-0005-0000-0000-000045520000}"/>
    <cellStyle name="Percent 2 3 6" xfId="20890" xr:uid="{00000000-0005-0000-0000-000046520000}"/>
    <cellStyle name="Percent 2 4" xfId="8535" xr:uid="{00000000-0005-0000-0000-000047520000}"/>
    <cellStyle name="Percent 2 4 2" xfId="8536" xr:uid="{00000000-0005-0000-0000-000048520000}"/>
    <cellStyle name="Percent 2 4 2 2" xfId="14586" xr:uid="{00000000-0005-0000-0000-000049520000}"/>
    <cellStyle name="Percent 2 4 2 3" xfId="20895" xr:uid="{00000000-0005-0000-0000-00004A520000}"/>
    <cellStyle name="Percent 2 4 3" xfId="8537" xr:uid="{00000000-0005-0000-0000-00004B520000}"/>
    <cellStyle name="Percent 2 4 3 2" xfId="14587" xr:uid="{00000000-0005-0000-0000-00004C520000}"/>
    <cellStyle name="Percent 2 4 3 3" xfId="20896" xr:uid="{00000000-0005-0000-0000-00004D520000}"/>
    <cellStyle name="Percent 2 4 4" xfId="8538" xr:uid="{00000000-0005-0000-0000-00004E520000}"/>
    <cellStyle name="Percent 2 4 4 2" xfId="20897" xr:uid="{00000000-0005-0000-0000-00004F520000}"/>
    <cellStyle name="Percent 2 4 5" xfId="14585" xr:uid="{00000000-0005-0000-0000-000050520000}"/>
    <cellStyle name="Percent 2 4 6" xfId="20894" xr:uid="{00000000-0005-0000-0000-000051520000}"/>
    <cellStyle name="Percent 2 5" xfId="8539" xr:uid="{00000000-0005-0000-0000-000052520000}"/>
    <cellStyle name="Percent 2 5 2" xfId="14588" xr:uid="{00000000-0005-0000-0000-000053520000}"/>
    <cellStyle name="Percent 2 5 3" xfId="20898" xr:uid="{00000000-0005-0000-0000-000054520000}"/>
    <cellStyle name="Percent 2 6" xfId="8540" xr:uid="{00000000-0005-0000-0000-000055520000}"/>
    <cellStyle name="Percent 2 6 2" xfId="8541" xr:uid="{00000000-0005-0000-0000-000056520000}"/>
    <cellStyle name="Percent 2 6 2 2" xfId="20900" xr:uid="{00000000-0005-0000-0000-000057520000}"/>
    <cellStyle name="Percent 2 6 3" xfId="14589" xr:uid="{00000000-0005-0000-0000-000058520000}"/>
    <cellStyle name="Percent 2 6 4" xfId="20899" xr:uid="{00000000-0005-0000-0000-000059520000}"/>
    <cellStyle name="Percent 2 7" xfId="8542" xr:uid="{00000000-0005-0000-0000-00005A520000}"/>
    <cellStyle name="Percent 2 7 2" xfId="20901" xr:uid="{00000000-0005-0000-0000-00005B520000}"/>
    <cellStyle name="Percent 2 8" xfId="14577" xr:uid="{00000000-0005-0000-0000-00005C520000}"/>
    <cellStyle name="Percent 2 9" xfId="20882" xr:uid="{00000000-0005-0000-0000-00005D520000}"/>
    <cellStyle name="Percent 3" xfId="8543" xr:uid="{00000000-0005-0000-0000-00005E520000}"/>
    <cellStyle name="Percent 3 10" xfId="8544" xr:uid="{00000000-0005-0000-0000-00005F520000}"/>
    <cellStyle name="Percent 3 10 2" xfId="14591" xr:uid="{00000000-0005-0000-0000-000060520000}"/>
    <cellStyle name="Percent 3 10 3" xfId="20903" xr:uid="{00000000-0005-0000-0000-000061520000}"/>
    <cellStyle name="Percent 3 11" xfId="8545" xr:uid="{00000000-0005-0000-0000-000062520000}"/>
    <cellStyle name="Percent 3 11 2" xfId="20904" xr:uid="{00000000-0005-0000-0000-000063520000}"/>
    <cellStyle name="Percent 3 12" xfId="14590" xr:uid="{00000000-0005-0000-0000-000064520000}"/>
    <cellStyle name="Percent 3 13" xfId="20902" xr:uid="{00000000-0005-0000-0000-000065520000}"/>
    <cellStyle name="Percent 3 2" xfId="8546" xr:uid="{00000000-0005-0000-0000-000066520000}"/>
    <cellStyle name="Percent 3 2 10" xfId="14592" xr:uid="{00000000-0005-0000-0000-000067520000}"/>
    <cellStyle name="Percent 3 2 11" xfId="20905" xr:uid="{00000000-0005-0000-0000-000068520000}"/>
    <cellStyle name="Percent 3 2 2" xfId="8547" xr:uid="{00000000-0005-0000-0000-000069520000}"/>
    <cellStyle name="Percent 3 2 2 10" xfId="20906" xr:uid="{00000000-0005-0000-0000-00006A520000}"/>
    <cellStyle name="Percent 3 2 2 2" xfId="8548" xr:uid="{00000000-0005-0000-0000-00006B520000}"/>
    <cellStyle name="Percent 3 2 2 2 2" xfId="8549" xr:uid="{00000000-0005-0000-0000-00006C520000}"/>
    <cellStyle name="Percent 3 2 2 2 2 2" xfId="8550" xr:uid="{00000000-0005-0000-0000-00006D520000}"/>
    <cellStyle name="Percent 3 2 2 2 2 2 2" xfId="8551" xr:uid="{00000000-0005-0000-0000-00006E520000}"/>
    <cellStyle name="Percent 3 2 2 2 2 2 2 2" xfId="8552" xr:uid="{00000000-0005-0000-0000-00006F520000}"/>
    <cellStyle name="Percent 3 2 2 2 2 2 2 2 2" xfId="14598" xr:uid="{00000000-0005-0000-0000-000070520000}"/>
    <cellStyle name="Percent 3 2 2 2 2 2 2 2 3" xfId="20911" xr:uid="{00000000-0005-0000-0000-000071520000}"/>
    <cellStyle name="Percent 3 2 2 2 2 2 2 3" xfId="14597" xr:uid="{00000000-0005-0000-0000-000072520000}"/>
    <cellStyle name="Percent 3 2 2 2 2 2 2 4" xfId="20910" xr:uid="{00000000-0005-0000-0000-000073520000}"/>
    <cellStyle name="Percent 3 2 2 2 2 2 3" xfId="8553" xr:uid="{00000000-0005-0000-0000-000074520000}"/>
    <cellStyle name="Percent 3 2 2 2 2 2 3 2" xfId="8554" xr:uid="{00000000-0005-0000-0000-000075520000}"/>
    <cellStyle name="Percent 3 2 2 2 2 2 3 2 2" xfId="14600" xr:uid="{00000000-0005-0000-0000-000076520000}"/>
    <cellStyle name="Percent 3 2 2 2 2 2 3 2 3" xfId="20913" xr:uid="{00000000-0005-0000-0000-000077520000}"/>
    <cellStyle name="Percent 3 2 2 2 2 2 3 3" xfId="14599" xr:uid="{00000000-0005-0000-0000-000078520000}"/>
    <cellStyle name="Percent 3 2 2 2 2 2 3 4" xfId="20912" xr:uid="{00000000-0005-0000-0000-000079520000}"/>
    <cellStyle name="Percent 3 2 2 2 2 2 4" xfId="8555" xr:uid="{00000000-0005-0000-0000-00007A520000}"/>
    <cellStyle name="Percent 3 2 2 2 2 2 4 2" xfId="14601" xr:uid="{00000000-0005-0000-0000-00007B520000}"/>
    <cellStyle name="Percent 3 2 2 2 2 2 4 3" xfId="20914" xr:uid="{00000000-0005-0000-0000-00007C520000}"/>
    <cellStyle name="Percent 3 2 2 2 2 2 5" xfId="14596" xr:uid="{00000000-0005-0000-0000-00007D520000}"/>
    <cellStyle name="Percent 3 2 2 2 2 2 6" xfId="20909" xr:uid="{00000000-0005-0000-0000-00007E520000}"/>
    <cellStyle name="Percent 3 2 2 2 2 3" xfId="8556" xr:uid="{00000000-0005-0000-0000-00007F520000}"/>
    <cellStyle name="Percent 3 2 2 2 2 3 2" xfId="8557" xr:uid="{00000000-0005-0000-0000-000080520000}"/>
    <cellStyle name="Percent 3 2 2 2 2 3 2 2" xfId="14603" xr:uid="{00000000-0005-0000-0000-000081520000}"/>
    <cellStyle name="Percent 3 2 2 2 2 3 2 3" xfId="20916" xr:uid="{00000000-0005-0000-0000-000082520000}"/>
    <cellStyle name="Percent 3 2 2 2 2 3 3" xfId="14602" xr:uid="{00000000-0005-0000-0000-000083520000}"/>
    <cellStyle name="Percent 3 2 2 2 2 3 4" xfId="20915" xr:uid="{00000000-0005-0000-0000-000084520000}"/>
    <cellStyle name="Percent 3 2 2 2 2 4" xfId="8558" xr:uid="{00000000-0005-0000-0000-000085520000}"/>
    <cellStyle name="Percent 3 2 2 2 2 4 2" xfId="8559" xr:uid="{00000000-0005-0000-0000-000086520000}"/>
    <cellStyle name="Percent 3 2 2 2 2 4 2 2" xfId="14605" xr:uid="{00000000-0005-0000-0000-000087520000}"/>
    <cellStyle name="Percent 3 2 2 2 2 4 2 3" xfId="20918" xr:uid="{00000000-0005-0000-0000-000088520000}"/>
    <cellStyle name="Percent 3 2 2 2 2 4 3" xfId="14604" xr:uid="{00000000-0005-0000-0000-000089520000}"/>
    <cellStyle name="Percent 3 2 2 2 2 4 4" xfId="20917" xr:uid="{00000000-0005-0000-0000-00008A520000}"/>
    <cellStyle name="Percent 3 2 2 2 2 5" xfId="8560" xr:uid="{00000000-0005-0000-0000-00008B520000}"/>
    <cellStyle name="Percent 3 2 2 2 2 5 2" xfId="14606" xr:uid="{00000000-0005-0000-0000-00008C520000}"/>
    <cellStyle name="Percent 3 2 2 2 2 5 3" xfId="20919" xr:uid="{00000000-0005-0000-0000-00008D520000}"/>
    <cellStyle name="Percent 3 2 2 2 2 6" xfId="14595" xr:uid="{00000000-0005-0000-0000-00008E520000}"/>
    <cellStyle name="Percent 3 2 2 2 2 7" xfId="20908" xr:uid="{00000000-0005-0000-0000-00008F520000}"/>
    <cellStyle name="Percent 3 2 2 2 3" xfId="8561" xr:uid="{00000000-0005-0000-0000-000090520000}"/>
    <cellStyle name="Percent 3 2 2 2 3 2" xfId="8562" xr:uid="{00000000-0005-0000-0000-000091520000}"/>
    <cellStyle name="Percent 3 2 2 2 3 2 2" xfId="8563" xr:uid="{00000000-0005-0000-0000-000092520000}"/>
    <cellStyle name="Percent 3 2 2 2 3 2 2 2" xfId="14609" xr:uid="{00000000-0005-0000-0000-000093520000}"/>
    <cellStyle name="Percent 3 2 2 2 3 2 2 3" xfId="20922" xr:uid="{00000000-0005-0000-0000-000094520000}"/>
    <cellStyle name="Percent 3 2 2 2 3 2 3" xfId="14608" xr:uid="{00000000-0005-0000-0000-000095520000}"/>
    <cellStyle name="Percent 3 2 2 2 3 2 4" xfId="20921" xr:uid="{00000000-0005-0000-0000-000096520000}"/>
    <cellStyle name="Percent 3 2 2 2 3 3" xfId="8564" xr:uid="{00000000-0005-0000-0000-000097520000}"/>
    <cellStyle name="Percent 3 2 2 2 3 3 2" xfId="8565" xr:uid="{00000000-0005-0000-0000-000098520000}"/>
    <cellStyle name="Percent 3 2 2 2 3 3 2 2" xfId="14611" xr:uid="{00000000-0005-0000-0000-000099520000}"/>
    <cellStyle name="Percent 3 2 2 2 3 3 2 3" xfId="20924" xr:uid="{00000000-0005-0000-0000-00009A520000}"/>
    <cellStyle name="Percent 3 2 2 2 3 3 3" xfId="14610" xr:uid="{00000000-0005-0000-0000-00009B520000}"/>
    <cellStyle name="Percent 3 2 2 2 3 3 4" xfId="20923" xr:uid="{00000000-0005-0000-0000-00009C520000}"/>
    <cellStyle name="Percent 3 2 2 2 3 4" xfId="8566" xr:uid="{00000000-0005-0000-0000-00009D520000}"/>
    <cellStyle name="Percent 3 2 2 2 3 4 2" xfId="14612" xr:uid="{00000000-0005-0000-0000-00009E520000}"/>
    <cellStyle name="Percent 3 2 2 2 3 4 3" xfId="20925" xr:uid="{00000000-0005-0000-0000-00009F520000}"/>
    <cellStyle name="Percent 3 2 2 2 3 5" xfId="14607" xr:uid="{00000000-0005-0000-0000-0000A0520000}"/>
    <cellStyle name="Percent 3 2 2 2 3 6" xfId="20920" xr:uid="{00000000-0005-0000-0000-0000A1520000}"/>
    <cellStyle name="Percent 3 2 2 2 4" xfId="8567" xr:uid="{00000000-0005-0000-0000-0000A2520000}"/>
    <cellStyle name="Percent 3 2 2 2 4 2" xfId="8568" xr:uid="{00000000-0005-0000-0000-0000A3520000}"/>
    <cellStyle name="Percent 3 2 2 2 4 2 2" xfId="14614" xr:uid="{00000000-0005-0000-0000-0000A4520000}"/>
    <cellStyle name="Percent 3 2 2 2 4 2 3" xfId="20927" xr:uid="{00000000-0005-0000-0000-0000A5520000}"/>
    <cellStyle name="Percent 3 2 2 2 4 3" xfId="14613" xr:uid="{00000000-0005-0000-0000-0000A6520000}"/>
    <cellStyle name="Percent 3 2 2 2 4 4" xfId="20926" xr:uid="{00000000-0005-0000-0000-0000A7520000}"/>
    <cellStyle name="Percent 3 2 2 2 5" xfId="8569" xr:uid="{00000000-0005-0000-0000-0000A8520000}"/>
    <cellStyle name="Percent 3 2 2 2 5 2" xfId="8570" xr:uid="{00000000-0005-0000-0000-0000A9520000}"/>
    <cellStyle name="Percent 3 2 2 2 5 2 2" xfId="14616" xr:uid="{00000000-0005-0000-0000-0000AA520000}"/>
    <cellStyle name="Percent 3 2 2 2 5 2 3" xfId="20929" xr:uid="{00000000-0005-0000-0000-0000AB520000}"/>
    <cellStyle name="Percent 3 2 2 2 5 3" xfId="14615" xr:uid="{00000000-0005-0000-0000-0000AC520000}"/>
    <cellStyle name="Percent 3 2 2 2 5 4" xfId="20928" xr:uid="{00000000-0005-0000-0000-0000AD520000}"/>
    <cellStyle name="Percent 3 2 2 2 6" xfId="8571" xr:uid="{00000000-0005-0000-0000-0000AE520000}"/>
    <cellStyle name="Percent 3 2 2 2 6 2" xfId="14617" xr:uid="{00000000-0005-0000-0000-0000AF520000}"/>
    <cellStyle name="Percent 3 2 2 2 6 3" xfId="20930" xr:uid="{00000000-0005-0000-0000-0000B0520000}"/>
    <cellStyle name="Percent 3 2 2 2 7" xfId="14594" xr:uid="{00000000-0005-0000-0000-0000B1520000}"/>
    <cellStyle name="Percent 3 2 2 2 8" xfId="20907" xr:uid="{00000000-0005-0000-0000-0000B2520000}"/>
    <cellStyle name="Percent 3 2 2 3" xfId="8572" xr:uid="{00000000-0005-0000-0000-0000B3520000}"/>
    <cellStyle name="Percent 3 2 2 3 2" xfId="8573" xr:uid="{00000000-0005-0000-0000-0000B4520000}"/>
    <cellStyle name="Percent 3 2 2 3 2 2" xfId="8574" xr:uid="{00000000-0005-0000-0000-0000B5520000}"/>
    <cellStyle name="Percent 3 2 2 3 2 2 2" xfId="8575" xr:uid="{00000000-0005-0000-0000-0000B6520000}"/>
    <cellStyle name="Percent 3 2 2 3 2 2 2 2" xfId="14621" xr:uid="{00000000-0005-0000-0000-0000B7520000}"/>
    <cellStyle name="Percent 3 2 2 3 2 2 2 3" xfId="20934" xr:uid="{00000000-0005-0000-0000-0000B8520000}"/>
    <cellStyle name="Percent 3 2 2 3 2 2 3" xfId="14620" xr:uid="{00000000-0005-0000-0000-0000B9520000}"/>
    <cellStyle name="Percent 3 2 2 3 2 2 4" xfId="20933" xr:uid="{00000000-0005-0000-0000-0000BA520000}"/>
    <cellStyle name="Percent 3 2 2 3 2 3" xfId="8576" xr:uid="{00000000-0005-0000-0000-0000BB520000}"/>
    <cellStyle name="Percent 3 2 2 3 2 3 2" xfId="8577" xr:uid="{00000000-0005-0000-0000-0000BC520000}"/>
    <cellStyle name="Percent 3 2 2 3 2 3 2 2" xfId="14623" xr:uid="{00000000-0005-0000-0000-0000BD520000}"/>
    <cellStyle name="Percent 3 2 2 3 2 3 2 3" xfId="20936" xr:uid="{00000000-0005-0000-0000-0000BE520000}"/>
    <cellStyle name="Percent 3 2 2 3 2 3 3" xfId="14622" xr:uid="{00000000-0005-0000-0000-0000BF520000}"/>
    <cellStyle name="Percent 3 2 2 3 2 3 4" xfId="20935" xr:uid="{00000000-0005-0000-0000-0000C0520000}"/>
    <cellStyle name="Percent 3 2 2 3 2 4" xfId="8578" xr:uid="{00000000-0005-0000-0000-0000C1520000}"/>
    <cellStyle name="Percent 3 2 2 3 2 4 2" xfId="14624" xr:uid="{00000000-0005-0000-0000-0000C2520000}"/>
    <cellStyle name="Percent 3 2 2 3 2 4 3" xfId="20937" xr:uid="{00000000-0005-0000-0000-0000C3520000}"/>
    <cellStyle name="Percent 3 2 2 3 2 5" xfId="14619" xr:uid="{00000000-0005-0000-0000-0000C4520000}"/>
    <cellStyle name="Percent 3 2 2 3 2 6" xfId="20932" xr:uid="{00000000-0005-0000-0000-0000C5520000}"/>
    <cellStyle name="Percent 3 2 2 3 3" xfId="8579" xr:uid="{00000000-0005-0000-0000-0000C6520000}"/>
    <cellStyle name="Percent 3 2 2 3 3 2" xfId="8580" xr:uid="{00000000-0005-0000-0000-0000C7520000}"/>
    <cellStyle name="Percent 3 2 2 3 3 2 2" xfId="14626" xr:uid="{00000000-0005-0000-0000-0000C8520000}"/>
    <cellStyle name="Percent 3 2 2 3 3 2 3" xfId="20939" xr:uid="{00000000-0005-0000-0000-0000C9520000}"/>
    <cellStyle name="Percent 3 2 2 3 3 3" xfId="14625" xr:uid="{00000000-0005-0000-0000-0000CA520000}"/>
    <cellStyle name="Percent 3 2 2 3 3 4" xfId="20938" xr:uid="{00000000-0005-0000-0000-0000CB520000}"/>
    <cellStyle name="Percent 3 2 2 3 4" xfId="8581" xr:uid="{00000000-0005-0000-0000-0000CC520000}"/>
    <cellStyle name="Percent 3 2 2 3 4 2" xfId="8582" xr:uid="{00000000-0005-0000-0000-0000CD520000}"/>
    <cellStyle name="Percent 3 2 2 3 4 2 2" xfId="14628" xr:uid="{00000000-0005-0000-0000-0000CE520000}"/>
    <cellStyle name="Percent 3 2 2 3 4 2 3" xfId="20941" xr:uid="{00000000-0005-0000-0000-0000CF520000}"/>
    <cellStyle name="Percent 3 2 2 3 4 3" xfId="14627" xr:uid="{00000000-0005-0000-0000-0000D0520000}"/>
    <cellStyle name="Percent 3 2 2 3 4 4" xfId="20940" xr:uid="{00000000-0005-0000-0000-0000D1520000}"/>
    <cellStyle name="Percent 3 2 2 3 5" xfId="8583" xr:uid="{00000000-0005-0000-0000-0000D2520000}"/>
    <cellStyle name="Percent 3 2 2 3 5 2" xfId="14629" xr:uid="{00000000-0005-0000-0000-0000D3520000}"/>
    <cellStyle name="Percent 3 2 2 3 5 3" xfId="20942" xr:uid="{00000000-0005-0000-0000-0000D4520000}"/>
    <cellStyle name="Percent 3 2 2 3 6" xfId="14618" xr:uid="{00000000-0005-0000-0000-0000D5520000}"/>
    <cellStyle name="Percent 3 2 2 3 7" xfId="20931" xr:uid="{00000000-0005-0000-0000-0000D6520000}"/>
    <cellStyle name="Percent 3 2 2 4" xfId="8584" xr:uid="{00000000-0005-0000-0000-0000D7520000}"/>
    <cellStyle name="Percent 3 2 2 4 2" xfId="8585" xr:uid="{00000000-0005-0000-0000-0000D8520000}"/>
    <cellStyle name="Percent 3 2 2 4 2 2" xfId="8586" xr:uid="{00000000-0005-0000-0000-0000D9520000}"/>
    <cellStyle name="Percent 3 2 2 4 2 2 2" xfId="14632" xr:uid="{00000000-0005-0000-0000-0000DA520000}"/>
    <cellStyle name="Percent 3 2 2 4 2 2 3" xfId="20945" xr:uid="{00000000-0005-0000-0000-0000DB520000}"/>
    <cellStyle name="Percent 3 2 2 4 2 3" xfId="14631" xr:uid="{00000000-0005-0000-0000-0000DC520000}"/>
    <cellStyle name="Percent 3 2 2 4 2 4" xfId="20944" xr:uid="{00000000-0005-0000-0000-0000DD520000}"/>
    <cellStyle name="Percent 3 2 2 4 3" xfId="8587" xr:uid="{00000000-0005-0000-0000-0000DE520000}"/>
    <cellStyle name="Percent 3 2 2 4 3 2" xfId="8588" xr:uid="{00000000-0005-0000-0000-0000DF520000}"/>
    <cellStyle name="Percent 3 2 2 4 3 2 2" xfId="14634" xr:uid="{00000000-0005-0000-0000-0000E0520000}"/>
    <cellStyle name="Percent 3 2 2 4 3 2 3" xfId="20947" xr:uid="{00000000-0005-0000-0000-0000E1520000}"/>
    <cellStyle name="Percent 3 2 2 4 3 3" xfId="14633" xr:uid="{00000000-0005-0000-0000-0000E2520000}"/>
    <cellStyle name="Percent 3 2 2 4 3 4" xfId="20946" xr:uid="{00000000-0005-0000-0000-0000E3520000}"/>
    <cellStyle name="Percent 3 2 2 4 4" xfId="8589" xr:uid="{00000000-0005-0000-0000-0000E4520000}"/>
    <cellStyle name="Percent 3 2 2 4 4 2" xfId="14635" xr:uid="{00000000-0005-0000-0000-0000E5520000}"/>
    <cellStyle name="Percent 3 2 2 4 4 3" xfId="20948" xr:uid="{00000000-0005-0000-0000-0000E6520000}"/>
    <cellStyle name="Percent 3 2 2 4 5" xfId="14630" xr:uid="{00000000-0005-0000-0000-0000E7520000}"/>
    <cellStyle name="Percent 3 2 2 4 6" xfId="20943" xr:uid="{00000000-0005-0000-0000-0000E8520000}"/>
    <cellStyle name="Percent 3 2 2 5" xfId="8590" xr:uid="{00000000-0005-0000-0000-0000E9520000}"/>
    <cellStyle name="Percent 3 2 2 5 2" xfId="8591" xr:uid="{00000000-0005-0000-0000-0000EA520000}"/>
    <cellStyle name="Percent 3 2 2 5 2 2" xfId="14637" xr:uid="{00000000-0005-0000-0000-0000EB520000}"/>
    <cellStyle name="Percent 3 2 2 5 2 3" xfId="20950" xr:uid="{00000000-0005-0000-0000-0000EC520000}"/>
    <cellStyle name="Percent 3 2 2 5 3" xfId="14636" xr:uid="{00000000-0005-0000-0000-0000ED520000}"/>
    <cellStyle name="Percent 3 2 2 5 4" xfId="20949" xr:uid="{00000000-0005-0000-0000-0000EE520000}"/>
    <cellStyle name="Percent 3 2 2 6" xfId="8592" xr:uid="{00000000-0005-0000-0000-0000EF520000}"/>
    <cellStyle name="Percent 3 2 2 6 2" xfId="8593" xr:uid="{00000000-0005-0000-0000-0000F0520000}"/>
    <cellStyle name="Percent 3 2 2 6 2 2" xfId="14639" xr:uid="{00000000-0005-0000-0000-0000F1520000}"/>
    <cellStyle name="Percent 3 2 2 6 2 3" xfId="20952" xr:uid="{00000000-0005-0000-0000-0000F2520000}"/>
    <cellStyle name="Percent 3 2 2 6 3" xfId="14638" xr:uid="{00000000-0005-0000-0000-0000F3520000}"/>
    <cellStyle name="Percent 3 2 2 6 4" xfId="20951" xr:uid="{00000000-0005-0000-0000-0000F4520000}"/>
    <cellStyle name="Percent 3 2 2 7" xfId="8594" xr:uid="{00000000-0005-0000-0000-0000F5520000}"/>
    <cellStyle name="Percent 3 2 2 7 2" xfId="14640" xr:uid="{00000000-0005-0000-0000-0000F6520000}"/>
    <cellStyle name="Percent 3 2 2 7 3" xfId="20953" xr:uid="{00000000-0005-0000-0000-0000F7520000}"/>
    <cellStyle name="Percent 3 2 2 8" xfId="8595" xr:uid="{00000000-0005-0000-0000-0000F8520000}"/>
    <cellStyle name="Percent 3 2 2 8 2" xfId="20954" xr:uid="{00000000-0005-0000-0000-0000F9520000}"/>
    <cellStyle name="Percent 3 2 2 9" xfId="14593" xr:uid="{00000000-0005-0000-0000-0000FA520000}"/>
    <cellStyle name="Percent 3 2 3" xfId="8596" xr:uid="{00000000-0005-0000-0000-0000FB520000}"/>
    <cellStyle name="Percent 3 2 3 2" xfId="8597" xr:uid="{00000000-0005-0000-0000-0000FC520000}"/>
    <cellStyle name="Percent 3 2 3 2 2" xfId="8598" xr:uid="{00000000-0005-0000-0000-0000FD520000}"/>
    <cellStyle name="Percent 3 2 3 2 2 2" xfId="8599" xr:uid="{00000000-0005-0000-0000-0000FE520000}"/>
    <cellStyle name="Percent 3 2 3 2 2 2 2" xfId="8600" xr:uid="{00000000-0005-0000-0000-0000FF520000}"/>
    <cellStyle name="Percent 3 2 3 2 2 2 2 2" xfId="14645" xr:uid="{00000000-0005-0000-0000-000000530000}"/>
    <cellStyle name="Percent 3 2 3 2 2 2 2 3" xfId="20959" xr:uid="{00000000-0005-0000-0000-000001530000}"/>
    <cellStyle name="Percent 3 2 3 2 2 2 3" xfId="14644" xr:uid="{00000000-0005-0000-0000-000002530000}"/>
    <cellStyle name="Percent 3 2 3 2 2 2 4" xfId="20958" xr:uid="{00000000-0005-0000-0000-000003530000}"/>
    <cellStyle name="Percent 3 2 3 2 2 3" xfId="8601" xr:uid="{00000000-0005-0000-0000-000004530000}"/>
    <cellStyle name="Percent 3 2 3 2 2 3 2" xfId="8602" xr:uid="{00000000-0005-0000-0000-000005530000}"/>
    <cellStyle name="Percent 3 2 3 2 2 3 2 2" xfId="14647" xr:uid="{00000000-0005-0000-0000-000006530000}"/>
    <cellStyle name="Percent 3 2 3 2 2 3 2 3" xfId="20961" xr:uid="{00000000-0005-0000-0000-000007530000}"/>
    <cellStyle name="Percent 3 2 3 2 2 3 3" xfId="14646" xr:uid="{00000000-0005-0000-0000-000008530000}"/>
    <cellStyle name="Percent 3 2 3 2 2 3 4" xfId="20960" xr:uid="{00000000-0005-0000-0000-000009530000}"/>
    <cellStyle name="Percent 3 2 3 2 2 4" xfId="8603" xr:uid="{00000000-0005-0000-0000-00000A530000}"/>
    <cellStyle name="Percent 3 2 3 2 2 4 2" xfId="14648" xr:uid="{00000000-0005-0000-0000-00000B530000}"/>
    <cellStyle name="Percent 3 2 3 2 2 4 3" xfId="20962" xr:uid="{00000000-0005-0000-0000-00000C530000}"/>
    <cellStyle name="Percent 3 2 3 2 2 5" xfId="14643" xr:uid="{00000000-0005-0000-0000-00000D530000}"/>
    <cellStyle name="Percent 3 2 3 2 2 6" xfId="20957" xr:uid="{00000000-0005-0000-0000-00000E530000}"/>
    <cellStyle name="Percent 3 2 3 2 3" xfId="8604" xr:uid="{00000000-0005-0000-0000-00000F530000}"/>
    <cellStyle name="Percent 3 2 3 2 3 2" xfId="8605" xr:uid="{00000000-0005-0000-0000-000010530000}"/>
    <cellStyle name="Percent 3 2 3 2 3 2 2" xfId="14650" xr:uid="{00000000-0005-0000-0000-000011530000}"/>
    <cellStyle name="Percent 3 2 3 2 3 2 3" xfId="20964" xr:uid="{00000000-0005-0000-0000-000012530000}"/>
    <cellStyle name="Percent 3 2 3 2 3 3" xfId="14649" xr:uid="{00000000-0005-0000-0000-000013530000}"/>
    <cellStyle name="Percent 3 2 3 2 3 4" xfId="20963" xr:uid="{00000000-0005-0000-0000-000014530000}"/>
    <cellStyle name="Percent 3 2 3 2 4" xfId="8606" xr:uid="{00000000-0005-0000-0000-000015530000}"/>
    <cellStyle name="Percent 3 2 3 2 4 2" xfId="8607" xr:uid="{00000000-0005-0000-0000-000016530000}"/>
    <cellStyle name="Percent 3 2 3 2 4 2 2" xfId="14652" xr:uid="{00000000-0005-0000-0000-000017530000}"/>
    <cellStyle name="Percent 3 2 3 2 4 2 3" xfId="20966" xr:uid="{00000000-0005-0000-0000-000018530000}"/>
    <cellStyle name="Percent 3 2 3 2 4 3" xfId="14651" xr:uid="{00000000-0005-0000-0000-000019530000}"/>
    <cellStyle name="Percent 3 2 3 2 4 4" xfId="20965" xr:uid="{00000000-0005-0000-0000-00001A530000}"/>
    <cellStyle name="Percent 3 2 3 2 5" xfId="8608" xr:uid="{00000000-0005-0000-0000-00001B530000}"/>
    <cellStyle name="Percent 3 2 3 2 5 2" xfId="14653" xr:uid="{00000000-0005-0000-0000-00001C530000}"/>
    <cellStyle name="Percent 3 2 3 2 5 3" xfId="20967" xr:uid="{00000000-0005-0000-0000-00001D530000}"/>
    <cellStyle name="Percent 3 2 3 2 6" xfId="14642" xr:uid="{00000000-0005-0000-0000-00001E530000}"/>
    <cellStyle name="Percent 3 2 3 2 7" xfId="20956" xr:uid="{00000000-0005-0000-0000-00001F530000}"/>
    <cellStyle name="Percent 3 2 3 3" xfId="8609" xr:uid="{00000000-0005-0000-0000-000020530000}"/>
    <cellStyle name="Percent 3 2 3 3 2" xfId="8610" xr:uid="{00000000-0005-0000-0000-000021530000}"/>
    <cellStyle name="Percent 3 2 3 3 2 2" xfId="8611" xr:uid="{00000000-0005-0000-0000-000022530000}"/>
    <cellStyle name="Percent 3 2 3 3 2 2 2" xfId="14656" xr:uid="{00000000-0005-0000-0000-000023530000}"/>
    <cellStyle name="Percent 3 2 3 3 2 2 3" xfId="20970" xr:uid="{00000000-0005-0000-0000-000024530000}"/>
    <cellStyle name="Percent 3 2 3 3 2 3" xfId="14655" xr:uid="{00000000-0005-0000-0000-000025530000}"/>
    <cellStyle name="Percent 3 2 3 3 2 4" xfId="20969" xr:uid="{00000000-0005-0000-0000-000026530000}"/>
    <cellStyle name="Percent 3 2 3 3 3" xfId="8612" xr:uid="{00000000-0005-0000-0000-000027530000}"/>
    <cellStyle name="Percent 3 2 3 3 3 2" xfId="8613" xr:uid="{00000000-0005-0000-0000-000028530000}"/>
    <cellStyle name="Percent 3 2 3 3 3 2 2" xfId="14658" xr:uid="{00000000-0005-0000-0000-000029530000}"/>
    <cellStyle name="Percent 3 2 3 3 3 2 3" xfId="20972" xr:uid="{00000000-0005-0000-0000-00002A530000}"/>
    <cellStyle name="Percent 3 2 3 3 3 3" xfId="14657" xr:uid="{00000000-0005-0000-0000-00002B530000}"/>
    <cellStyle name="Percent 3 2 3 3 3 4" xfId="20971" xr:uid="{00000000-0005-0000-0000-00002C530000}"/>
    <cellStyle name="Percent 3 2 3 3 4" xfId="8614" xr:uid="{00000000-0005-0000-0000-00002D530000}"/>
    <cellStyle name="Percent 3 2 3 3 4 2" xfId="14659" xr:uid="{00000000-0005-0000-0000-00002E530000}"/>
    <cellStyle name="Percent 3 2 3 3 4 3" xfId="20973" xr:uid="{00000000-0005-0000-0000-00002F530000}"/>
    <cellStyle name="Percent 3 2 3 3 5" xfId="14654" xr:uid="{00000000-0005-0000-0000-000030530000}"/>
    <cellStyle name="Percent 3 2 3 3 6" xfId="20968" xr:uid="{00000000-0005-0000-0000-000031530000}"/>
    <cellStyle name="Percent 3 2 3 4" xfId="8615" xr:uid="{00000000-0005-0000-0000-000032530000}"/>
    <cellStyle name="Percent 3 2 3 4 2" xfId="8616" xr:uid="{00000000-0005-0000-0000-000033530000}"/>
    <cellStyle name="Percent 3 2 3 4 2 2" xfId="14661" xr:uid="{00000000-0005-0000-0000-000034530000}"/>
    <cellStyle name="Percent 3 2 3 4 2 3" xfId="20975" xr:uid="{00000000-0005-0000-0000-000035530000}"/>
    <cellStyle name="Percent 3 2 3 4 3" xfId="14660" xr:uid="{00000000-0005-0000-0000-000036530000}"/>
    <cellStyle name="Percent 3 2 3 4 4" xfId="20974" xr:uid="{00000000-0005-0000-0000-000037530000}"/>
    <cellStyle name="Percent 3 2 3 5" xfId="8617" xr:uid="{00000000-0005-0000-0000-000038530000}"/>
    <cellStyle name="Percent 3 2 3 5 2" xfId="8618" xr:uid="{00000000-0005-0000-0000-000039530000}"/>
    <cellStyle name="Percent 3 2 3 5 2 2" xfId="14663" xr:uid="{00000000-0005-0000-0000-00003A530000}"/>
    <cellStyle name="Percent 3 2 3 5 2 3" xfId="20977" xr:uid="{00000000-0005-0000-0000-00003B530000}"/>
    <cellStyle name="Percent 3 2 3 5 3" xfId="14662" xr:uid="{00000000-0005-0000-0000-00003C530000}"/>
    <cellStyle name="Percent 3 2 3 5 4" xfId="20976" xr:uid="{00000000-0005-0000-0000-00003D530000}"/>
    <cellStyle name="Percent 3 2 3 6" xfId="8619" xr:uid="{00000000-0005-0000-0000-00003E530000}"/>
    <cellStyle name="Percent 3 2 3 6 2" xfId="14664" xr:uid="{00000000-0005-0000-0000-00003F530000}"/>
    <cellStyle name="Percent 3 2 3 6 3" xfId="20978" xr:uid="{00000000-0005-0000-0000-000040530000}"/>
    <cellStyle name="Percent 3 2 3 7" xfId="14641" xr:uid="{00000000-0005-0000-0000-000041530000}"/>
    <cellStyle name="Percent 3 2 3 8" xfId="20955" xr:uid="{00000000-0005-0000-0000-000042530000}"/>
    <cellStyle name="Percent 3 2 4" xfId="8620" xr:uid="{00000000-0005-0000-0000-000043530000}"/>
    <cellStyle name="Percent 3 2 4 2" xfId="8621" xr:uid="{00000000-0005-0000-0000-000044530000}"/>
    <cellStyle name="Percent 3 2 4 2 2" xfId="8622" xr:uid="{00000000-0005-0000-0000-000045530000}"/>
    <cellStyle name="Percent 3 2 4 2 2 2" xfId="8623" xr:uid="{00000000-0005-0000-0000-000046530000}"/>
    <cellStyle name="Percent 3 2 4 2 2 2 2" xfId="14668" xr:uid="{00000000-0005-0000-0000-000047530000}"/>
    <cellStyle name="Percent 3 2 4 2 2 2 3" xfId="20982" xr:uid="{00000000-0005-0000-0000-000048530000}"/>
    <cellStyle name="Percent 3 2 4 2 2 3" xfId="14667" xr:uid="{00000000-0005-0000-0000-000049530000}"/>
    <cellStyle name="Percent 3 2 4 2 2 4" xfId="20981" xr:uid="{00000000-0005-0000-0000-00004A530000}"/>
    <cellStyle name="Percent 3 2 4 2 3" xfId="8624" xr:uid="{00000000-0005-0000-0000-00004B530000}"/>
    <cellStyle name="Percent 3 2 4 2 3 2" xfId="8625" xr:uid="{00000000-0005-0000-0000-00004C530000}"/>
    <cellStyle name="Percent 3 2 4 2 3 2 2" xfId="14670" xr:uid="{00000000-0005-0000-0000-00004D530000}"/>
    <cellStyle name="Percent 3 2 4 2 3 2 3" xfId="20984" xr:uid="{00000000-0005-0000-0000-00004E530000}"/>
    <cellStyle name="Percent 3 2 4 2 3 3" xfId="14669" xr:uid="{00000000-0005-0000-0000-00004F530000}"/>
    <cellStyle name="Percent 3 2 4 2 3 4" xfId="20983" xr:uid="{00000000-0005-0000-0000-000050530000}"/>
    <cellStyle name="Percent 3 2 4 2 4" xfId="8626" xr:uid="{00000000-0005-0000-0000-000051530000}"/>
    <cellStyle name="Percent 3 2 4 2 4 2" xfId="14671" xr:uid="{00000000-0005-0000-0000-000052530000}"/>
    <cellStyle name="Percent 3 2 4 2 4 3" xfId="20985" xr:uid="{00000000-0005-0000-0000-000053530000}"/>
    <cellStyle name="Percent 3 2 4 2 5" xfId="14666" xr:uid="{00000000-0005-0000-0000-000054530000}"/>
    <cellStyle name="Percent 3 2 4 2 6" xfId="20980" xr:uid="{00000000-0005-0000-0000-000055530000}"/>
    <cellStyle name="Percent 3 2 4 3" xfId="8627" xr:uid="{00000000-0005-0000-0000-000056530000}"/>
    <cellStyle name="Percent 3 2 4 3 2" xfId="8628" xr:uid="{00000000-0005-0000-0000-000057530000}"/>
    <cellStyle name="Percent 3 2 4 3 2 2" xfId="14673" xr:uid="{00000000-0005-0000-0000-000058530000}"/>
    <cellStyle name="Percent 3 2 4 3 2 3" xfId="20987" xr:uid="{00000000-0005-0000-0000-000059530000}"/>
    <cellStyle name="Percent 3 2 4 3 3" xfId="14672" xr:uid="{00000000-0005-0000-0000-00005A530000}"/>
    <cellStyle name="Percent 3 2 4 3 4" xfId="20986" xr:uid="{00000000-0005-0000-0000-00005B530000}"/>
    <cellStyle name="Percent 3 2 4 4" xfId="8629" xr:uid="{00000000-0005-0000-0000-00005C530000}"/>
    <cellStyle name="Percent 3 2 4 4 2" xfId="8630" xr:uid="{00000000-0005-0000-0000-00005D530000}"/>
    <cellStyle name="Percent 3 2 4 4 2 2" xfId="14675" xr:uid="{00000000-0005-0000-0000-00005E530000}"/>
    <cellStyle name="Percent 3 2 4 4 2 3" xfId="20989" xr:uid="{00000000-0005-0000-0000-00005F530000}"/>
    <cellStyle name="Percent 3 2 4 4 3" xfId="14674" xr:uid="{00000000-0005-0000-0000-000060530000}"/>
    <cellStyle name="Percent 3 2 4 4 4" xfId="20988" xr:uid="{00000000-0005-0000-0000-000061530000}"/>
    <cellStyle name="Percent 3 2 4 5" xfId="8631" xr:uid="{00000000-0005-0000-0000-000062530000}"/>
    <cellStyle name="Percent 3 2 4 5 2" xfId="14676" xr:uid="{00000000-0005-0000-0000-000063530000}"/>
    <cellStyle name="Percent 3 2 4 5 3" xfId="20990" xr:uid="{00000000-0005-0000-0000-000064530000}"/>
    <cellStyle name="Percent 3 2 4 6" xfId="14665" xr:uid="{00000000-0005-0000-0000-000065530000}"/>
    <cellStyle name="Percent 3 2 4 7" xfId="20979" xr:uid="{00000000-0005-0000-0000-000066530000}"/>
    <cellStyle name="Percent 3 2 5" xfId="8632" xr:uid="{00000000-0005-0000-0000-000067530000}"/>
    <cellStyle name="Percent 3 2 5 2" xfId="8633" xr:uid="{00000000-0005-0000-0000-000068530000}"/>
    <cellStyle name="Percent 3 2 5 2 2" xfId="8634" xr:uid="{00000000-0005-0000-0000-000069530000}"/>
    <cellStyle name="Percent 3 2 5 2 2 2" xfId="14679" xr:uid="{00000000-0005-0000-0000-00006A530000}"/>
    <cellStyle name="Percent 3 2 5 2 2 3" xfId="20993" xr:uid="{00000000-0005-0000-0000-00006B530000}"/>
    <cellStyle name="Percent 3 2 5 2 3" xfId="14678" xr:uid="{00000000-0005-0000-0000-00006C530000}"/>
    <cellStyle name="Percent 3 2 5 2 4" xfId="20992" xr:uid="{00000000-0005-0000-0000-00006D530000}"/>
    <cellStyle name="Percent 3 2 5 3" xfId="8635" xr:uid="{00000000-0005-0000-0000-00006E530000}"/>
    <cellStyle name="Percent 3 2 5 3 2" xfId="8636" xr:uid="{00000000-0005-0000-0000-00006F530000}"/>
    <cellStyle name="Percent 3 2 5 3 2 2" xfId="14681" xr:uid="{00000000-0005-0000-0000-000070530000}"/>
    <cellStyle name="Percent 3 2 5 3 2 3" xfId="20995" xr:uid="{00000000-0005-0000-0000-000071530000}"/>
    <cellStyle name="Percent 3 2 5 3 3" xfId="14680" xr:uid="{00000000-0005-0000-0000-000072530000}"/>
    <cellStyle name="Percent 3 2 5 3 4" xfId="20994" xr:uid="{00000000-0005-0000-0000-000073530000}"/>
    <cellStyle name="Percent 3 2 5 4" xfId="8637" xr:uid="{00000000-0005-0000-0000-000074530000}"/>
    <cellStyle name="Percent 3 2 5 4 2" xfId="14682" xr:uid="{00000000-0005-0000-0000-000075530000}"/>
    <cellStyle name="Percent 3 2 5 4 3" xfId="20996" xr:uid="{00000000-0005-0000-0000-000076530000}"/>
    <cellStyle name="Percent 3 2 5 5" xfId="14677" xr:uid="{00000000-0005-0000-0000-000077530000}"/>
    <cellStyle name="Percent 3 2 5 6" xfId="20991" xr:uid="{00000000-0005-0000-0000-000078530000}"/>
    <cellStyle name="Percent 3 2 6" xfId="8638" xr:uid="{00000000-0005-0000-0000-000079530000}"/>
    <cellStyle name="Percent 3 2 6 2" xfId="8639" xr:uid="{00000000-0005-0000-0000-00007A530000}"/>
    <cellStyle name="Percent 3 2 6 2 2" xfId="14684" xr:uid="{00000000-0005-0000-0000-00007B530000}"/>
    <cellStyle name="Percent 3 2 6 2 3" xfId="20998" xr:uid="{00000000-0005-0000-0000-00007C530000}"/>
    <cellStyle name="Percent 3 2 6 3" xfId="14683" xr:uid="{00000000-0005-0000-0000-00007D530000}"/>
    <cellStyle name="Percent 3 2 6 4" xfId="20997" xr:uid="{00000000-0005-0000-0000-00007E530000}"/>
    <cellStyle name="Percent 3 2 7" xfId="8640" xr:uid="{00000000-0005-0000-0000-00007F530000}"/>
    <cellStyle name="Percent 3 2 7 2" xfId="8641" xr:uid="{00000000-0005-0000-0000-000080530000}"/>
    <cellStyle name="Percent 3 2 7 2 2" xfId="14686" xr:uid="{00000000-0005-0000-0000-000081530000}"/>
    <cellStyle name="Percent 3 2 7 2 3" xfId="21000" xr:uid="{00000000-0005-0000-0000-000082530000}"/>
    <cellStyle name="Percent 3 2 7 3" xfId="14685" xr:uid="{00000000-0005-0000-0000-000083530000}"/>
    <cellStyle name="Percent 3 2 7 4" xfId="20999" xr:uid="{00000000-0005-0000-0000-000084530000}"/>
    <cellStyle name="Percent 3 2 8" xfId="8642" xr:uid="{00000000-0005-0000-0000-000085530000}"/>
    <cellStyle name="Percent 3 2 8 2" xfId="14687" xr:uid="{00000000-0005-0000-0000-000086530000}"/>
    <cellStyle name="Percent 3 2 8 3" xfId="21001" xr:uid="{00000000-0005-0000-0000-000087530000}"/>
    <cellStyle name="Percent 3 2 9" xfId="8643" xr:uid="{00000000-0005-0000-0000-000088530000}"/>
    <cellStyle name="Percent 3 2 9 2" xfId="21002" xr:uid="{00000000-0005-0000-0000-000089530000}"/>
    <cellStyle name="Percent 3 3" xfId="8644" xr:uid="{00000000-0005-0000-0000-00008A530000}"/>
    <cellStyle name="Percent 3 3 10" xfId="21003" xr:uid="{00000000-0005-0000-0000-00008B530000}"/>
    <cellStyle name="Percent 3 3 2" xfId="8645" xr:uid="{00000000-0005-0000-0000-00008C530000}"/>
    <cellStyle name="Percent 3 3 2 2" xfId="8646" xr:uid="{00000000-0005-0000-0000-00008D530000}"/>
    <cellStyle name="Percent 3 3 2 2 2" xfId="8647" xr:uid="{00000000-0005-0000-0000-00008E530000}"/>
    <cellStyle name="Percent 3 3 2 2 2 2" xfId="8648" xr:uid="{00000000-0005-0000-0000-00008F530000}"/>
    <cellStyle name="Percent 3 3 2 2 2 2 2" xfId="8649" xr:uid="{00000000-0005-0000-0000-000090530000}"/>
    <cellStyle name="Percent 3 3 2 2 2 2 2 2" xfId="14693" xr:uid="{00000000-0005-0000-0000-000091530000}"/>
    <cellStyle name="Percent 3 3 2 2 2 2 2 3" xfId="21008" xr:uid="{00000000-0005-0000-0000-000092530000}"/>
    <cellStyle name="Percent 3 3 2 2 2 2 3" xfId="14692" xr:uid="{00000000-0005-0000-0000-000093530000}"/>
    <cellStyle name="Percent 3 3 2 2 2 2 4" xfId="21007" xr:uid="{00000000-0005-0000-0000-000094530000}"/>
    <cellStyle name="Percent 3 3 2 2 2 3" xfId="8650" xr:uid="{00000000-0005-0000-0000-000095530000}"/>
    <cellStyle name="Percent 3 3 2 2 2 3 2" xfId="8651" xr:uid="{00000000-0005-0000-0000-000096530000}"/>
    <cellStyle name="Percent 3 3 2 2 2 3 2 2" xfId="14695" xr:uid="{00000000-0005-0000-0000-000097530000}"/>
    <cellStyle name="Percent 3 3 2 2 2 3 2 3" xfId="21010" xr:uid="{00000000-0005-0000-0000-000098530000}"/>
    <cellStyle name="Percent 3 3 2 2 2 3 3" xfId="14694" xr:uid="{00000000-0005-0000-0000-000099530000}"/>
    <cellStyle name="Percent 3 3 2 2 2 3 4" xfId="21009" xr:uid="{00000000-0005-0000-0000-00009A530000}"/>
    <cellStyle name="Percent 3 3 2 2 2 4" xfId="8652" xr:uid="{00000000-0005-0000-0000-00009B530000}"/>
    <cellStyle name="Percent 3 3 2 2 2 4 2" xfId="14696" xr:uid="{00000000-0005-0000-0000-00009C530000}"/>
    <cellStyle name="Percent 3 3 2 2 2 4 3" xfId="21011" xr:uid="{00000000-0005-0000-0000-00009D530000}"/>
    <cellStyle name="Percent 3 3 2 2 2 5" xfId="14691" xr:uid="{00000000-0005-0000-0000-00009E530000}"/>
    <cellStyle name="Percent 3 3 2 2 2 6" xfId="21006" xr:uid="{00000000-0005-0000-0000-00009F530000}"/>
    <cellStyle name="Percent 3 3 2 2 3" xfId="8653" xr:uid="{00000000-0005-0000-0000-0000A0530000}"/>
    <cellStyle name="Percent 3 3 2 2 3 2" xfId="8654" xr:uid="{00000000-0005-0000-0000-0000A1530000}"/>
    <cellStyle name="Percent 3 3 2 2 3 2 2" xfId="14698" xr:uid="{00000000-0005-0000-0000-0000A2530000}"/>
    <cellStyle name="Percent 3 3 2 2 3 2 3" xfId="21013" xr:uid="{00000000-0005-0000-0000-0000A3530000}"/>
    <cellStyle name="Percent 3 3 2 2 3 3" xfId="14697" xr:uid="{00000000-0005-0000-0000-0000A4530000}"/>
    <cellStyle name="Percent 3 3 2 2 3 4" xfId="21012" xr:uid="{00000000-0005-0000-0000-0000A5530000}"/>
    <cellStyle name="Percent 3 3 2 2 4" xfId="8655" xr:uid="{00000000-0005-0000-0000-0000A6530000}"/>
    <cellStyle name="Percent 3 3 2 2 4 2" xfId="8656" xr:uid="{00000000-0005-0000-0000-0000A7530000}"/>
    <cellStyle name="Percent 3 3 2 2 4 2 2" xfId="14700" xr:uid="{00000000-0005-0000-0000-0000A8530000}"/>
    <cellStyle name="Percent 3 3 2 2 4 2 3" xfId="21015" xr:uid="{00000000-0005-0000-0000-0000A9530000}"/>
    <cellStyle name="Percent 3 3 2 2 4 3" xfId="14699" xr:uid="{00000000-0005-0000-0000-0000AA530000}"/>
    <cellStyle name="Percent 3 3 2 2 4 4" xfId="21014" xr:uid="{00000000-0005-0000-0000-0000AB530000}"/>
    <cellStyle name="Percent 3 3 2 2 5" xfId="8657" xr:uid="{00000000-0005-0000-0000-0000AC530000}"/>
    <cellStyle name="Percent 3 3 2 2 5 2" xfId="14701" xr:uid="{00000000-0005-0000-0000-0000AD530000}"/>
    <cellStyle name="Percent 3 3 2 2 5 3" xfId="21016" xr:uid="{00000000-0005-0000-0000-0000AE530000}"/>
    <cellStyle name="Percent 3 3 2 2 6" xfId="14690" xr:uid="{00000000-0005-0000-0000-0000AF530000}"/>
    <cellStyle name="Percent 3 3 2 2 7" xfId="21005" xr:uid="{00000000-0005-0000-0000-0000B0530000}"/>
    <cellStyle name="Percent 3 3 2 3" xfId="8658" xr:uid="{00000000-0005-0000-0000-0000B1530000}"/>
    <cellStyle name="Percent 3 3 2 3 2" xfId="8659" xr:uid="{00000000-0005-0000-0000-0000B2530000}"/>
    <cellStyle name="Percent 3 3 2 3 2 2" xfId="8660" xr:uid="{00000000-0005-0000-0000-0000B3530000}"/>
    <cellStyle name="Percent 3 3 2 3 2 2 2" xfId="14704" xr:uid="{00000000-0005-0000-0000-0000B4530000}"/>
    <cellStyle name="Percent 3 3 2 3 2 2 3" xfId="21019" xr:uid="{00000000-0005-0000-0000-0000B5530000}"/>
    <cellStyle name="Percent 3 3 2 3 2 3" xfId="14703" xr:uid="{00000000-0005-0000-0000-0000B6530000}"/>
    <cellStyle name="Percent 3 3 2 3 2 4" xfId="21018" xr:uid="{00000000-0005-0000-0000-0000B7530000}"/>
    <cellStyle name="Percent 3 3 2 3 3" xfId="8661" xr:uid="{00000000-0005-0000-0000-0000B8530000}"/>
    <cellStyle name="Percent 3 3 2 3 3 2" xfId="8662" xr:uid="{00000000-0005-0000-0000-0000B9530000}"/>
    <cellStyle name="Percent 3 3 2 3 3 2 2" xfId="14706" xr:uid="{00000000-0005-0000-0000-0000BA530000}"/>
    <cellStyle name="Percent 3 3 2 3 3 2 3" xfId="21021" xr:uid="{00000000-0005-0000-0000-0000BB530000}"/>
    <cellStyle name="Percent 3 3 2 3 3 3" xfId="14705" xr:uid="{00000000-0005-0000-0000-0000BC530000}"/>
    <cellStyle name="Percent 3 3 2 3 3 4" xfId="21020" xr:uid="{00000000-0005-0000-0000-0000BD530000}"/>
    <cellStyle name="Percent 3 3 2 3 4" xfId="8663" xr:uid="{00000000-0005-0000-0000-0000BE530000}"/>
    <cellStyle name="Percent 3 3 2 3 4 2" xfId="14707" xr:uid="{00000000-0005-0000-0000-0000BF530000}"/>
    <cellStyle name="Percent 3 3 2 3 4 3" xfId="21022" xr:uid="{00000000-0005-0000-0000-0000C0530000}"/>
    <cellStyle name="Percent 3 3 2 3 5" xfId="14702" xr:uid="{00000000-0005-0000-0000-0000C1530000}"/>
    <cellStyle name="Percent 3 3 2 3 6" xfId="21017" xr:uid="{00000000-0005-0000-0000-0000C2530000}"/>
    <cellStyle name="Percent 3 3 2 4" xfId="8664" xr:uid="{00000000-0005-0000-0000-0000C3530000}"/>
    <cellStyle name="Percent 3 3 2 4 2" xfId="8665" xr:uid="{00000000-0005-0000-0000-0000C4530000}"/>
    <cellStyle name="Percent 3 3 2 4 2 2" xfId="14709" xr:uid="{00000000-0005-0000-0000-0000C5530000}"/>
    <cellStyle name="Percent 3 3 2 4 2 3" xfId="21024" xr:uid="{00000000-0005-0000-0000-0000C6530000}"/>
    <cellStyle name="Percent 3 3 2 4 3" xfId="14708" xr:uid="{00000000-0005-0000-0000-0000C7530000}"/>
    <cellStyle name="Percent 3 3 2 4 4" xfId="21023" xr:uid="{00000000-0005-0000-0000-0000C8530000}"/>
    <cellStyle name="Percent 3 3 2 5" xfId="8666" xr:uid="{00000000-0005-0000-0000-0000C9530000}"/>
    <cellStyle name="Percent 3 3 2 5 2" xfId="8667" xr:uid="{00000000-0005-0000-0000-0000CA530000}"/>
    <cellStyle name="Percent 3 3 2 5 2 2" xfId="14711" xr:uid="{00000000-0005-0000-0000-0000CB530000}"/>
    <cellStyle name="Percent 3 3 2 5 2 3" xfId="21026" xr:uid="{00000000-0005-0000-0000-0000CC530000}"/>
    <cellStyle name="Percent 3 3 2 5 3" xfId="14710" xr:uid="{00000000-0005-0000-0000-0000CD530000}"/>
    <cellStyle name="Percent 3 3 2 5 4" xfId="21025" xr:uid="{00000000-0005-0000-0000-0000CE530000}"/>
    <cellStyle name="Percent 3 3 2 6" xfId="8668" xr:uid="{00000000-0005-0000-0000-0000CF530000}"/>
    <cellStyle name="Percent 3 3 2 6 2" xfId="14712" xr:uid="{00000000-0005-0000-0000-0000D0530000}"/>
    <cellStyle name="Percent 3 3 2 6 3" xfId="21027" xr:uid="{00000000-0005-0000-0000-0000D1530000}"/>
    <cellStyle name="Percent 3 3 2 7" xfId="14689" xr:uid="{00000000-0005-0000-0000-0000D2530000}"/>
    <cellStyle name="Percent 3 3 2 8" xfId="21004" xr:uid="{00000000-0005-0000-0000-0000D3530000}"/>
    <cellStyle name="Percent 3 3 3" xfId="8669" xr:uid="{00000000-0005-0000-0000-0000D4530000}"/>
    <cellStyle name="Percent 3 3 3 2" xfId="8670" xr:uid="{00000000-0005-0000-0000-0000D5530000}"/>
    <cellStyle name="Percent 3 3 3 2 2" xfId="8671" xr:uid="{00000000-0005-0000-0000-0000D6530000}"/>
    <cellStyle name="Percent 3 3 3 2 2 2" xfId="8672" xr:uid="{00000000-0005-0000-0000-0000D7530000}"/>
    <cellStyle name="Percent 3 3 3 2 2 2 2" xfId="14716" xr:uid="{00000000-0005-0000-0000-0000D8530000}"/>
    <cellStyle name="Percent 3 3 3 2 2 2 3" xfId="21031" xr:uid="{00000000-0005-0000-0000-0000D9530000}"/>
    <cellStyle name="Percent 3 3 3 2 2 3" xfId="14715" xr:uid="{00000000-0005-0000-0000-0000DA530000}"/>
    <cellStyle name="Percent 3 3 3 2 2 4" xfId="21030" xr:uid="{00000000-0005-0000-0000-0000DB530000}"/>
    <cellStyle name="Percent 3 3 3 2 3" xfId="8673" xr:uid="{00000000-0005-0000-0000-0000DC530000}"/>
    <cellStyle name="Percent 3 3 3 2 3 2" xfId="8674" xr:uid="{00000000-0005-0000-0000-0000DD530000}"/>
    <cellStyle name="Percent 3 3 3 2 3 2 2" xfId="14718" xr:uid="{00000000-0005-0000-0000-0000DE530000}"/>
    <cellStyle name="Percent 3 3 3 2 3 2 3" xfId="21033" xr:uid="{00000000-0005-0000-0000-0000DF530000}"/>
    <cellStyle name="Percent 3 3 3 2 3 3" xfId="14717" xr:uid="{00000000-0005-0000-0000-0000E0530000}"/>
    <cellStyle name="Percent 3 3 3 2 3 4" xfId="21032" xr:uid="{00000000-0005-0000-0000-0000E1530000}"/>
    <cellStyle name="Percent 3 3 3 2 4" xfId="8675" xr:uid="{00000000-0005-0000-0000-0000E2530000}"/>
    <cellStyle name="Percent 3 3 3 2 4 2" xfId="14719" xr:uid="{00000000-0005-0000-0000-0000E3530000}"/>
    <cellStyle name="Percent 3 3 3 2 4 3" xfId="21034" xr:uid="{00000000-0005-0000-0000-0000E4530000}"/>
    <cellStyle name="Percent 3 3 3 2 5" xfId="14714" xr:uid="{00000000-0005-0000-0000-0000E5530000}"/>
    <cellStyle name="Percent 3 3 3 2 6" xfId="21029" xr:uid="{00000000-0005-0000-0000-0000E6530000}"/>
    <cellStyle name="Percent 3 3 3 3" xfId="8676" xr:uid="{00000000-0005-0000-0000-0000E7530000}"/>
    <cellStyle name="Percent 3 3 3 3 2" xfId="8677" xr:uid="{00000000-0005-0000-0000-0000E8530000}"/>
    <cellStyle name="Percent 3 3 3 3 2 2" xfId="14721" xr:uid="{00000000-0005-0000-0000-0000E9530000}"/>
    <cellStyle name="Percent 3 3 3 3 2 3" xfId="21036" xr:uid="{00000000-0005-0000-0000-0000EA530000}"/>
    <cellStyle name="Percent 3 3 3 3 3" xfId="14720" xr:uid="{00000000-0005-0000-0000-0000EB530000}"/>
    <cellStyle name="Percent 3 3 3 3 4" xfId="21035" xr:uid="{00000000-0005-0000-0000-0000EC530000}"/>
    <cellStyle name="Percent 3 3 3 4" xfId="8678" xr:uid="{00000000-0005-0000-0000-0000ED530000}"/>
    <cellStyle name="Percent 3 3 3 4 2" xfId="8679" xr:uid="{00000000-0005-0000-0000-0000EE530000}"/>
    <cellStyle name="Percent 3 3 3 4 2 2" xfId="14723" xr:uid="{00000000-0005-0000-0000-0000EF530000}"/>
    <cellStyle name="Percent 3 3 3 4 2 3" xfId="21038" xr:uid="{00000000-0005-0000-0000-0000F0530000}"/>
    <cellStyle name="Percent 3 3 3 4 3" xfId="14722" xr:uid="{00000000-0005-0000-0000-0000F1530000}"/>
    <cellStyle name="Percent 3 3 3 4 4" xfId="21037" xr:uid="{00000000-0005-0000-0000-0000F2530000}"/>
    <cellStyle name="Percent 3 3 3 5" xfId="8680" xr:uid="{00000000-0005-0000-0000-0000F3530000}"/>
    <cellStyle name="Percent 3 3 3 5 2" xfId="14724" xr:uid="{00000000-0005-0000-0000-0000F4530000}"/>
    <cellStyle name="Percent 3 3 3 5 3" xfId="21039" xr:uid="{00000000-0005-0000-0000-0000F5530000}"/>
    <cellStyle name="Percent 3 3 3 6" xfId="14713" xr:uid="{00000000-0005-0000-0000-0000F6530000}"/>
    <cellStyle name="Percent 3 3 3 7" xfId="21028" xr:uid="{00000000-0005-0000-0000-0000F7530000}"/>
    <cellStyle name="Percent 3 3 4" xfId="8681" xr:uid="{00000000-0005-0000-0000-0000F8530000}"/>
    <cellStyle name="Percent 3 3 4 2" xfId="8682" xr:uid="{00000000-0005-0000-0000-0000F9530000}"/>
    <cellStyle name="Percent 3 3 4 2 2" xfId="8683" xr:uid="{00000000-0005-0000-0000-0000FA530000}"/>
    <cellStyle name="Percent 3 3 4 2 2 2" xfId="14727" xr:uid="{00000000-0005-0000-0000-0000FB530000}"/>
    <cellStyle name="Percent 3 3 4 2 2 3" xfId="21042" xr:uid="{00000000-0005-0000-0000-0000FC530000}"/>
    <cellStyle name="Percent 3 3 4 2 3" xfId="14726" xr:uid="{00000000-0005-0000-0000-0000FD530000}"/>
    <cellStyle name="Percent 3 3 4 2 4" xfId="21041" xr:uid="{00000000-0005-0000-0000-0000FE530000}"/>
    <cellStyle name="Percent 3 3 4 3" xfId="8684" xr:uid="{00000000-0005-0000-0000-0000FF530000}"/>
    <cellStyle name="Percent 3 3 4 3 2" xfId="8685" xr:uid="{00000000-0005-0000-0000-000000540000}"/>
    <cellStyle name="Percent 3 3 4 3 2 2" xfId="14729" xr:uid="{00000000-0005-0000-0000-000001540000}"/>
    <cellStyle name="Percent 3 3 4 3 2 3" xfId="21044" xr:uid="{00000000-0005-0000-0000-000002540000}"/>
    <cellStyle name="Percent 3 3 4 3 3" xfId="14728" xr:uid="{00000000-0005-0000-0000-000003540000}"/>
    <cellStyle name="Percent 3 3 4 3 4" xfId="21043" xr:uid="{00000000-0005-0000-0000-000004540000}"/>
    <cellStyle name="Percent 3 3 4 4" xfId="8686" xr:uid="{00000000-0005-0000-0000-000005540000}"/>
    <cellStyle name="Percent 3 3 4 4 2" xfId="14730" xr:uid="{00000000-0005-0000-0000-000006540000}"/>
    <cellStyle name="Percent 3 3 4 4 3" xfId="21045" xr:uid="{00000000-0005-0000-0000-000007540000}"/>
    <cellStyle name="Percent 3 3 4 5" xfId="14725" xr:uid="{00000000-0005-0000-0000-000008540000}"/>
    <cellStyle name="Percent 3 3 4 6" xfId="21040" xr:uid="{00000000-0005-0000-0000-000009540000}"/>
    <cellStyle name="Percent 3 3 5" xfId="8687" xr:uid="{00000000-0005-0000-0000-00000A540000}"/>
    <cellStyle name="Percent 3 3 5 2" xfId="8688" xr:uid="{00000000-0005-0000-0000-00000B540000}"/>
    <cellStyle name="Percent 3 3 5 2 2" xfId="14732" xr:uid="{00000000-0005-0000-0000-00000C540000}"/>
    <cellStyle name="Percent 3 3 5 2 3" xfId="21047" xr:uid="{00000000-0005-0000-0000-00000D540000}"/>
    <cellStyle name="Percent 3 3 5 3" xfId="14731" xr:uid="{00000000-0005-0000-0000-00000E540000}"/>
    <cellStyle name="Percent 3 3 5 4" xfId="21046" xr:uid="{00000000-0005-0000-0000-00000F540000}"/>
    <cellStyle name="Percent 3 3 6" xfId="8689" xr:uid="{00000000-0005-0000-0000-000010540000}"/>
    <cellStyle name="Percent 3 3 6 2" xfId="8690" xr:uid="{00000000-0005-0000-0000-000011540000}"/>
    <cellStyle name="Percent 3 3 6 2 2" xfId="14734" xr:uid="{00000000-0005-0000-0000-000012540000}"/>
    <cellStyle name="Percent 3 3 6 2 3" xfId="21049" xr:uid="{00000000-0005-0000-0000-000013540000}"/>
    <cellStyle name="Percent 3 3 6 3" xfId="14733" xr:uid="{00000000-0005-0000-0000-000014540000}"/>
    <cellStyle name="Percent 3 3 6 4" xfId="21048" xr:uid="{00000000-0005-0000-0000-000015540000}"/>
    <cellStyle name="Percent 3 3 7" xfId="8691" xr:uid="{00000000-0005-0000-0000-000016540000}"/>
    <cellStyle name="Percent 3 3 7 2" xfId="14735" xr:uid="{00000000-0005-0000-0000-000017540000}"/>
    <cellStyle name="Percent 3 3 7 3" xfId="21050" xr:uid="{00000000-0005-0000-0000-000018540000}"/>
    <cellStyle name="Percent 3 3 8" xfId="8692" xr:uid="{00000000-0005-0000-0000-000019540000}"/>
    <cellStyle name="Percent 3 3 8 2" xfId="21051" xr:uid="{00000000-0005-0000-0000-00001A540000}"/>
    <cellStyle name="Percent 3 3 9" xfId="14688" xr:uid="{00000000-0005-0000-0000-00001B540000}"/>
    <cellStyle name="Percent 3 4" xfId="8693" xr:uid="{00000000-0005-0000-0000-00001C540000}"/>
    <cellStyle name="Percent 3 4 2" xfId="8694" xr:uid="{00000000-0005-0000-0000-00001D540000}"/>
    <cellStyle name="Percent 3 4 2 2" xfId="8695" xr:uid="{00000000-0005-0000-0000-00001E540000}"/>
    <cellStyle name="Percent 3 4 2 2 2" xfId="8696" xr:uid="{00000000-0005-0000-0000-00001F540000}"/>
    <cellStyle name="Percent 3 4 2 2 2 2" xfId="8697" xr:uid="{00000000-0005-0000-0000-000020540000}"/>
    <cellStyle name="Percent 3 4 2 2 2 2 2" xfId="8698" xr:uid="{00000000-0005-0000-0000-000021540000}"/>
    <cellStyle name="Percent 3 4 2 2 2 2 2 2" xfId="14741" xr:uid="{00000000-0005-0000-0000-000022540000}"/>
    <cellStyle name="Percent 3 4 2 2 2 2 2 3" xfId="21057" xr:uid="{00000000-0005-0000-0000-000023540000}"/>
    <cellStyle name="Percent 3 4 2 2 2 2 3" xfId="14740" xr:uid="{00000000-0005-0000-0000-000024540000}"/>
    <cellStyle name="Percent 3 4 2 2 2 2 4" xfId="21056" xr:uid="{00000000-0005-0000-0000-000025540000}"/>
    <cellStyle name="Percent 3 4 2 2 2 3" xfId="8699" xr:uid="{00000000-0005-0000-0000-000026540000}"/>
    <cellStyle name="Percent 3 4 2 2 2 3 2" xfId="8700" xr:uid="{00000000-0005-0000-0000-000027540000}"/>
    <cellStyle name="Percent 3 4 2 2 2 3 2 2" xfId="14743" xr:uid="{00000000-0005-0000-0000-000028540000}"/>
    <cellStyle name="Percent 3 4 2 2 2 3 2 3" xfId="21059" xr:uid="{00000000-0005-0000-0000-000029540000}"/>
    <cellStyle name="Percent 3 4 2 2 2 3 3" xfId="14742" xr:uid="{00000000-0005-0000-0000-00002A540000}"/>
    <cellStyle name="Percent 3 4 2 2 2 3 4" xfId="21058" xr:uid="{00000000-0005-0000-0000-00002B540000}"/>
    <cellStyle name="Percent 3 4 2 2 2 4" xfId="8701" xr:uid="{00000000-0005-0000-0000-00002C540000}"/>
    <cellStyle name="Percent 3 4 2 2 2 4 2" xfId="14744" xr:uid="{00000000-0005-0000-0000-00002D540000}"/>
    <cellStyle name="Percent 3 4 2 2 2 4 3" xfId="21060" xr:uid="{00000000-0005-0000-0000-00002E540000}"/>
    <cellStyle name="Percent 3 4 2 2 2 5" xfId="14739" xr:uid="{00000000-0005-0000-0000-00002F540000}"/>
    <cellStyle name="Percent 3 4 2 2 2 6" xfId="21055" xr:uid="{00000000-0005-0000-0000-000030540000}"/>
    <cellStyle name="Percent 3 4 2 2 3" xfId="8702" xr:uid="{00000000-0005-0000-0000-000031540000}"/>
    <cellStyle name="Percent 3 4 2 2 3 2" xfId="8703" xr:uid="{00000000-0005-0000-0000-000032540000}"/>
    <cellStyle name="Percent 3 4 2 2 3 2 2" xfId="14746" xr:uid="{00000000-0005-0000-0000-000033540000}"/>
    <cellStyle name="Percent 3 4 2 2 3 2 3" xfId="21062" xr:uid="{00000000-0005-0000-0000-000034540000}"/>
    <cellStyle name="Percent 3 4 2 2 3 3" xfId="14745" xr:uid="{00000000-0005-0000-0000-000035540000}"/>
    <cellStyle name="Percent 3 4 2 2 3 4" xfId="21061" xr:uid="{00000000-0005-0000-0000-000036540000}"/>
    <cellStyle name="Percent 3 4 2 2 4" xfId="8704" xr:uid="{00000000-0005-0000-0000-000037540000}"/>
    <cellStyle name="Percent 3 4 2 2 4 2" xfId="8705" xr:uid="{00000000-0005-0000-0000-000038540000}"/>
    <cellStyle name="Percent 3 4 2 2 4 2 2" xfId="14748" xr:uid="{00000000-0005-0000-0000-000039540000}"/>
    <cellStyle name="Percent 3 4 2 2 4 2 3" xfId="21064" xr:uid="{00000000-0005-0000-0000-00003A540000}"/>
    <cellStyle name="Percent 3 4 2 2 4 3" xfId="14747" xr:uid="{00000000-0005-0000-0000-00003B540000}"/>
    <cellStyle name="Percent 3 4 2 2 4 4" xfId="21063" xr:uid="{00000000-0005-0000-0000-00003C540000}"/>
    <cellStyle name="Percent 3 4 2 2 5" xfId="8706" xr:uid="{00000000-0005-0000-0000-00003D540000}"/>
    <cellStyle name="Percent 3 4 2 2 5 2" xfId="14749" xr:uid="{00000000-0005-0000-0000-00003E540000}"/>
    <cellStyle name="Percent 3 4 2 2 5 3" xfId="21065" xr:uid="{00000000-0005-0000-0000-00003F540000}"/>
    <cellStyle name="Percent 3 4 2 2 6" xfId="14738" xr:uid="{00000000-0005-0000-0000-000040540000}"/>
    <cellStyle name="Percent 3 4 2 2 7" xfId="21054" xr:uid="{00000000-0005-0000-0000-000041540000}"/>
    <cellStyle name="Percent 3 4 2 3" xfId="8707" xr:uid="{00000000-0005-0000-0000-000042540000}"/>
    <cellStyle name="Percent 3 4 2 3 2" xfId="8708" xr:uid="{00000000-0005-0000-0000-000043540000}"/>
    <cellStyle name="Percent 3 4 2 3 2 2" xfId="8709" xr:uid="{00000000-0005-0000-0000-000044540000}"/>
    <cellStyle name="Percent 3 4 2 3 2 2 2" xfId="14752" xr:uid="{00000000-0005-0000-0000-000045540000}"/>
    <cellStyle name="Percent 3 4 2 3 2 2 3" xfId="21068" xr:uid="{00000000-0005-0000-0000-000046540000}"/>
    <cellStyle name="Percent 3 4 2 3 2 3" xfId="14751" xr:uid="{00000000-0005-0000-0000-000047540000}"/>
    <cellStyle name="Percent 3 4 2 3 2 4" xfId="21067" xr:uid="{00000000-0005-0000-0000-000048540000}"/>
    <cellStyle name="Percent 3 4 2 3 3" xfId="8710" xr:uid="{00000000-0005-0000-0000-000049540000}"/>
    <cellStyle name="Percent 3 4 2 3 3 2" xfId="8711" xr:uid="{00000000-0005-0000-0000-00004A540000}"/>
    <cellStyle name="Percent 3 4 2 3 3 2 2" xfId="14754" xr:uid="{00000000-0005-0000-0000-00004B540000}"/>
    <cellStyle name="Percent 3 4 2 3 3 2 3" xfId="21070" xr:uid="{00000000-0005-0000-0000-00004C540000}"/>
    <cellStyle name="Percent 3 4 2 3 3 3" xfId="14753" xr:uid="{00000000-0005-0000-0000-00004D540000}"/>
    <cellStyle name="Percent 3 4 2 3 3 4" xfId="21069" xr:uid="{00000000-0005-0000-0000-00004E540000}"/>
    <cellStyle name="Percent 3 4 2 3 4" xfId="8712" xr:uid="{00000000-0005-0000-0000-00004F540000}"/>
    <cellStyle name="Percent 3 4 2 3 4 2" xfId="14755" xr:uid="{00000000-0005-0000-0000-000050540000}"/>
    <cellStyle name="Percent 3 4 2 3 4 3" xfId="21071" xr:uid="{00000000-0005-0000-0000-000051540000}"/>
    <cellStyle name="Percent 3 4 2 3 5" xfId="14750" xr:uid="{00000000-0005-0000-0000-000052540000}"/>
    <cellStyle name="Percent 3 4 2 3 6" xfId="21066" xr:uid="{00000000-0005-0000-0000-000053540000}"/>
    <cellStyle name="Percent 3 4 2 4" xfId="8713" xr:uid="{00000000-0005-0000-0000-000054540000}"/>
    <cellStyle name="Percent 3 4 2 4 2" xfId="8714" xr:uid="{00000000-0005-0000-0000-000055540000}"/>
    <cellStyle name="Percent 3 4 2 4 2 2" xfId="14757" xr:uid="{00000000-0005-0000-0000-000056540000}"/>
    <cellStyle name="Percent 3 4 2 4 2 3" xfId="21073" xr:uid="{00000000-0005-0000-0000-000057540000}"/>
    <cellStyle name="Percent 3 4 2 4 3" xfId="14756" xr:uid="{00000000-0005-0000-0000-000058540000}"/>
    <cellStyle name="Percent 3 4 2 4 4" xfId="21072" xr:uid="{00000000-0005-0000-0000-000059540000}"/>
    <cellStyle name="Percent 3 4 2 5" xfId="8715" xr:uid="{00000000-0005-0000-0000-00005A540000}"/>
    <cellStyle name="Percent 3 4 2 5 2" xfId="8716" xr:uid="{00000000-0005-0000-0000-00005B540000}"/>
    <cellStyle name="Percent 3 4 2 5 2 2" xfId="14759" xr:uid="{00000000-0005-0000-0000-00005C540000}"/>
    <cellStyle name="Percent 3 4 2 5 2 3" xfId="21075" xr:uid="{00000000-0005-0000-0000-00005D540000}"/>
    <cellStyle name="Percent 3 4 2 5 3" xfId="14758" xr:uid="{00000000-0005-0000-0000-00005E540000}"/>
    <cellStyle name="Percent 3 4 2 5 4" xfId="21074" xr:uid="{00000000-0005-0000-0000-00005F540000}"/>
    <cellStyle name="Percent 3 4 2 6" xfId="8717" xr:uid="{00000000-0005-0000-0000-000060540000}"/>
    <cellStyle name="Percent 3 4 2 6 2" xfId="14760" xr:uid="{00000000-0005-0000-0000-000061540000}"/>
    <cellStyle name="Percent 3 4 2 6 3" xfId="21076" xr:uid="{00000000-0005-0000-0000-000062540000}"/>
    <cellStyle name="Percent 3 4 2 7" xfId="14737" xr:uid="{00000000-0005-0000-0000-000063540000}"/>
    <cellStyle name="Percent 3 4 2 8" xfId="21053" xr:uid="{00000000-0005-0000-0000-000064540000}"/>
    <cellStyle name="Percent 3 4 3" xfId="8718" xr:uid="{00000000-0005-0000-0000-000065540000}"/>
    <cellStyle name="Percent 3 4 3 2" xfId="8719" xr:uid="{00000000-0005-0000-0000-000066540000}"/>
    <cellStyle name="Percent 3 4 3 2 2" xfId="8720" xr:uid="{00000000-0005-0000-0000-000067540000}"/>
    <cellStyle name="Percent 3 4 3 2 2 2" xfId="8721" xr:uid="{00000000-0005-0000-0000-000068540000}"/>
    <cellStyle name="Percent 3 4 3 2 2 2 2" xfId="14764" xr:uid="{00000000-0005-0000-0000-000069540000}"/>
    <cellStyle name="Percent 3 4 3 2 2 2 3" xfId="21080" xr:uid="{00000000-0005-0000-0000-00006A540000}"/>
    <cellStyle name="Percent 3 4 3 2 2 3" xfId="14763" xr:uid="{00000000-0005-0000-0000-00006B540000}"/>
    <cellStyle name="Percent 3 4 3 2 2 4" xfId="21079" xr:uid="{00000000-0005-0000-0000-00006C540000}"/>
    <cellStyle name="Percent 3 4 3 2 3" xfId="8722" xr:uid="{00000000-0005-0000-0000-00006D540000}"/>
    <cellStyle name="Percent 3 4 3 2 3 2" xfId="8723" xr:uid="{00000000-0005-0000-0000-00006E540000}"/>
    <cellStyle name="Percent 3 4 3 2 3 2 2" xfId="14766" xr:uid="{00000000-0005-0000-0000-00006F540000}"/>
    <cellStyle name="Percent 3 4 3 2 3 2 3" xfId="21082" xr:uid="{00000000-0005-0000-0000-000070540000}"/>
    <cellStyle name="Percent 3 4 3 2 3 3" xfId="14765" xr:uid="{00000000-0005-0000-0000-000071540000}"/>
    <cellStyle name="Percent 3 4 3 2 3 4" xfId="21081" xr:uid="{00000000-0005-0000-0000-000072540000}"/>
    <cellStyle name="Percent 3 4 3 2 4" xfId="8724" xr:uid="{00000000-0005-0000-0000-000073540000}"/>
    <cellStyle name="Percent 3 4 3 2 4 2" xfId="14767" xr:uid="{00000000-0005-0000-0000-000074540000}"/>
    <cellStyle name="Percent 3 4 3 2 4 3" xfId="21083" xr:uid="{00000000-0005-0000-0000-000075540000}"/>
    <cellStyle name="Percent 3 4 3 2 5" xfId="14762" xr:uid="{00000000-0005-0000-0000-000076540000}"/>
    <cellStyle name="Percent 3 4 3 2 6" xfId="21078" xr:uid="{00000000-0005-0000-0000-000077540000}"/>
    <cellStyle name="Percent 3 4 3 3" xfId="8725" xr:uid="{00000000-0005-0000-0000-000078540000}"/>
    <cellStyle name="Percent 3 4 3 3 2" xfId="8726" xr:uid="{00000000-0005-0000-0000-000079540000}"/>
    <cellStyle name="Percent 3 4 3 3 2 2" xfId="14769" xr:uid="{00000000-0005-0000-0000-00007A540000}"/>
    <cellStyle name="Percent 3 4 3 3 2 3" xfId="21085" xr:uid="{00000000-0005-0000-0000-00007B540000}"/>
    <cellStyle name="Percent 3 4 3 3 3" xfId="14768" xr:uid="{00000000-0005-0000-0000-00007C540000}"/>
    <cellStyle name="Percent 3 4 3 3 4" xfId="21084" xr:uid="{00000000-0005-0000-0000-00007D540000}"/>
    <cellStyle name="Percent 3 4 3 4" xfId="8727" xr:uid="{00000000-0005-0000-0000-00007E540000}"/>
    <cellStyle name="Percent 3 4 3 4 2" xfId="8728" xr:uid="{00000000-0005-0000-0000-00007F540000}"/>
    <cellStyle name="Percent 3 4 3 4 2 2" xfId="14771" xr:uid="{00000000-0005-0000-0000-000080540000}"/>
    <cellStyle name="Percent 3 4 3 4 2 3" xfId="21087" xr:uid="{00000000-0005-0000-0000-000081540000}"/>
    <cellStyle name="Percent 3 4 3 4 3" xfId="14770" xr:uid="{00000000-0005-0000-0000-000082540000}"/>
    <cellStyle name="Percent 3 4 3 4 4" xfId="21086" xr:uid="{00000000-0005-0000-0000-000083540000}"/>
    <cellStyle name="Percent 3 4 3 5" xfId="8729" xr:uid="{00000000-0005-0000-0000-000084540000}"/>
    <cellStyle name="Percent 3 4 3 5 2" xfId="14772" xr:uid="{00000000-0005-0000-0000-000085540000}"/>
    <cellStyle name="Percent 3 4 3 5 3" xfId="21088" xr:uid="{00000000-0005-0000-0000-000086540000}"/>
    <cellStyle name="Percent 3 4 3 6" xfId="14761" xr:uid="{00000000-0005-0000-0000-000087540000}"/>
    <cellStyle name="Percent 3 4 3 7" xfId="21077" xr:uid="{00000000-0005-0000-0000-000088540000}"/>
    <cellStyle name="Percent 3 4 4" xfId="8730" xr:uid="{00000000-0005-0000-0000-000089540000}"/>
    <cellStyle name="Percent 3 4 4 2" xfId="8731" xr:uid="{00000000-0005-0000-0000-00008A540000}"/>
    <cellStyle name="Percent 3 4 4 2 2" xfId="8732" xr:uid="{00000000-0005-0000-0000-00008B540000}"/>
    <cellStyle name="Percent 3 4 4 2 2 2" xfId="14775" xr:uid="{00000000-0005-0000-0000-00008C540000}"/>
    <cellStyle name="Percent 3 4 4 2 2 3" xfId="21091" xr:uid="{00000000-0005-0000-0000-00008D540000}"/>
    <cellStyle name="Percent 3 4 4 2 3" xfId="14774" xr:uid="{00000000-0005-0000-0000-00008E540000}"/>
    <cellStyle name="Percent 3 4 4 2 4" xfId="21090" xr:uid="{00000000-0005-0000-0000-00008F540000}"/>
    <cellStyle name="Percent 3 4 4 3" xfId="8733" xr:uid="{00000000-0005-0000-0000-000090540000}"/>
    <cellStyle name="Percent 3 4 4 3 2" xfId="8734" xr:uid="{00000000-0005-0000-0000-000091540000}"/>
    <cellStyle name="Percent 3 4 4 3 2 2" xfId="14777" xr:uid="{00000000-0005-0000-0000-000092540000}"/>
    <cellStyle name="Percent 3 4 4 3 2 3" xfId="21093" xr:uid="{00000000-0005-0000-0000-000093540000}"/>
    <cellStyle name="Percent 3 4 4 3 3" xfId="14776" xr:uid="{00000000-0005-0000-0000-000094540000}"/>
    <cellStyle name="Percent 3 4 4 3 4" xfId="21092" xr:uid="{00000000-0005-0000-0000-000095540000}"/>
    <cellStyle name="Percent 3 4 4 4" xfId="8735" xr:uid="{00000000-0005-0000-0000-000096540000}"/>
    <cellStyle name="Percent 3 4 4 4 2" xfId="14778" xr:uid="{00000000-0005-0000-0000-000097540000}"/>
    <cellStyle name="Percent 3 4 4 4 3" xfId="21094" xr:uid="{00000000-0005-0000-0000-000098540000}"/>
    <cellStyle name="Percent 3 4 4 5" xfId="14773" xr:uid="{00000000-0005-0000-0000-000099540000}"/>
    <cellStyle name="Percent 3 4 4 6" xfId="21089" xr:uid="{00000000-0005-0000-0000-00009A540000}"/>
    <cellStyle name="Percent 3 4 5" xfId="8736" xr:uid="{00000000-0005-0000-0000-00009B540000}"/>
    <cellStyle name="Percent 3 4 5 2" xfId="8737" xr:uid="{00000000-0005-0000-0000-00009C540000}"/>
    <cellStyle name="Percent 3 4 5 2 2" xfId="14780" xr:uid="{00000000-0005-0000-0000-00009D540000}"/>
    <cellStyle name="Percent 3 4 5 2 3" xfId="21096" xr:uid="{00000000-0005-0000-0000-00009E540000}"/>
    <cellStyle name="Percent 3 4 5 3" xfId="14779" xr:uid="{00000000-0005-0000-0000-00009F540000}"/>
    <cellStyle name="Percent 3 4 5 4" xfId="21095" xr:uid="{00000000-0005-0000-0000-0000A0540000}"/>
    <cellStyle name="Percent 3 4 6" xfId="8738" xr:uid="{00000000-0005-0000-0000-0000A1540000}"/>
    <cellStyle name="Percent 3 4 6 2" xfId="8739" xr:uid="{00000000-0005-0000-0000-0000A2540000}"/>
    <cellStyle name="Percent 3 4 6 2 2" xfId="14782" xr:uid="{00000000-0005-0000-0000-0000A3540000}"/>
    <cellStyle name="Percent 3 4 6 2 3" xfId="21098" xr:uid="{00000000-0005-0000-0000-0000A4540000}"/>
    <cellStyle name="Percent 3 4 6 3" xfId="14781" xr:uid="{00000000-0005-0000-0000-0000A5540000}"/>
    <cellStyle name="Percent 3 4 6 4" xfId="21097" xr:uid="{00000000-0005-0000-0000-0000A6540000}"/>
    <cellStyle name="Percent 3 4 7" xfId="8740" xr:uid="{00000000-0005-0000-0000-0000A7540000}"/>
    <cellStyle name="Percent 3 4 7 2" xfId="14783" xr:uid="{00000000-0005-0000-0000-0000A8540000}"/>
    <cellStyle name="Percent 3 4 7 3" xfId="21099" xr:uid="{00000000-0005-0000-0000-0000A9540000}"/>
    <cellStyle name="Percent 3 4 8" xfId="14736" xr:uid="{00000000-0005-0000-0000-0000AA540000}"/>
    <cellStyle name="Percent 3 4 9" xfId="21052" xr:uid="{00000000-0005-0000-0000-0000AB540000}"/>
    <cellStyle name="Percent 3 5" xfId="8741" xr:uid="{00000000-0005-0000-0000-0000AC540000}"/>
    <cellStyle name="Percent 3 5 2" xfId="8742" xr:uid="{00000000-0005-0000-0000-0000AD540000}"/>
    <cellStyle name="Percent 3 5 2 2" xfId="14785" xr:uid="{00000000-0005-0000-0000-0000AE540000}"/>
    <cellStyle name="Percent 3 5 2 3" xfId="21101" xr:uid="{00000000-0005-0000-0000-0000AF540000}"/>
    <cellStyle name="Percent 3 5 3" xfId="14784" xr:uid="{00000000-0005-0000-0000-0000B0540000}"/>
    <cellStyle name="Percent 3 5 4" xfId="21100" xr:uid="{00000000-0005-0000-0000-0000B1540000}"/>
    <cellStyle name="Percent 3 6" xfId="8743" xr:uid="{00000000-0005-0000-0000-0000B2540000}"/>
    <cellStyle name="Percent 3 6 2" xfId="8744" xr:uid="{00000000-0005-0000-0000-0000B3540000}"/>
    <cellStyle name="Percent 3 6 2 2" xfId="8745" xr:uid="{00000000-0005-0000-0000-0000B4540000}"/>
    <cellStyle name="Percent 3 6 2 2 2" xfId="8746" xr:uid="{00000000-0005-0000-0000-0000B5540000}"/>
    <cellStyle name="Percent 3 6 2 2 2 2" xfId="14789" xr:uid="{00000000-0005-0000-0000-0000B6540000}"/>
    <cellStyle name="Percent 3 6 2 2 2 3" xfId="21105" xr:uid="{00000000-0005-0000-0000-0000B7540000}"/>
    <cellStyle name="Percent 3 6 2 2 3" xfId="14788" xr:uid="{00000000-0005-0000-0000-0000B8540000}"/>
    <cellStyle name="Percent 3 6 2 2 4" xfId="21104" xr:uid="{00000000-0005-0000-0000-0000B9540000}"/>
    <cellStyle name="Percent 3 6 2 3" xfId="8747" xr:uid="{00000000-0005-0000-0000-0000BA540000}"/>
    <cellStyle name="Percent 3 6 2 3 2" xfId="8748" xr:uid="{00000000-0005-0000-0000-0000BB540000}"/>
    <cellStyle name="Percent 3 6 2 3 2 2" xfId="14791" xr:uid="{00000000-0005-0000-0000-0000BC540000}"/>
    <cellStyle name="Percent 3 6 2 3 2 3" xfId="21107" xr:uid="{00000000-0005-0000-0000-0000BD540000}"/>
    <cellStyle name="Percent 3 6 2 3 3" xfId="14790" xr:uid="{00000000-0005-0000-0000-0000BE540000}"/>
    <cellStyle name="Percent 3 6 2 3 4" xfId="21106" xr:uid="{00000000-0005-0000-0000-0000BF540000}"/>
    <cellStyle name="Percent 3 6 2 4" xfId="8749" xr:uid="{00000000-0005-0000-0000-0000C0540000}"/>
    <cellStyle name="Percent 3 6 2 4 2" xfId="14792" xr:uid="{00000000-0005-0000-0000-0000C1540000}"/>
    <cellStyle name="Percent 3 6 2 4 3" xfId="21108" xr:uid="{00000000-0005-0000-0000-0000C2540000}"/>
    <cellStyle name="Percent 3 6 2 5" xfId="14787" xr:uid="{00000000-0005-0000-0000-0000C3540000}"/>
    <cellStyle name="Percent 3 6 2 6" xfId="21103" xr:uid="{00000000-0005-0000-0000-0000C4540000}"/>
    <cellStyle name="Percent 3 6 3" xfId="8750" xr:uid="{00000000-0005-0000-0000-0000C5540000}"/>
    <cellStyle name="Percent 3 6 3 2" xfId="8751" xr:uid="{00000000-0005-0000-0000-0000C6540000}"/>
    <cellStyle name="Percent 3 6 3 2 2" xfId="14794" xr:uid="{00000000-0005-0000-0000-0000C7540000}"/>
    <cellStyle name="Percent 3 6 3 2 3" xfId="21110" xr:uid="{00000000-0005-0000-0000-0000C8540000}"/>
    <cellStyle name="Percent 3 6 3 3" xfId="14793" xr:uid="{00000000-0005-0000-0000-0000C9540000}"/>
    <cellStyle name="Percent 3 6 3 4" xfId="21109" xr:uid="{00000000-0005-0000-0000-0000CA540000}"/>
    <cellStyle name="Percent 3 6 4" xfId="8752" xr:uid="{00000000-0005-0000-0000-0000CB540000}"/>
    <cellStyle name="Percent 3 6 4 2" xfId="8753" xr:uid="{00000000-0005-0000-0000-0000CC540000}"/>
    <cellStyle name="Percent 3 6 4 2 2" xfId="14796" xr:uid="{00000000-0005-0000-0000-0000CD540000}"/>
    <cellStyle name="Percent 3 6 4 2 3" xfId="21112" xr:uid="{00000000-0005-0000-0000-0000CE540000}"/>
    <cellStyle name="Percent 3 6 4 3" xfId="14795" xr:uid="{00000000-0005-0000-0000-0000CF540000}"/>
    <cellStyle name="Percent 3 6 4 4" xfId="21111" xr:uid="{00000000-0005-0000-0000-0000D0540000}"/>
    <cellStyle name="Percent 3 6 5" xfId="8754" xr:uid="{00000000-0005-0000-0000-0000D1540000}"/>
    <cellStyle name="Percent 3 6 5 2" xfId="14797" xr:uid="{00000000-0005-0000-0000-0000D2540000}"/>
    <cellStyle name="Percent 3 6 5 3" xfId="21113" xr:uid="{00000000-0005-0000-0000-0000D3540000}"/>
    <cellStyle name="Percent 3 6 6" xfId="14786" xr:uid="{00000000-0005-0000-0000-0000D4540000}"/>
    <cellStyle name="Percent 3 6 7" xfId="21102" xr:uid="{00000000-0005-0000-0000-0000D5540000}"/>
    <cellStyle name="Percent 3 7" xfId="8755" xr:uid="{00000000-0005-0000-0000-0000D6540000}"/>
    <cellStyle name="Percent 3 7 2" xfId="8756" xr:uid="{00000000-0005-0000-0000-0000D7540000}"/>
    <cellStyle name="Percent 3 7 2 2" xfId="8757" xr:uid="{00000000-0005-0000-0000-0000D8540000}"/>
    <cellStyle name="Percent 3 7 2 2 2" xfId="14800" xr:uid="{00000000-0005-0000-0000-0000D9540000}"/>
    <cellStyle name="Percent 3 7 2 2 3" xfId="21116" xr:uid="{00000000-0005-0000-0000-0000DA540000}"/>
    <cellStyle name="Percent 3 7 2 3" xfId="14799" xr:uid="{00000000-0005-0000-0000-0000DB540000}"/>
    <cellStyle name="Percent 3 7 2 4" xfId="21115" xr:uid="{00000000-0005-0000-0000-0000DC540000}"/>
    <cellStyle name="Percent 3 7 3" xfId="8758" xr:uid="{00000000-0005-0000-0000-0000DD540000}"/>
    <cellStyle name="Percent 3 7 3 2" xfId="8759" xr:uid="{00000000-0005-0000-0000-0000DE540000}"/>
    <cellStyle name="Percent 3 7 3 2 2" xfId="14802" xr:uid="{00000000-0005-0000-0000-0000DF540000}"/>
    <cellStyle name="Percent 3 7 3 2 3" xfId="21118" xr:uid="{00000000-0005-0000-0000-0000E0540000}"/>
    <cellStyle name="Percent 3 7 3 3" xfId="14801" xr:uid="{00000000-0005-0000-0000-0000E1540000}"/>
    <cellStyle name="Percent 3 7 3 4" xfId="21117" xr:uid="{00000000-0005-0000-0000-0000E2540000}"/>
    <cellStyle name="Percent 3 7 4" xfId="8760" xr:uid="{00000000-0005-0000-0000-0000E3540000}"/>
    <cellStyle name="Percent 3 7 4 2" xfId="14803" xr:uid="{00000000-0005-0000-0000-0000E4540000}"/>
    <cellStyle name="Percent 3 7 4 3" xfId="21119" xr:uid="{00000000-0005-0000-0000-0000E5540000}"/>
    <cellStyle name="Percent 3 7 5" xfId="14798" xr:uid="{00000000-0005-0000-0000-0000E6540000}"/>
    <cellStyle name="Percent 3 7 6" xfId="21114" xr:uid="{00000000-0005-0000-0000-0000E7540000}"/>
    <cellStyle name="Percent 3 8" xfId="8761" xr:uid="{00000000-0005-0000-0000-0000E8540000}"/>
    <cellStyle name="Percent 3 8 2" xfId="8762" xr:uid="{00000000-0005-0000-0000-0000E9540000}"/>
    <cellStyle name="Percent 3 8 2 2" xfId="14805" xr:uid="{00000000-0005-0000-0000-0000EA540000}"/>
    <cellStyle name="Percent 3 8 2 3" xfId="21121" xr:uid="{00000000-0005-0000-0000-0000EB540000}"/>
    <cellStyle name="Percent 3 8 3" xfId="14804" xr:uid="{00000000-0005-0000-0000-0000EC540000}"/>
    <cellStyle name="Percent 3 8 4" xfId="21120" xr:uid="{00000000-0005-0000-0000-0000ED540000}"/>
    <cellStyle name="Percent 3 9" xfId="8763" xr:uid="{00000000-0005-0000-0000-0000EE540000}"/>
    <cellStyle name="Percent 3 9 2" xfId="8764" xr:uid="{00000000-0005-0000-0000-0000EF540000}"/>
    <cellStyle name="Percent 3 9 2 2" xfId="14807" xr:uid="{00000000-0005-0000-0000-0000F0540000}"/>
    <cellStyle name="Percent 3 9 2 3" xfId="21123" xr:uid="{00000000-0005-0000-0000-0000F1540000}"/>
    <cellStyle name="Percent 3 9 3" xfId="14806" xr:uid="{00000000-0005-0000-0000-0000F2540000}"/>
    <cellStyle name="Percent 3 9 4" xfId="21122" xr:uid="{00000000-0005-0000-0000-0000F3540000}"/>
    <cellStyle name="Percent 4" xfId="8765" xr:uid="{00000000-0005-0000-0000-0000F4540000}"/>
    <cellStyle name="Percent 4 2" xfId="8766" xr:uid="{00000000-0005-0000-0000-0000F5540000}"/>
    <cellStyle name="Percent 4 2 2" xfId="8767" xr:uid="{00000000-0005-0000-0000-0000F6540000}"/>
    <cellStyle name="Percent 4 2 2 2" xfId="14810" xr:uid="{00000000-0005-0000-0000-0000F7540000}"/>
    <cellStyle name="Percent 4 2 2 3" xfId="21126" xr:uid="{00000000-0005-0000-0000-0000F8540000}"/>
    <cellStyle name="Percent 4 2 3" xfId="8768" xr:uid="{00000000-0005-0000-0000-0000F9540000}"/>
    <cellStyle name="Percent 4 2 3 2" xfId="21127" xr:uid="{00000000-0005-0000-0000-0000FA540000}"/>
    <cellStyle name="Percent 4 2 4" xfId="14809" xr:uid="{00000000-0005-0000-0000-0000FB540000}"/>
    <cellStyle name="Percent 4 2 5" xfId="21125" xr:uid="{00000000-0005-0000-0000-0000FC540000}"/>
    <cellStyle name="Percent 4 3" xfId="8769" xr:uid="{00000000-0005-0000-0000-0000FD540000}"/>
    <cellStyle name="Percent 4 3 2" xfId="8770" xr:uid="{00000000-0005-0000-0000-0000FE540000}"/>
    <cellStyle name="Percent 4 3 2 2" xfId="14812" xr:uid="{00000000-0005-0000-0000-0000FF540000}"/>
    <cellStyle name="Percent 4 3 2 3" xfId="21129" xr:uid="{00000000-0005-0000-0000-000000550000}"/>
    <cellStyle name="Percent 4 3 3" xfId="8771" xr:uid="{00000000-0005-0000-0000-000001550000}"/>
    <cellStyle name="Percent 4 3 3 2" xfId="21130" xr:uid="{00000000-0005-0000-0000-000002550000}"/>
    <cellStyle name="Percent 4 3 4" xfId="14811" xr:uid="{00000000-0005-0000-0000-000003550000}"/>
    <cellStyle name="Percent 4 3 5" xfId="21128" xr:uid="{00000000-0005-0000-0000-000004550000}"/>
    <cellStyle name="Percent 4 4" xfId="8772" xr:uid="{00000000-0005-0000-0000-000005550000}"/>
    <cellStyle name="Percent 4 4 2" xfId="8773" xr:uid="{00000000-0005-0000-0000-000006550000}"/>
    <cellStyle name="Percent 4 4 2 2" xfId="8774" xr:uid="{00000000-0005-0000-0000-000007550000}"/>
    <cellStyle name="Percent 4 4 2 2 2" xfId="14815" xr:uid="{00000000-0005-0000-0000-000008550000}"/>
    <cellStyle name="Percent 4 4 2 2 3" xfId="21133" xr:uid="{00000000-0005-0000-0000-000009550000}"/>
    <cellStyle name="Percent 4 4 2 3" xfId="14814" xr:uid="{00000000-0005-0000-0000-00000A550000}"/>
    <cellStyle name="Percent 4 4 2 4" xfId="21132" xr:uid="{00000000-0005-0000-0000-00000B550000}"/>
    <cellStyle name="Percent 4 4 3" xfId="8775" xr:uid="{00000000-0005-0000-0000-00000C550000}"/>
    <cellStyle name="Percent 4 4 3 2" xfId="14816" xr:uid="{00000000-0005-0000-0000-00000D550000}"/>
    <cellStyle name="Percent 4 4 3 3" xfId="21134" xr:uid="{00000000-0005-0000-0000-00000E550000}"/>
    <cellStyle name="Percent 4 4 4" xfId="8776" xr:uid="{00000000-0005-0000-0000-00000F550000}"/>
    <cellStyle name="Percent 4 4 4 2" xfId="21135" xr:uid="{00000000-0005-0000-0000-000010550000}"/>
    <cellStyle name="Percent 4 4 5" xfId="14813" xr:uid="{00000000-0005-0000-0000-000011550000}"/>
    <cellStyle name="Percent 4 4 6" xfId="21131" xr:uid="{00000000-0005-0000-0000-000012550000}"/>
    <cellStyle name="Percent 4 5" xfId="8777" xr:uid="{00000000-0005-0000-0000-000013550000}"/>
    <cellStyle name="Percent 4 5 2" xfId="14817" xr:uid="{00000000-0005-0000-0000-000014550000}"/>
    <cellStyle name="Percent 4 5 3" xfId="21136" xr:uid="{00000000-0005-0000-0000-000015550000}"/>
    <cellStyle name="Percent 4 6" xfId="8778" xr:uid="{00000000-0005-0000-0000-000016550000}"/>
    <cellStyle name="Percent 4 6 2" xfId="21137" xr:uid="{00000000-0005-0000-0000-000017550000}"/>
    <cellStyle name="Percent 4 7" xfId="14808" xr:uid="{00000000-0005-0000-0000-000018550000}"/>
    <cellStyle name="Percent 4 8" xfId="21124" xr:uid="{00000000-0005-0000-0000-000019550000}"/>
    <cellStyle name="Percent 5" xfId="8779" xr:uid="{00000000-0005-0000-0000-00001A550000}"/>
    <cellStyle name="Percent 5 10" xfId="14818" xr:uid="{00000000-0005-0000-0000-00001B550000}"/>
    <cellStyle name="Percent 5 11" xfId="21138" xr:uid="{00000000-0005-0000-0000-00001C550000}"/>
    <cellStyle name="Percent 5 2" xfId="8780" xr:uid="{00000000-0005-0000-0000-00001D550000}"/>
    <cellStyle name="Percent 5 2 10" xfId="21139" xr:uid="{00000000-0005-0000-0000-00001E550000}"/>
    <cellStyle name="Percent 5 2 2" xfId="8781" xr:uid="{00000000-0005-0000-0000-00001F550000}"/>
    <cellStyle name="Percent 5 2 2 2" xfId="8782" xr:uid="{00000000-0005-0000-0000-000020550000}"/>
    <cellStyle name="Percent 5 2 2 2 2" xfId="8783" xr:uid="{00000000-0005-0000-0000-000021550000}"/>
    <cellStyle name="Percent 5 2 2 2 2 2" xfId="8784" xr:uid="{00000000-0005-0000-0000-000022550000}"/>
    <cellStyle name="Percent 5 2 2 2 2 2 2" xfId="8785" xr:uid="{00000000-0005-0000-0000-000023550000}"/>
    <cellStyle name="Percent 5 2 2 2 2 2 2 2" xfId="14824" xr:uid="{00000000-0005-0000-0000-000024550000}"/>
    <cellStyle name="Percent 5 2 2 2 2 2 2 3" xfId="21144" xr:uid="{00000000-0005-0000-0000-000025550000}"/>
    <cellStyle name="Percent 5 2 2 2 2 2 3" xfId="14823" xr:uid="{00000000-0005-0000-0000-000026550000}"/>
    <cellStyle name="Percent 5 2 2 2 2 2 4" xfId="21143" xr:uid="{00000000-0005-0000-0000-000027550000}"/>
    <cellStyle name="Percent 5 2 2 2 2 3" xfId="8786" xr:uid="{00000000-0005-0000-0000-000028550000}"/>
    <cellStyle name="Percent 5 2 2 2 2 3 2" xfId="8787" xr:uid="{00000000-0005-0000-0000-000029550000}"/>
    <cellStyle name="Percent 5 2 2 2 2 3 2 2" xfId="14826" xr:uid="{00000000-0005-0000-0000-00002A550000}"/>
    <cellStyle name="Percent 5 2 2 2 2 3 2 3" xfId="21146" xr:uid="{00000000-0005-0000-0000-00002B550000}"/>
    <cellStyle name="Percent 5 2 2 2 2 3 3" xfId="14825" xr:uid="{00000000-0005-0000-0000-00002C550000}"/>
    <cellStyle name="Percent 5 2 2 2 2 3 4" xfId="21145" xr:uid="{00000000-0005-0000-0000-00002D550000}"/>
    <cellStyle name="Percent 5 2 2 2 2 4" xfId="8788" xr:uid="{00000000-0005-0000-0000-00002E550000}"/>
    <cellStyle name="Percent 5 2 2 2 2 4 2" xfId="14827" xr:uid="{00000000-0005-0000-0000-00002F550000}"/>
    <cellStyle name="Percent 5 2 2 2 2 4 3" xfId="21147" xr:uid="{00000000-0005-0000-0000-000030550000}"/>
    <cellStyle name="Percent 5 2 2 2 2 5" xfId="14822" xr:uid="{00000000-0005-0000-0000-000031550000}"/>
    <cellStyle name="Percent 5 2 2 2 2 6" xfId="21142" xr:uid="{00000000-0005-0000-0000-000032550000}"/>
    <cellStyle name="Percent 5 2 2 2 3" xfId="8789" xr:uid="{00000000-0005-0000-0000-000033550000}"/>
    <cellStyle name="Percent 5 2 2 2 3 2" xfId="8790" xr:uid="{00000000-0005-0000-0000-000034550000}"/>
    <cellStyle name="Percent 5 2 2 2 3 2 2" xfId="14829" xr:uid="{00000000-0005-0000-0000-000035550000}"/>
    <cellStyle name="Percent 5 2 2 2 3 2 3" xfId="21149" xr:uid="{00000000-0005-0000-0000-000036550000}"/>
    <cellStyle name="Percent 5 2 2 2 3 3" xfId="14828" xr:uid="{00000000-0005-0000-0000-000037550000}"/>
    <cellStyle name="Percent 5 2 2 2 3 4" xfId="21148" xr:uid="{00000000-0005-0000-0000-000038550000}"/>
    <cellStyle name="Percent 5 2 2 2 4" xfId="8791" xr:uid="{00000000-0005-0000-0000-000039550000}"/>
    <cellStyle name="Percent 5 2 2 2 4 2" xfId="8792" xr:uid="{00000000-0005-0000-0000-00003A550000}"/>
    <cellStyle name="Percent 5 2 2 2 4 2 2" xfId="14831" xr:uid="{00000000-0005-0000-0000-00003B550000}"/>
    <cellStyle name="Percent 5 2 2 2 4 2 3" xfId="21151" xr:uid="{00000000-0005-0000-0000-00003C550000}"/>
    <cellStyle name="Percent 5 2 2 2 4 3" xfId="14830" xr:uid="{00000000-0005-0000-0000-00003D550000}"/>
    <cellStyle name="Percent 5 2 2 2 4 4" xfId="21150" xr:uid="{00000000-0005-0000-0000-00003E550000}"/>
    <cellStyle name="Percent 5 2 2 2 5" xfId="8793" xr:uid="{00000000-0005-0000-0000-00003F550000}"/>
    <cellStyle name="Percent 5 2 2 2 5 2" xfId="14832" xr:uid="{00000000-0005-0000-0000-000040550000}"/>
    <cellStyle name="Percent 5 2 2 2 5 3" xfId="21152" xr:uid="{00000000-0005-0000-0000-000041550000}"/>
    <cellStyle name="Percent 5 2 2 2 6" xfId="14821" xr:uid="{00000000-0005-0000-0000-000042550000}"/>
    <cellStyle name="Percent 5 2 2 2 7" xfId="21141" xr:uid="{00000000-0005-0000-0000-000043550000}"/>
    <cellStyle name="Percent 5 2 2 3" xfId="8794" xr:uid="{00000000-0005-0000-0000-000044550000}"/>
    <cellStyle name="Percent 5 2 2 3 2" xfId="8795" xr:uid="{00000000-0005-0000-0000-000045550000}"/>
    <cellStyle name="Percent 5 2 2 3 2 2" xfId="8796" xr:uid="{00000000-0005-0000-0000-000046550000}"/>
    <cellStyle name="Percent 5 2 2 3 2 2 2" xfId="14835" xr:uid="{00000000-0005-0000-0000-000047550000}"/>
    <cellStyle name="Percent 5 2 2 3 2 2 3" xfId="21155" xr:uid="{00000000-0005-0000-0000-000048550000}"/>
    <cellStyle name="Percent 5 2 2 3 2 3" xfId="14834" xr:uid="{00000000-0005-0000-0000-000049550000}"/>
    <cellStyle name="Percent 5 2 2 3 2 4" xfId="21154" xr:uid="{00000000-0005-0000-0000-00004A550000}"/>
    <cellStyle name="Percent 5 2 2 3 3" xfId="8797" xr:uid="{00000000-0005-0000-0000-00004B550000}"/>
    <cellStyle name="Percent 5 2 2 3 3 2" xfId="8798" xr:uid="{00000000-0005-0000-0000-00004C550000}"/>
    <cellStyle name="Percent 5 2 2 3 3 2 2" xfId="14837" xr:uid="{00000000-0005-0000-0000-00004D550000}"/>
    <cellStyle name="Percent 5 2 2 3 3 2 3" xfId="21157" xr:uid="{00000000-0005-0000-0000-00004E550000}"/>
    <cellStyle name="Percent 5 2 2 3 3 3" xfId="14836" xr:uid="{00000000-0005-0000-0000-00004F550000}"/>
    <cellStyle name="Percent 5 2 2 3 3 4" xfId="21156" xr:uid="{00000000-0005-0000-0000-000050550000}"/>
    <cellStyle name="Percent 5 2 2 3 4" xfId="8799" xr:uid="{00000000-0005-0000-0000-000051550000}"/>
    <cellStyle name="Percent 5 2 2 3 4 2" xfId="14838" xr:uid="{00000000-0005-0000-0000-000052550000}"/>
    <cellStyle name="Percent 5 2 2 3 4 3" xfId="21158" xr:uid="{00000000-0005-0000-0000-000053550000}"/>
    <cellStyle name="Percent 5 2 2 3 5" xfId="14833" xr:uid="{00000000-0005-0000-0000-000054550000}"/>
    <cellStyle name="Percent 5 2 2 3 6" xfId="21153" xr:uid="{00000000-0005-0000-0000-000055550000}"/>
    <cellStyle name="Percent 5 2 2 4" xfId="8800" xr:uid="{00000000-0005-0000-0000-000056550000}"/>
    <cellStyle name="Percent 5 2 2 4 2" xfId="8801" xr:uid="{00000000-0005-0000-0000-000057550000}"/>
    <cellStyle name="Percent 5 2 2 4 2 2" xfId="14840" xr:uid="{00000000-0005-0000-0000-000058550000}"/>
    <cellStyle name="Percent 5 2 2 4 2 3" xfId="21160" xr:uid="{00000000-0005-0000-0000-000059550000}"/>
    <cellStyle name="Percent 5 2 2 4 3" xfId="14839" xr:uid="{00000000-0005-0000-0000-00005A550000}"/>
    <cellStyle name="Percent 5 2 2 4 4" xfId="21159" xr:uid="{00000000-0005-0000-0000-00005B550000}"/>
    <cellStyle name="Percent 5 2 2 5" xfId="8802" xr:uid="{00000000-0005-0000-0000-00005C550000}"/>
    <cellStyle name="Percent 5 2 2 5 2" xfId="8803" xr:uid="{00000000-0005-0000-0000-00005D550000}"/>
    <cellStyle name="Percent 5 2 2 5 2 2" xfId="14842" xr:uid="{00000000-0005-0000-0000-00005E550000}"/>
    <cellStyle name="Percent 5 2 2 5 2 3" xfId="21162" xr:uid="{00000000-0005-0000-0000-00005F550000}"/>
    <cellStyle name="Percent 5 2 2 5 3" xfId="14841" xr:uid="{00000000-0005-0000-0000-000060550000}"/>
    <cellStyle name="Percent 5 2 2 5 4" xfId="21161" xr:uid="{00000000-0005-0000-0000-000061550000}"/>
    <cellStyle name="Percent 5 2 2 6" xfId="8804" xr:uid="{00000000-0005-0000-0000-000062550000}"/>
    <cellStyle name="Percent 5 2 2 6 2" xfId="14843" xr:uid="{00000000-0005-0000-0000-000063550000}"/>
    <cellStyle name="Percent 5 2 2 6 3" xfId="21163" xr:uid="{00000000-0005-0000-0000-000064550000}"/>
    <cellStyle name="Percent 5 2 2 7" xfId="14820" xr:uid="{00000000-0005-0000-0000-000065550000}"/>
    <cellStyle name="Percent 5 2 2 8" xfId="21140" xr:uid="{00000000-0005-0000-0000-000066550000}"/>
    <cellStyle name="Percent 5 2 3" xfId="8805" xr:uid="{00000000-0005-0000-0000-000067550000}"/>
    <cellStyle name="Percent 5 2 3 2" xfId="8806" xr:uid="{00000000-0005-0000-0000-000068550000}"/>
    <cellStyle name="Percent 5 2 3 2 2" xfId="8807" xr:uid="{00000000-0005-0000-0000-000069550000}"/>
    <cellStyle name="Percent 5 2 3 2 2 2" xfId="8808" xr:uid="{00000000-0005-0000-0000-00006A550000}"/>
    <cellStyle name="Percent 5 2 3 2 2 2 2" xfId="14847" xr:uid="{00000000-0005-0000-0000-00006B550000}"/>
    <cellStyle name="Percent 5 2 3 2 2 2 3" xfId="21167" xr:uid="{00000000-0005-0000-0000-00006C550000}"/>
    <cellStyle name="Percent 5 2 3 2 2 3" xfId="14846" xr:uid="{00000000-0005-0000-0000-00006D550000}"/>
    <cellStyle name="Percent 5 2 3 2 2 4" xfId="21166" xr:uid="{00000000-0005-0000-0000-00006E550000}"/>
    <cellStyle name="Percent 5 2 3 2 3" xfId="8809" xr:uid="{00000000-0005-0000-0000-00006F550000}"/>
    <cellStyle name="Percent 5 2 3 2 3 2" xfId="8810" xr:uid="{00000000-0005-0000-0000-000070550000}"/>
    <cellStyle name="Percent 5 2 3 2 3 2 2" xfId="14849" xr:uid="{00000000-0005-0000-0000-000071550000}"/>
    <cellStyle name="Percent 5 2 3 2 3 2 3" xfId="21169" xr:uid="{00000000-0005-0000-0000-000072550000}"/>
    <cellStyle name="Percent 5 2 3 2 3 3" xfId="14848" xr:uid="{00000000-0005-0000-0000-000073550000}"/>
    <cellStyle name="Percent 5 2 3 2 3 4" xfId="21168" xr:uid="{00000000-0005-0000-0000-000074550000}"/>
    <cellStyle name="Percent 5 2 3 2 4" xfId="8811" xr:uid="{00000000-0005-0000-0000-000075550000}"/>
    <cellStyle name="Percent 5 2 3 2 4 2" xfId="14850" xr:uid="{00000000-0005-0000-0000-000076550000}"/>
    <cellStyle name="Percent 5 2 3 2 4 3" xfId="21170" xr:uid="{00000000-0005-0000-0000-000077550000}"/>
    <cellStyle name="Percent 5 2 3 2 5" xfId="14845" xr:uid="{00000000-0005-0000-0000-000078550000}"/>
    <cellStyle name="Percent 5 2 3 2 6" xfId="21165" xr:uid="{00000000-0005-0000-0000-000079550000}"/>
    <cellStyle name="Percent 5 2 3 3" xfId="8812" xr:uid="{00000000-0005-0000-0000-00007A550000}"/>
    <cellStyle name="Percent 5 2 3 3 2" xfId="8813" xr:uid="{00000000-0005-0000-0000-00007B550000}"/>
    <cellStyle name="Percent 5 2 3 3 2 2" xfId="14852" xr:uid="{00000000-0005-0000-0000-00007C550000}"/>
    <cellStyle name="Percent 5 2 3 3 2 3" xfId="21172" xr:uid="{00000000-0005-0000-0000-00007D550000}"/>
    <cellStyle name="Percent 5 2 3 3 3" xfId="14851" xr:uid="{00000000-0005-0000-0000-00007E550000}"/>
    <cellStyle name="Percent 5 2 3 3 4" xfId="21171" xr:uid="{00000000-0005-0000-0000-00007F550000}"/>
    <cellStyle name="Percent 5 2 3 4" xfId="8814" xr:uid="{00000000-0005-0000-0000-000080550000}"/>
    <cellStyle name="Percent 5 2 3 4 2" xfId="8815" xr:uid="{00000000-0005-0000-0000-000081550000}"/>
    <cellStyle name="Percent 5 2 3 4 2 2" xfId="14854" xr:uid="{00000000-0005-0000-0000-000082550000}"/>
    <cellStyle name="Percent 5 2 3 4 2 3" xfId="21174" xr:uid="{00000000-0005-0000-0000-000083550000}"/>
    <cellStyle name="Percent 5 2 3 4 3" xfId="14853" xr:uid="{00000000-0005-0000-0000-000084550000}"/>
    <cellStyle name="Percent 5 2 3 4 4" xfId="21173" xr:uid="{00000000-0005-0000-0000-000085550000}"/>
    <cellStyle name="Percent 5 2 3 5" xfId="8816" xr:uid="{00000000-0005-0000-0000-000086550000}"/>
    <cellStyle name="Percent 5 2 3 5 2" xfId="14855" xr:uid="{00000000-0005-0000-0000-000087550000}"/>
    <cellStyle name="Percent 5 2 3 5 3" xfId="21175" xr:uid="{00000000-0005-0000-0000-000088550000}"/>
    <cellStyle name="Percent 5 2 3 6" xfId="14844" xr:uid="{00000000-0005-0000-0000-000089550000}"/>
    <cellStyle name="Percent 5 2 3 7" xfId="21164" xr:uid="{00000000-0005-0000-0000-00008A550000}"/>
    <cellStyle name="Percent 5 2 4" xfId="8817" xr:uid="{00000000-0005-0000-0000-00008B550000}"/>
    <cellStyle name="Percent 5 2 4 2" xfId="8818" xr:uid="{00000000-0005-0000-0000-00008C550000}"/>
    <cellStyle name="Percent 5 2 4 2 2" xfId="8819" xr:uid="{00000000-0005-0000-0000-00008D550000}"/>
    <cellStyle name="Percent 5 2 4 2 2 2" xfId="14858" xr:uid="{00000000-0005-0000-0000-00008E550000}"/>
    <cellStyle name="Percent 5 2 4 2 2 3" xfId="21178" xr:uid="{00000000-0005-0000-0000-00008F550000}"/>
    <cellStyle name="Percent 5 2 4 2 3" xfId="14857" xr:uid="{00000000-0005-0000-0000-000090550000}"/>
    <cellStyle name="Percent 5 2 4 2 4" xfId="21177" xr:uid="{00000000-0005-0000-0000-000091550000}"/>
    <cellStyle name="Percent 5 2 4 3" xfId="8820" xr:uid="{00000000-0005-0000-0000-000092550000}"/>
    <cellStyle name="Percent 5 2 4 3 2" xfId="8821" xr:uid="{00000000-0005-0000-0000-000093550000}"/>
    <cellStyle name="Percent 5 2 4 3 2 2" xfId="14860" xr:uid="{00000000-0005-0000-0000-000094550000}"/>
    <cellStyle name="Percent 5 2 4 3 2 3" xfId="21180" xr:uid="{00000000-0005-0000-0000-000095550000}"/>
    <cellStyle name="Percent 5 2 4 3 3" xfId="14859" xr:uid="{00000000-0005-0000-0000-000096550000}"/>
    <cellStyle name="Percent 5 2 4 3 4" xfId="21179" xr:uid="{00000000-0005-0000-0000-000097550000}"/>
    <cellStyle name="Percent 5 2 4 4" xfId="8822" xr:uid="{00000000-0005-0000-0000-000098550000}"/>
    <cellStyle name="Percent 5 2 4 4 2" xfId="14861" xr:uid="{00000000-0005-0000-0000-000099550000}"/>
    <cellStyle name="Percent 5 2 4 4 3" xfId="21181" xr:uid="{00000000-0005-0000-0000-00009A550000}"/>
    <cellStyle name="Percent 5 2 4 5" xfId="14856" xr:uid="{00000000-0005-0000-0000-00009B550000}"/>
    <cellStyle name="Percent 5 2 4 6" xfId="21176" xr:uid="{00000000-0005-0000-0000-00009C550000}"/>
    <cellStyle name="Percent 5 2 5" xfId="8823" xr:uid="{00000000-0005-0000-0000-00009D550000}"/>
    <cellStyle name="Percent 5 2 5 2" xfId="8824" xr:uid="{00000000-0005-0000-0000-00009E550000}"/>
    <cellStyle name="Percent 5 2 5 2 2" xfId="14863" xr:uid="{00000000-0005-0000-0000-00009F550000}"/>
    <cellStyle name="Percent 5 2 5 2 3" xfId="21183" xr:uid="{00000000-0005-0000-0000-0000A0550000}"/>
    <cellStyle name="Percent 5 2 5 3" xfId="14862" xr:uid="{00000000-0005-0000-0000-0000A1550000}"/>
    <cellStyle name="Percent 5 2 5 4" xfId="21182" xr:uid="{00000000-0005-0000-0000-0000A2550000}"/>
    <cellStyle name="Percent 5 2 6" xfId="8825" xr:uid="{00000000-0005-0000-0000-0000A3550000}"/>
    <cellStyle name="Percent 5 2 6 2" xfId="8826" xr:uid="{00000000-0005-0000-0000-0000A4550000}"/>
    <cellStyle name="Percent 5 2 6 2 2" xfId="14865" xr:uid="{00000000-0005-0000-0000-0000A5550000}"/>
    <cellStyle name="Percent 5 2 6 2 3" xfId="21185" xr:uid="{00000000-0005-0000-0000-0000A6550000}"/>
    <cellStyle name="Percent 5 2 6 3" xfId="14864" xr:uid="{00000000-0005-0000-0000-0000A7550000}"/>
    <cellStyle name="Percent 5 2 6 4" xfId="21184" xr:uid="{00000000-0005-0000-0000-0000A8550000}"/>
    <cellStyle name="Percent 5 2 7" xfId="8827" xr:uid="{00000000-0005-0000-0000-0000A9550000}"/>
    <cellStyle name="Percent 5 2 7 2" xfId="14866" xr:uid="{00000000-0005-0000-0000-0000AA550000}"/>
    <cellStyle name="Percent 5 2 7 3" xfId="21186" xr:uid="{00000000-0005-0000-0000-0000AB550000}"/>
    <cellStyle name="Percent 5 2 8" xfId="8828" xr:uid="{00000000-0005-0000-0000-0000AC550000}"/>
    <cellStyle name="Percent 5 2 8 2" xfId="21187" xr:uid="{00000000-0005-0000-0000-0000AD550000}"/>
    <cellStyle name="Percent 5 2 9" xfId="14819" xr:uid="{00000000-0005-0000-0000-0000AE550000}"/>
    <cellStyle name="Percent 5 3" xfId="8829" xr:uid="{00000000-0005-0000-0000-0000AF550000}"/>
    <cellStyle name="Percent 5 3 2" xfId="8830" xr:uid="{00000000-0005-0000-0000-0000B0550000}"/>
    <cellStyle name="Percent 5 3 2 2" xfId="8831" xr:uid="{00000000-0005-0000-0000-0000B1550000}"/>
    <cellStyle name="Percent 5 3 2 2 2" xfId="8832" xr:uid="{00000000-0005-0000-0000-0000B2550000}"/>
    <cellStyle name="Percent 5 3 2 2 2 2" xfId="8833" xr:uid="{00000000-0005-0000-0000-0000B3550000}"/>
    <cellStyle name="Percent 5 3 2 2 2 2 2" xfId="14871" xr:uid="{00000000-0005-0000-0000-0000B4550000}"/>
    <cellStyle name="Percent 5 3 2 2 2 2 3" xfId="21192" xr:uid="{00000000-0005-0000-0000-0000B5550000}"/>
    <cellStyle name="Percent 5 3 2 2 2 3" xfId="14870" xr:uid="{00000000-0005-0000-0000-0000B6550000}"/>
    <cellStyle name="Percent 5 3 2 2 2 4" xfId="21191" xr:uid="{00000000-0005-0000-0000-0000B7550000}"/>
    <cellStyle name="Percent 5 3 2 2 3" xfId="8834" xr:uid="{00000000-0005-0000-0000-0000B8550000}"/>
    <cellStyle name="Percent 5 3 2 2 3 2" xfId="8835" xr:uid="{00000000-0005-0000-0000-0000B9550000}"/>
    <cellStyle name="Percent 5 3 2 2 3 2 2" xfId="14873" xr:uid="{00000000-0005-0000-0000-0000BA550000}"/>
    <cellStyle name="Percent 5 3 2 2 3 2 3" xfId="21194" xr:uid="{00000000-0005-0000-0000-0000BB550000}"/>
    <cellStyle name="Percent 5 3 2 2 3 3" xfId="14872" xr:uid="{00000000-0005-0000-0000-0000BC550000}"/>
    <cellStyle name="Percent 5 3 2 2 3 4" xfId="21193" xr:uid="{00000000-0005-0000-0000-0000BD550000}"/>
    <cellStyle name="Percent 5 3 2 2 4" xfId="8836" xr:uid="{00000000-0005-0000-0000-0000BE550000}"/>
    <cellStyle name="Percent 5 3 2 2 4 2" xfId="14874" xr:uid="{00000000-0005-0000-0000-0000BF550000}"/>
    <cellStyle name="Percent 5 3 2 2 4 3" xfId="21195" xr:uid="{00000000-0005-0000-0000-0000C0550000}"/>
    <cellStyle name="Percent 5 3 2 2 5" xfId="14869" xr:uid="{00000000-0005-0000-0000-0000C1550000}"/>
    <cellStyle name="Percent 5 3 2 2 6" xfId="21190" xr:uid="{00000000-0005-0000-0000-0000C2550000}"/>
    <cellStyle name="Percent 5 3 2 3" xfId="8837" xr:uid="{00000000-0005-0000-0000-0000C3550000}"/>
    <cellStyle name="Percent 5 3 2 3 2" xfId="8838" xr:uid="{00000000-0005-0000-0000-0000C4550000}"/>
    <cellStyle name="Percent 5 3 2 3 2 2" xfId="14876" xr:uid="{00000000-0005-0000-0000-0000C5550000}"/>
    <cellStyle name="Percent 5 3 2 3 2 3" xfId="21197" xr:uid="{00000000-0005-0000-0000-0000C6550000}"/>
    <cellStyle name="Percent 5 3 2 3 3" xfId="14875" xr:uid="{00000000-0005-0000-0000-0000C7550000}"/>
    <cellStyle name="Percent 5 3 2 3 4" xfId="21196" xr:uid="{00000000-0005-0000-0000-0000C8550000}"/>
    <cellStyle name="Percent 5 3 2 4" xfId="8839" xr:uid="{00000000-0005-0000-0000-0000C9550000}"/>
    <cellStyle name="Percent 5 3 2 4 2" xfId="8840" xr:uid="{00000000-0005-0000-0000-0000CA550000}"/>
    <cellStyle name="Percent 5 3 2 4 2 2" xfId="14878" xr:uid="{00000000-0005-0000-0000-0000CB550000}"/>
    <cellStyle name="Percent 5 3 2 4 2 3" xfId="21199" xr:uid="{00000000-0005-0000-0000-0000CC550000}"/>
    <cellStyle name="Percent 5 3 2 4 3" xfId="14877" xr:uid="{00000000-0005-0000-0000-0000CD550000}"/>
    <cellStyle name="Percent 5 3 2 4 4" xfId="21198" xr:uid="{00000000-0005-0000-0000-0000CE550000}"/>
    <cellStyle name="Percent 5 3 2 5" xfId="8841" xr:uid="{00000000-0005-0000-0000-0000CF550000}"/>
    <cellStyle name="Percent 5 3 2 5 2" xfId="14879" xr:uid="{00000000-0005-0000-0000-0000D0550000}"/>
    <cellStyle name="Percent 5 3 2 5 3" xfId="21200" xr:uid="{00000000-0005-0000-0000-0000D1550000}"/>
    <cellStyle name="Percent 5 3 2 6" xfId="14868" xr:uid="{00000000-0005-0000-0000-0000D2550000}"/>
    <cellStyle name="Percent 5 3 2 7" xfId="21189" xr:uid="{00000000-0005-0000-0000-0000D3550000}"/>
    <cellStyle name="Percent 5 3 3" xfId="8842" xr:uid="{00000000-0005-0000-0000-0000D4550000}"/>
    <cellStyle name="Percent 5 3 3 2" xfId="8843" xr:uid="{00000000-0005-0000-0000-0000D5550000}"/>
    <cellStyle name="Percent 5 3 3 2 2" xfId="8844" xr:uid="{00000000-0005-0000-0000-0000D6550000}"/>
    <cellStyle name="Percent 5 3 3 2 2 2" xfId="14882" xr:uid="{00000000-0005-0000-0000-0000D7550000}"/>
    <cellStyle name="Percent 5 3 3 2 2 3" xfId="21203" xr:uid="{00000000-0005-0000-0000-0000D8550000}"/>
    <cellStyle name="Percent 5 3 3 2 3" xfId="14881" xr:uid="{00000000-0005-0000-0000-0000D9550000}"/>
    <cellStyle name="Percent 5 3 3 2 4" xfId="21202" xr:uid="{00000000-0005-0000-0000-0000DA550000}"/>
    <cellStyle name="Percent 5 3 3 3" xfId="8845" xr:uid="{00000000-0005-0000-0000-0000DB550000}"/>
    <cellStyle name="Percent 5 3 3 3 2" xfId="8846" xr:uid="{00000000-0005-0000-0000-0000DC550000}"/>
    <cellStyle name="Percent 5 3 3 3 2 2" xfId="14884" xr:uid="{00000000-0005-0000-0000-0000DD550000}"/>
    <cellStyle name="Percent 5 3 3 3 2 3" xfId="21205" xr:uid="{00000000-0005-0000-0000-0000DE550000}"/>
    <cellStyle name="Percent 5 3 3 3 3" xfId="14883" xr:uid="{00000000-0005-0000-0000-0000DF550000}"/>
    <cellStyle name="Percent 5 3 3 3 4" xfId="21204" xr:uid="{00000000-0005-0000-0000-0000E0550000}"/>
    <cellStyle name="Percent 5 3 3 4" xfId="8847" xr:uid="{00000000-0005-0000-0000-0000E1550000}"/>
    <cellStyle name="Percent 5 3 3 4 2" xfId="14885" xr:uid="{00000000-0005-0000-0000-0000E2550000}"/>
    <cellStyle name="Percent 5 3 3 4 3" xfId="21206" xr:uid="{00000000-0005-0000-0000-0000E3550000}"/>
    <cellStyle name="Percent 5 3 3 5" xfId="14880" xr:uid="{00000000-0005-0000-0000-0000E4550000}"/>
    <cellStyle name="Percent 5 3 3 6" xfId="21201" xr:uid="{00000000-0005-0000-0000-0000E5550000}"/>
    <cellStyle name="Percent 5 3 4" xfId="8848" xr:uid="{00000000-0005-0000-0000-0000E6550000}"/>
    <cellStyle name="Percent 5 3 4 2" xfId="8849" xr:uid="{00000000-0005-0000-0000-0000E7550000}"/>
    <cellStyle name="Percent 5 3 4 2 2" xfId="14887" xr:uid="{00000000-0005-0000-0000-0000E8550000}"/>
    <cellStyle name="Percent 5 3 4 2 3" xfId="21208" xr:uid="{00000000-0005-0000-0000-0000E9550000}"/>
    <cellStyle name="Percent 5 3 4 3" xfId="14886" xr:uid="{00000000-0005-0000-0000-0000EA550000}"/>
    <cellStyle name="Percent 5 3 4 4" xfId="21207" xr:uid="{00000000-0005-0000-0000-0000EB550000}"/>
    <cellStyle name="Percent 5 3 5" xfId="8850" xr:uid="{00000000-0005-0000-0000-0000EC550000}"/>
    <cellStyle name="Percent 5 3 5 2" xfId="8851" xr:uid="{00000000-0005-0000-0000-0000ED550000}"/>
    <cellStyle name="Percent 5 3 5 2 2" xfId="14889" xr:uid="{00000000-0005-0000-0000-0000EE550000}"/>
    <cellStyle name="Percent 5 3 5 2 3" xfId="21210" xr:uid="{00000000-0005-0000-0000-0000EF550000}"/>
    <cellStyle name="Percent 5 3 5 3" xfId="14888" xr:uid="{00000000-0005-0000-0000-0000F0550000}"/>
    <cellStyle name="Percent 5 3 5 4" xfId="21209" xr:uid="{00000000-0005-0000-0000-0000F1550000}"/>
    <cellStyle name="Percent 5 3 6" xfId="8852" xr:uid="{00000000-0005-0000-0000-0000F2550000}"/>
    <cellStyle name="Percent 5 3 6 2" xfId="14890" xr:uid="{00000000-0005-0000-0000-0000F3550000}"/>
    <cellStyle name="Percent 5 3 6 3" xfId="21211" xr:uid="{00000000-0005-0000-0000-0000F4550000}"/>
    <cellStyle name="Percent 5 3 7" xfId="14867" xr:uid="{00000000-0005-0000-0000-0000F5550000}"/>
    <cellStyle name="Percent 5 3 8" xfId="21188" xr:uid="{00000000-0005-0000-0000-0000F6550000}"/>
    <cellStyle name="Percent 5 4" xfId="8853" xr:uid="{00000000-0005-0000-0000-0000F7550000}"/>
    <cellStyle name="Percent 5 4 2" xfId="8854" xr:uid="{00000000-0005-0000-0000-0000F8550000}"/>
    <cellStyle name="Percent 5 4 2 2" xfId="8855" xr:uid="{00000000-0005-0000-0000-0000F9550000}"/>
    <cellStyle name="Percent 5 4 2 2 2" xfId="8856" xr:uid="{00000000-0005-0000-0000-0000FA550000}"/>
    <cellStyle name="Percent 5 4 2 2 2 2" xfId="14894" xr:uid="{00000000-0005-0000-0000-0000FB550000}"/>
    <cellStyle name="Percent 5 4 2 2 2 3" xfId="21215" xr:uid="{00000000-0005-0000-0000-0000FC550000}"/>
    <cellStyle name="Percent 5 4 2 2 3" xfId="14893" xr:uid="{00000000-0005-0000-0000-0000FD550000}"/>
    <cellStyle name="Percent 5 4 2 2 4" xfId="21214" xr:uid="{00000000-0005-0000-0000-0000FE550000}"/>
    <cellStyle name="Percent 5 4 2 3" xfId="8857" xr:uid="{00000000-0005-0000-0000-0000FF550000}"/>
    <cellStyle name="Percent 5 4 2 3 2" xfId="8858" xr:uid="{00000000-0005-0000-0000-000000560000}"/>
    <cellStyle name="Percent 5 4 2 3 2 2" xfId="14896" xr:uid="{00000000-0005-0000-0000-000001560000}"/>
    <cellStyle name="Percent 5 4 2 3 2 3" xfId="21217" xr:uid="{00000000-0005-0000-0000-000002560000}"/>
    <cellStyle name="Percent 5 4 2 3 3" xfId="14895" xr:uid="{00000000-0005-0000-0000-000003560000}"/>
    <cellStyle name="Percent 5 4 2 3 4" xfId="21216" xr:uid="{00000000-0005-0000-0000-000004560000}"/>
    <cellStyle name="Percent 5 4 2 4" xfId="8859" xr:uid="{00000000-0005-0000-0000-000005560000}"/>
    <cellStyle name="Percent 5 4 2 4 2" xfId="14897" xr:uid="{00000000-0005-0000-0000-000006560000}"/>
    <cellStyle name="Percent 5 4 2 4 3" xfId="21218" xr:uid="{00000000-0005-0000-0000-000007560000}"/>
    <cellStyle name="Percent 5 4 2 5" xfId="14892" xr:uid="{00000000-0005-0000-0000-000008560000}"/>
    <cellStyle name="Percent 5 4 2 6" xfId="21213" xr:uid="{00000000-0005-0000-0000-000009560000}"/>
    <cellStyle name="Percent 5 4 3" xfId="8860" xr:uid="{00000000-0005-0000-0000-00000A560000}"/>
    <cellStyle name="Percent 5 4 3 2" xfId="8861" xr:uid="{00000000-0005-0000-0000-00000B560000}"/>
    <cellStyle name="Percent 5 4 3 2 2" xfId="14899" xr:uid="{00000000-0005-0000-0000-00000C560000}"/>
    <cellStyle name="Percent 5 4 3 2 3" xfId="21220" xr:uid="{00000000-0005-0000-0000-00000D560000}"/>
    <cellStyle name="Percent 5 4 3 3" xfId="14898" xr:uid="{00000000-0005-0000-0000-00000E560000}"/>
    <cellStyle name="Percent 5 4 3 4" xfId="21219" xr:uid="{00000000-0005-0000-0000-00000F560000}"/>
    <cellStyle name="Percent 5 4 4" xfId="8862" xr:uid="{00000000-0005-0000-0000-000010560000}"/>
    <cellStyle name="Percent 5 4 4 2" xfId="8863" xr:uid="{00000000-0005-0000-0000-000011560000}"/>
    <cellStyle name="Percent 5 4 4 2 2" xfId="14901" xr:uid="{00000000-0005-0000-0000-000012560000}"/>
    <cellStyle name="Percent 5 4 4 2 3" xfId="21222" xr:uid="{00000000-0005-0000-0000-000013560000}"/>
    <cellStyle name="Percent 5 4 4 3" xfId="14900" xr:uid="{00000000-0005-0000-0000-000014560000}"/>
    <cellStyle name="Percent 5 4 4 4" xfId="21221" xr:uid="{00000000-0005-0000-0000-000015560000}"/>
    <cellStyle name="Percent 5 4 5" xfId="8864" xr:uid="{00000000-0005-0000-0000-000016560000}"/>
    <cellStyle name="Percent 5 4 5 2" xfId="14902" xr:uid="{00000000-0005-0000-0000-000017560000}"/>
    <cellStyle name="Percent 5 4 5 3" xfId="21223" xr:uid="{00000000-0005-0000-0000-000018560000}"/>
    <cellStyle name="Percent 5 4 6" xfId="14891" xr:uid="{00000000-0005-0000-0000-000019560000}"/>
    <cellStyle name="Percent 5 4 7" xfId="21212" xr:uid="{00000000-0005-0000-0000-00001A560000}"/>
    <cellStyle name="Percent 5 5" xfId="8865" xr:uid="{00000000-0005-0000-0000-00001B560000}"/>
    <cellStyle name="Percent 5 5 2" xfId="8866" xr:uid="{00000000-0005-0000-0000-00001C560000}"/>
    <cellStyle name="Percent 5 5 2 2" xfId="8867" xr:uid="{00000000-0005-0000-0000-00001D560000}"/>
    <cellStyle name="Percent 5 5 2 2 2" xfId="14905" xr:uid="{00000000-0005-0000-0000-00001E560000}"/>
    <cellStyle name="Percent 5 5 2 2 3" xfId="21226" xr:uid="{00000000-0005-0000-0000-00001F560000}"/>
    <cellStyle name="Percent 5 5 2 3" xfId="14904" xr:uid="{00000000-0005-0000-0000-000020560000}"/>
    <cellStyle name="Percent 5 5 2 4" xfId="21225" xr:uid="{00000000-0005-0000-0000-000021560000}"/>
    <cellStyle name="Percent 5 5 3" xfId="8868" xr:uid="{00000000-0005-0000-0000-000022560000}"/>
    <cellStyle name="Percent 5 5 3 2" xfId="8869" xr:uid="{00000000-0005-0000-0000-000023560000}"/>
    <cellStyle name="Percent 5 5 3 2 2" xfId="14907" xr:uid="{00000000-0005-0000-0000-000024560000}"/>
    <cellStyle name="Percent 5 5 3 2 3" xfId="21228" xr:uid="{00000000-0005-0000-0000-000025560000}"/>
    <cellStyle name="Percent 5 5 3 3" xfId="14906" xr:uid="{00000000-0005-0000-0000-000026560000}"/>
    <cellStyle name="Percent 5 5 3 4" xfId="21227" xr:uid="{00000000-0005-0000-0000-000027560000}"/>
    <cellStyle name="Percent 5 5 4" xfId="8870" xr:uid="{00000000-0005-0000-0000-000028560000}"/>
    <cellStyle name="Percent 5 5 4 2" xfId="14908" xr:uid="{00000000-0005-0000-0000-000029560000}"/>
    <cellStyle name="Percent 5 5 4 3" xfId="21229" xr:uid="{00000000-0005-0000-0000-00002A560000}"/>
    <cellStyle name="Percent 5 5 5" xfId="14903" xr:uid="{00000000-0005-0000-0000-00002B560000}"/>
    <cellStyle name="Percent 5 5 6" xfId="21224" xr:uid="{00000000-0005-0000-0000-00002C560000}"/>
    <cellStyle name="Percent 5 6" xfId="8871" xr:uid="{00000000-0005-0000-0000-00002D560000}"/>
    <cellStyle name="Percent 5 6 2" xfId="8872" xr:uid="{00000000-0005-0000-0000-00002E560000}"/>
    <cellStyle name="Percent 5 6 2 2" xfId="14910" xr:uid="{00000000-0005-0000-0000-00002F560000}"/>
    <cellStyle name="Percent 5 6 2 3" xfId="21231" xr:uid="{00000000-0005-0000-0000-000030560000}"/>
    <cellStyle name="Percent 5 6 3" xfId="14909" xr:uid="{00000000-0005-0000-0000-000031560000}"/>
    <cellStyle name="Percent 5 6 4" xfId="21230" xr:uid="{00000000-0005-0000-0000-000032560000}"/>
    <cellStyle name="Percent 5 7" xfId="8873" xr:uid="{00000000-0005-0000-0000-000033560000}"/>
    <cellStyle name="Percent 5 7 2" xfId="8874" xr:uid="{00000000-0005-0000-0000-000034560000}"/>
    <cellStyle name="Percent 5 7 2 2" xfId="14912" xr:uid="{00000000-0005-0000-0000-000035560000}"/>
    <cellStyle name="Percent 5 7 2 3" xfId="21233" xr:uid="{00000000-0005-0000-0000-000036560000}"/>
    <cellStyle name="Percent 5 7 3" xfId="14911" xr:uid="{00000000-0005-0000-0000-000037560000}"/>
    <cellStyle name="Percent 5 7 4" xfId="21232" xr:uid="{00000000-0005-0000-0000-000038560000}"/>
    <cellStyle name="Percent 5 8" xfId="8875" xr:uid="{00000000-0005-0000-0000-000039560000}"/>
    <cellStyle name="Percent 5 8 2" xfId="14913" xr:uid="{00000000-0005-0000-0000-00003A560000}"/>
    <cellStyle name="Percent 5 8 3" xfId="21234" xr:uid="{00000000-0005-0000-0000-00003B560000}"/>
    <cellStyle name="Percent 5 9" xfId="8876" xr:uid="{00000000-0005-0000-0000-00003C560000}"/>
    <cellStyle name="Percent 5 9 2" xfId="21235" xr:uid="{00000000-0005-0000-0000-00003D560000}"/>
    <cellStyle name="Percent 6" xfId="8877" xr:uid="{00000000-0005-0000-0000-00003E560000}"/>
    <cellStyle name="Percent 6 10" xfId="21236" xr:uid="{00000000-0005-0000-0000-00003F560000}"/>
    <cellStyle name="Percent 6 2" xfId="8878" xr:uid="{00000000-0005-0000-0000-000040560000}"/>
    <cellStyle name="Percent 6 2 2" xfId="8879" xr:uid="{00000000-0005-0000-0000-000041560000}"/>
    <cellStyle name="Percent 6 2 2 2" xfId="8880" xr:uid="{00000000-0005-0000-0000-000042560000}"/>
    <cellStyle name="Percent 6 2 2 2 2" xfId="8881" xr:uid="{00000000-0005-0000-0000-000043560000}"/>
    <cellStyle name="Percent 6 2 2 2 2 2" xfId="8882" xr:uid="{00000000-0005-0000-0000-000044560000}"/>
    <cellStyle name="Percent 6 2 2 2 2 2 2" xfId="14919" xr:uid="{00000000-0005-0000-0000-000045560000}"/>
    <cellStyle name="Percent 6 2 2 2 2 2 3" xfId="21241" xr:uid="{00000000-0005-0000-0000-000046560000}"/>
    <cellStyle name="Percent 6 2 2 2 2 3" xfId="14918" xr:uid="{00000000-0005-0000-0000-000047560000}"/>
    <cellStyle name="Percent 6 2 2 2 2 4" xfId="21240" xr:uid="{00000000-0005-0000-0000-000048560000}"/>
    <cellStyle name="Percent 6 2 2 2 3" xfId="8883" xr:uid="{00000000-0005-0000-0000-000049560000}"/>
    <cellStyle name="Percent 6 2 2 2 3 2" xfId="8884" xr:uid="{00000000-0005-0000-0000-00004A560000}"/>
    <cellStyle name="Percent 6 2 2 2 3 2 2" xfId="14921" xr:uid="{00000000-0005-0000-0000-00004B560000}"/>
    <cellStyle name="Percent 6 2 2 2 3 2 3" xfId="21243" xr:uid="{00000000-0005-0000-0000-00004C560000}"/>
    <cellStyle name="Percent 6 2 2 2 3 3" xfId="14920" xr:uid="{00000000-0005-0000-0000-00004D560000}"/>
    <cellStyle name="Percent 6 2 2 2 3 4" xfId="21242" xr:uid="{00000000-0005-0000-0000-00004E560000}"/>
    <cellStyle name="Percent 6 2 2 2 4" xfId="8885" xr:uid="{00000000-0005-0000-0000-00004F560000}"/>
    <cellStyle name="Percent 6 2 2 2 4 2" xfId="14922" xr:uid="{00000000-0005-0000-0000-000050560000}"/>
    <cellStyle name="Percent 6 2 2 2 4 3" xfId="21244" xr:uid="{00000000-0005-0000-0000-000051560000}"/>
    <cellStyle name="Percent 6 2 2 2 5" xfId="14917" xr:uid="{00000000-0005-0000-0000-000052560000}"/>
    <cellStyle name="Percent 6 2 2 2 6" xfId="21239" xr:uid="{00000000-0005-0000-0000-000053560000}"/>
    <cellStyle name="Percent 6 2 2 3" xfId="8886" xr:uid="{00000000-0005-0000-0000-000054560000}"/>
    <cellStyle name="Percent 6 2 2 3 2" xfId="8887" xr:uid="{00000000-0005-0000-0000-000055560000}"/>
    <cellStyle name="Percent 6 2 2 3 2 2" xfId="14924" xr:uid="{00000000-0005-0000-0000-000056560000}"/>
    <cellStyle name="Percent 6 2 2 3 2 3" xfId="21246" xr:uid="{00000000-0005-0000-0000-000057560000}"/>
    <cellStyle name="Percent 6 2 2 3 3" xfId="14923" xr:uid="{00000000-0005-0000-0000-000058560000}"/>
    <cellStyle name="Percent 6 2 2 3 4" xfId="21245" xr:uid="{00000000-0005-0000-0000-000059560000}"/>
    <cellStyle name="Percent 6 2 2 4" xfId="8888" xr:uid="{00000000-0005-0000-0000-00005A560000}"/>
    <cellStyle name="Percent 6 2 2 4 2" xfId="8889" xr:uid="{00000000-0005-0000-0000-00005B560000}"/>
    <cellStyle name="Percent 6 2 2 4 2 2" xfId="14926" xr:uid="{00000000-0005-0000-0000-00005C560000}"/>
    <cellStyle name="Percent 6 2 2 4 2 3" xfId="21248" xr:uid="{00000000-0005-0000-0000-00005D560000}"/>
    <cellStyle name="Percent 6 2 2 4 3" xfId="14925" xr:uid="{00000000-0005-0000-0000-00005E560000}"/>
    <cellStyle name="Percent 6 2 2 4 4" xfId="21247" xr:uid="{00000000-0005-0000-0000-00005F560000}"/>
    <cellStyle name="Percent 6 2 2 5" xfId="8890" xr:uid="{00000000-0005-0000-0000-000060560000}"/>
    <cellStyle name="Percent 6 2 2 5 2" xfId="14927" xr:uid="{00000000-0005-0000-0000-000061560000}"/>
    <cellStyle name="Percent 6 2 2 5 3" xfId="21249" xr:uid="{00000000-0005-0000-0000-000062560000}"/>
    <cellStyle name="Percent 6 2 2 6" xfId="14916" xr:uid="{00000000-0005-0000-0000-000063560000}"/>
    <cellStyle name="Percent 6 2 2 7" xfId="21238" xr:uid="{00000000-0005-0000-0000-000064560000}"/>
    <cellStyle name="Percent 6 2 3" xfId="8891" xr:uid="{00000000-0005-0000-0000-000065560000}"/>
    <cellStyle name="Percent 6 2 3 2" xfId="8892" xr:uid="{00000000-0005-0000-0000-000066560000}"/>
    <cellStyle name="Percent 6 2 3 2 2" xfId="8893" xr:uid="{00000000-0005-0000-0000-000067560000}"/>
    <cellStyle name="Percent 6 2 3 2 2 2" xfId="14930" xr:uid="{00000000-0005-0000-0000-000068560000}"/>
    <cellStyle name="Percent 6 2 3 2 2 3" xfId="21252" xr:uid="{00000000-0005-0000-0000-000069560000}"/>
    <cellStyle name="Percent 6 2 3 2 3" xfId="14929" xr:uid="{00000000-0005-0000-0000-00006A560000}"/>
    <cellStyle name="Percent 6 2 3 2 4" xfId="21251" xr:uid="{00000000-0005-0000-0000-00006B560000}"/>
    <cellStyle name="Percent 6 2 3 3" xfId="8894" xr:uid="{00000000-0005-0000-0000-00006C560000}"/>
    <cellStyle name="Percent 6 2 3 3 2" xfId="8895" xr:uid="{00000000-0005-0000-0000-00006D560000}"/>
    <cellStyle name="Percent 6 2 3 3 2 2" xfId="14932" xr:uid="{00000000-0005-0000-0000-00006E560000}"/>
    <cellStyle name="Percent 6 2 3 3 2 3" xfId="21254" xr:uid="{00000000-0005-0000-0000-00006F560000}"/>
    <cellStyle name="Percent 6 2 3 3 3" xfId="14931" xr:uid="{00000000-0005-0000-0000-000070560000}"/>
    <cellStyle name="Percent 6 2 3 3 4" xfId="21253" xr:uid="{00000000-0005-0000-0000-000071560000}"/>
    <cellStyle name="Percent 6 2 3 4" xfId="8896" xr:uid="{00000000-0005-0000-0000-000072560000}"/>
    <cellStyle name="Percent 6 2 3 4 2" xfId="14933" xr:uid="{00000000-0005-0000-0000-000073560000}"/>
    <cellStyle name="Percent 6 2 3 4 3" xfId="21255" xr:uid="{00000000-0005-0000-0000-000074560000}"/>
    <cellStyle name="Percent 6 2 3 5" xfId="14928" xr:uid="{00000000-0005-0000-0000-000075560000}"/>
    <cellStyle name="Percent 6 2 3 6" xfId="21250" xr:uid="{00000000-0005-0000-0000-000076560000}"/>
    <cellStyle name="Percent 6 2 4" xfId="8897" xr:uid="{00000000-0005-0000-0000-000077560000}"/>
    <cellStyle name="Percent 6 2 4 2" xfId="8898" xr:uid="{00000000-0005-0000-0000-000078560000}"/>
    <cellStyle name="Percent 6 2 4 2 2" xfId="14935" xr:uid="{00000000-0005-0000-0000-000079560000}"/>
    <cellStyle name="Percent 6 2 4 2 3" xfId="21257" xr:uid="{00000000-0005-0000-0000-00007A560000}"/>
    <cellStyle name="Percent 6 2 4 3" xfId="14934" xr:uid="{00000000-0005-0000-0000-00007B560000}"/>
    <cellStyle name="Percent 6 2 4 4" xfId="21256" xr:uid="{00000000-0005-0000-0000-00007C560000}"/>
    <cellStyle name="Percent 6 2 5" xfId="8899" xr:uid="{00000000-0005-0000-0000-00007D560000}"/>
    <cellStyle name="Percent 6 2 5 2" xfId="8900" xr:uid="{00000000-0005-0000-0000-00007E560000}"/>
    <cellStyle name="Percent 6 2 5 2 2" xfId="14937" xr:uid="{00000000-0005-0000-0000-00007F560000}"/>
    <cellStyle name="Percent 6 2 5 2 3" xfId="21259" xr:uid="{00000000-0005-0000-0000-000080560000}"/>
    <cellStyle name="Percent 6 2 5 3" xfId="14936" xr:uid="{00000000-0005-0000-0000-000081560000}"/>
    <cellStyle name="Percent 6 2 5 4" xfId="21258" xr:uid="{00000000-0005-0000-0000-000082560000}"/>
    <cellStyle name="Percent 6 2 6" xfId="8901" xr:uid="{00000000-0005-0000-0000-000083560000}"/>
    <cellStyle name="Percent 6 2 6 2" xfId="14938" xr:uid="{00000000-0005-0000-0000-000084560000}"/>
    <cellStyle name="Percent 6 2 6 3" xfId="21260" xr:uid="{00000000-0005-0000-0000-000085560000}"/>
    <cellStyle name="Percent 6 2 7" xfId="8902" xr:uid="{00000000-0005-0000-0000-000086560000}"/>
    <cellStyle name="Percent 6 2 7 2" xfId="21261" xr:uid="{00000000-0005-0000-0000-000087560000}"/>
    <cellStyle name="Percent 6 2 8" xfId="14915" xr:uid="{00000000-0005-0000-0000-000088560000}"/>
    <cellStyle name="Percent 6 2 9" xfId="21237" xr:uid="{00000000-0005-0000-0000-000089560000}"/>
    <cellStyle name="Percent 6 3" xfId="8903" xr:uid="{00000000-0005-0000-0000-00008A560000}"/>
    <cellStyle name="Percent 6 3 2" xfId="8904" xr:uid="{00000000-0005-0000-0000-00008B560000}"/>
    <cellStyle name="Percent 6 3 2 2" xfId="8905" xr:uid="{00000000-0005-0000-0000-00008C560000}"/>
    <cellStyle name="Percent 6 3 2 2 2" xfId="8906" xr:uid="{00000000-0005-0000-0000-00008D560000}"/>
    <cellStyle name="Percent 6 3 2 2 2 2" xfId="14942" xr:uid="{00000000-0005-0000-0000-00008E560000}"/>
    <cellStyle name="Percent 6 3 2 2 2 3" xfId="21265" xr:uid="{00000000-0005-0000-0000-00008F560000}"/>
    <cellStyle name="Percent 6 3 2 2 3" xfId="14941" xr:uid="{00000000-0005-0000-0000-000090560000}"/>
    <cellStyle name="Percent 6 3 2 2 4" xfId="21264" xr:uid="{00000000-0005-0000-0000-000091560000}"/>
    <cellStyle name="Percent 6 3 2 3" xfId="8907" xr:uid="{00000000-0005-0000-0000-000092560000}"/>
    <cellStyle name="Percent 6 3 2 3 2" xfId="8908" xr:uid="{00000000-0005-0000-0000-000093560000}"/>
    <cellStyle name="Percent 6 3 2 3 2 2" xfId="14944" xr:uid="{00000000-0005-0000-0000-000094560000}"/>
    <cellStyle name="Percent 6 3 2 3 2 3" xfId="21267" xr:uid="{00000000-0005-0000-0000-000095560000}"/>
    <cellStyle name="Percent 6 3 2 3 3" xfId="14943" xr:uid="{00000000-0005-0000-0000-000096560000}"/>
    <cellStyle name="Percent 6 3 2 3 4" xfId="21266" xr:uid="{00000000-0005-0000-0000-000097560000}"/>
    <cellStyle name="Percent 6 3 2 4" xfId="8909" xr:uid="{00000000-0005-0000-0000-000098560000}"/>
    <cellStyle name="Percent 6 3 2 4 2" xfId="14945" xr:uid="{00000000-0005-0000-0000-000099560000}"/>
    <cellStyle name="Percent 6 3 2 4 3" xfId="21268" xr:uid="{00000000-0005-0000-0000-00009A560000}"/>
    <cellStyle name="Percent 6 3 2 5" xfId="14940" xr:uid="{00000000-0005-0000-0000-00009B560000}"/>
    <cellStyle name="Percent 6 3 2 6" xfId="21263" xr:uid="{00000000-0005-0000-0000-00009C560000}"/>
    <cellStyle name="Percent 6 3 3" xfId="8910" xr:uid="{00000000-0005-0000-0000-00009D560000}"/>
    <cellStyle name="Percent 6 3 3 2" xfId="8911" xr:uid="{00000000-0005-0000-0000-00009E560000}"/>
    <cellStyle name="Percent 6 3 3 2 2" xfId="14947" xr:uid="{00000000-0005-0000-0000-00009F560000}"/>
    <cellStyle name="Percent 6 3 3 2 3" xfId="21270" xr:uid="{00000000-0005-0000-0000-0000A0560000}"/>
    <cellStyle name="Percent 6 3 3 3" xfId="14946" xr:uid="{00000000-0005-0000-0000-0000A1560000}"/>
    <cellStyle name="Percent 6 3 3 4" xfId="21269" xr:uid="{00000000-0005-0000-0000-0000A2560000}"/>
    <cellStyle name="Percent 6 3 4" xfId="8912" xr:uid="{00000000-0005-0000-0000-0000A3560000}"/>
    <cellStyle name="Percent 6 3 4 2" xfId="8913" xr:uid="{00000000-0005-0000-0000-0000A4560000}"/>
    <cellStyle name="Percent 6 3 4 2 2" xfId="14949" xr:uid="{00000000-0005-0000-0000-0000A5560000}"/>
    <cellStyle name="Percent 6 3 4 2 3" xfId="21272" xr:uid="{00000000-0005-0000-0000-0000A6560000}"/>
    <cellStyle name="Percent 6 3 4 3" xfId="14948" xr:uid="{00000000-0005-0000-0000-0000A7560000}"/>
    <cellStyle name="Percent 6 3 4 4" xfId="21271" xr:uid="{00000000-0005-0000-0000-0000A8560000}"/>
    <cellStyle name="Percent 6 3 5" xfId="8914" xr:uid="{00000000-0005-0000-0000-0000A9560000}"/>
    <cellStyle name="Percent 6 3 5 2" xfId="14950" xr:uid="{00000000-0005-0000-0000-0000AA560000}"/>
    <cellStyle name="Percent 6 3 5 3" xfId="21273" xr:uid="{00000000-0005-0000-0000-0000AB560000}"/>
    <cellStyle name="Percent 6 3 6" xfId="14939" xr:uid="{00000000-0005-0000-0000-0000AC560000}"/>
    <cellStyle name="Percent 6 3 7" xfId="21262" xr:uid="{00000000-0005-0000-0000-0000AD560000}"/>
    <cellStyle name="Percent 6 4" xfId="8915" xr:uid="{00000000-0005-0000-0000-0000AE560000}"/>
    <cellStyle name="Percent 6 4 2" xfId="8916" xr:uid="{00000000-0005-0000-0000-0000AF560000}"/>
    <cellStyle name="Percent 6 4 2 2" xfId="8917" xr:uid="{00000000-0005-0000-0000-0000B0560000}"/>
    <cellStyle name="Percent 6 4 2 2 2" xfId="14953" xr:uid="{00000000-0005-0000-0000-0000B1560000}"/>
    <cellStyle name="Percent 6 4 2 2 3" xfId="21276" xr:uid="{00000000-0005-0000-0000-0000B2560000}"/>
    <cellStyle name="Percent 6 4 2 3" xfId="14952" xr:uid="{00000000-0005-0000-0000-0000B3560000}"/>
    <cellStyle name="Percent 6 4 2 4" xfId="21275" xr:uid="{00000000-0005-0000-0000-0000B4560000}"/>
    <cellStyle name="Percent 6 4 3" xfId="8918" xr:uid="{00000000-0005-0000-0000-0000B5560000}"/>
    <cellStyle name="Percent 6 4 3 2" xfId="8919" xr:uid="{00000000-0005-0000-0000-0000B6560000}"/>
    <cellStyle name="Percent 6 4 3 2 2" xfId="14955" xr:uid="{00000000-0005-0000-0000-0000B7560000}"/>
    <cellStyle name="Percent 6 4 3 2 3" xfId="21278" xr:uid="{00000000-0005-0000-0000-0000B8560000}"/>
    <cellStyle name="Percent 6 4 3 3" xfId="14954" xr:uid="{00000000-0005-0000-0000-0000B9560000}"/>
    <cellStyle name="Percent 6 4 3 4" xfId="21277" xr:uid="{00000000-0005-0000-0000-0000BA560000}"/>
    <cellStyle name="Percent 6 4 4" xfId="8920" xr:uid="{00000000-0005-0000-0000-0000BB560000}"/>
    <cellStyle name="Percent 6 4 4 2" xfId="14956" xr:uid="{00000000-0005-0000-0000-0000BC560000}"/>
    <cellStyle name="Percent 6 4 4 3" xfId="21279" xr:uid="{00000000-0005-0000-0000-0000BD560000}"/>
    <cellStyle name="Percent 6 4 5" xfId="14951" xr:uid="{00000000-0005-0000-0000-0000BE560000}"/>
    <cellStyle name="Percent 6 4 6" xfId="21274" xr:uid="{00000000-0005-0000-0000-0000BF560000}"/>
    <cellStyle name="Percent 6 5" xfId="8921" xr:uid="{00000000-0005-0000-0000-0000C0560000}"/>
    <cellStyle name="Percent 6 5 2" xfId="8922" xr:uid="{00000000-0005-0000-0000-0000C1560000}"/>
    <cellStyle name="Percent 6 5 2 2" xfId="14958" xr:uid="{00000000-0005-0000-0000-0000C2560000}"/>
    <cellStyle name="Percent 6 5 2 3" xfId="21281" xr:uid="{00000000-0005-0000-0000-0000C3560000}"/>
    <cellStyle name="Percent 6 5 3" xfId="14957" xr:uid="{00000000-0005-0000-0000-0000C4560000}"/>
    <cellStyle name="Percent 6 5 4" xfId="21280" xr:uid="{00000000-0005-0000-0000-0000C5560000}"/>
    <cellStyle name="Percent 6 6" xfId="8923" xr:uid="{00000000-0005-0000-0000-0000C6560000}"/>
    <cellStyle name="Percent 6 6 2" xfId="8924" xr:uid="{00000000-0005-0000-0000-0000C7560000}"/>
    <cellStyle name="Percent 6 6 2 2" xfId="14960" xr:uid="{00000000-0005-0000-0000-0000C8560000}"/>
    <cellStyle name="Percent 6 6 2 3" xfId="21283" xr:uid="{00000000-0005-0000-0000-0000C9560000}"/>
    <cellStyle name="Percent 6 6 3" xfId="14959" xr:uid="{00000000-0005-0000-0000-0000CA560000}"/>
    <cellStyle name="Percent 6 6 4" xfId="21282" xr:uid="{00000000-0005-0000-0000-0000CB560000}"/>
    <cellStyle name="Percent 6 7" xfId="8925" xr:uid="{00000000-0005-0000-0000-0000CC560000}"/>
    <cellStyle name="Percent 6 7 2" xfId="14961" xr:uid="{00000000-0005-0000-0000-0000CD560000}"/>
    <cellStyle name="Percent 6 7 3" xfId="21284" xr:uid="{00000000-0005-0000-0000-0000CE560000}"/>
    <cellStyle name="Percent 6 8" xfId="8926" xr:uid="{00000000-0005-0000-0000-0000CF560000}"/>
    <cellStyle name="Percent 6 8 2" xfId="21285" xr:uid="{00000000-0005-0000-0000-0000D0560000}"/>
    <cellStyle name="Percent 6 9" xfId="14914" xr:uid="{00000000-0005-0000-0000-0000D1560000}"/>
    <cellStyle name="Percent 7" xfId="8927" xr:uid="{00000000-0005-0000-0000-0000D2560000}"/>
    <cellStyle name="Percent 7 10" xfId="21286" xr:uid="{00000000-0005-0000-0000-0000D3560000}"/>
    <cellStyle name="Percent 7 2" xfId="8928" xr:uid="{00000000-0005-0000-0000-0000D4560000}"/>
    <cellStyle name="Percent 7 2 2" xfId="8929" xr:uid="{00000000-0005-0000-0000-0000D5560000}"/>
    <cellStyle name="Percent 7 2 2 2" xfId="8930" xr:uid="{00000000-0005-0000-0000-0000D6560000}"/>
    <cellStyle name="Percent 7 2 2 2 2" xfId="8931" xr:uid="{00000000-0005-0000-0000-0000D7560000}"/>
    <cellStyle name="Percent 7 2 2 2 2 2" xfId="8932" xr:uid="{00000000-0005-0000-0000-0000D8560000}"/>
    <cellStyle name="Percent 7 2 2 2 2 2 2" xfId="14967" xr:uid="{00000000-0005-0000-0000-0000D9560000}"/>
    <cellStyle name="Percent 7 2 2 2 2 2 3" xfId="21291" xr:uid="{00000000-0005-0000-0000-0000DA560000}"/>
    <cellStyle name="Percent 7 2 2 2 2 3" xfId="14966" xr:uid="{00000000-0005-0000-0000-0000DB560000}"/>
    <cellStyle name="Percent 7 2 2 2 2 4" xfId="21290" xr:uid="{00000000-0005-0000-0000-0000DC560000}"/>
    <cellStyle name="Percent 7 2 2 2 3" xfId="8933" xr:uid="{00000000-0005-0000-0000-0000DD560000}"/>
    <cellStyle name="Percent 7 2 2 2 3 2" xfId="8934" xr:uid="{00000000-0005-0000-0000-0000DE560000}"/>
    <cellStyle name="Percent 7 2 2 2 3 2 2" xfId="14969" xr:uid="{00000000-0005-0000-0000-0000DF560000}"/>
    <cellStyle name="Percent 7 2 2 2 3 2 3" xfId="21293" xr:uid="{00000000-0005-0000-0000-0000E0560000}"/>
    <cellStyle name="Percent 7 2 2 2 3 3" xfId="14968" xr:uid="{00000000-0005-0000-0000-0000E1560000}"/>
    <cellStyle name="Percent 7 2 2 2 3 4" xfId="21292" xr:uid="{00000000-0005-0000-0000-0000E2560000}"/>
    <cellStyle name="Percent 7 2 2 2 4" xfId="8935" xr:uid="{00000000-0005-0000-0000-0000E3560000}"/>
    <cellStyle name="Percent 7 2 2 2 4 2" xfId="14970" xr:uid="{00000000-0005-0000-0000-0000E4560000}"/>
    <cellStyle name="Percent 7 2 2 2 4 3" xfId="21294" xr:uid="{00000000-0005-0000-0000-0000E5560000}"/>
    <cellStyle name="Percent 7 2 2 2 5" xfId="14965" xr:uid="{00000000-0005-0000-0000-0000E6560000}"/>
    <cellStyle name="Percent 7 2 2 2 6" xfId="21289" xr:uid="{00000000-0005-0000-0000-0000E7560000}"/>
    <cellStyle name="Percent 7 2 2 3" xfId="8936" xr:uid="{00000000-0005-0000-0000-0000E8560000}"/>
    <cellStyle name="Percent 7 2 2 3 2" xfId="8937" xr:uid="{00000000-0005-0000-0000-0000E9560000}"/>
    <cellStyle name="Percent 7 2 2 3 2 2" xfId="14972" xr:uid="{00000000-0005-0000-0000-0000EA560000}"/>
    <cellStyle name="Percent 7 2 2 3 2 3" xfId="21296" xr:uid="{00000000-0005-0000-0000-0000EB560000}"/>
    <cellStyle name="Percent 7 2 2 3 3" xfId="14971" xr:uid="{00000000-0005-0000-0000-0000EC560000}"/>
    <cellStyle name="Percent 7 2 2 3 4" xfId="21295" xr:uid="{00000000-0005-0000-0000-0000ED560000}"/>
    <cellStyle name="Percent 7 2 2 4" xfId="8938" xr:uid="{00000000-0005-0000-0000-0000EE560000}"/>
    <cellStyle name="Percent 7 2 2 4 2" xfId="8939" xr:uid="{00000000-0005-0000-0000-0000EF560000}"/>
    <cellStyle name="Percent 7 2 2 4 2 2" xfId="14974" xr:uid="{00000000-0005-0000-0000-0000F0560000}"/>
    <cellStyle name="Percent 7 2 2 4 2 3" xfId="21298" xr:uid="{00000000-0005-0000-0000-0000F1560000}"/>
    <cellStyle name="Percent 7 2 2 4 3" xfId="14973" xr:uid="{00000000-0005-0000-0000-0000F2560000}"/>
    <cellStyle name="Percent 7 2 2 4 4" xfId="21297" xr:uid="{00000000-0005-0000-0000-0000F3560000}"/>
    <cellStyle name="Percent 7 2 2 5" xfId="8940" xr:uid="{00000000-0005-0000-0000-0000F4560000}"/>
    <cellStyle name="Percent 7 2 2 5 2" xfId="14975" xr:uid="{00000000-0005-0000-0000-0000F5560000}"/>
    <cellStyle name="Percent 7 2 2 5 3" xfId="21299" xr:uid="{00000000-0005-0000-0000-0000F6560000}"/>
    <cellStyle name="Percent 7 2 2 6" xfId="14964" xr:uid="{00000000-0005-0000-0000-0000F7560000}"/>
    <cellStyle name="Percent 7 2 2 7" xfId="21288" xr:uid="{00000000-0005-0000-0000-0000F8560000}"/>
    <cellStyle name="Percent 7 2 3" xfId="8941" xr:uid="{00000000-0005-0000-0000-0000F9560000}"/>
    <cellStyle name="Percent 7 2 3 2" xfId="8942" xr:uid="{00000000-0005-0000-0000-0000FA560000}"/>
    <cellStyle name="Percent 7 2 3 2 2" xfId="8943" xr:uid="{00000000-0005-0000-0000-0000FB560000}"/>
    <cellStyle name="Percent 7 2 3 2 2 2" xfId="14978" xr:uid="{00000000-0005-0000-0000-0000FC560000}"/>
    <cellStyle name="Percent 7 2 3 2 2 3" xfId="21302" xr:uid="{00000000-0005-0000-0000-0000FD560000}"/>
    <cellStyle name="Percent 7 2 3 2 3" xfId="14977" xr:uid="{00000000-0005-0000-0000-0000FE560000}"/>
    <cellStyle name="Percent 7 2 3 2 4" xfId="21301" xr:uid="{00000000-0005-0000-0000-0000FF560000}"/>
    <cellStyle name="Percent 7 2 3 3" xfId="8944" xr:uid="{00000000-0005-0000-0000-000000570000}"/>
    <cellStyle name="Percent 7 2 3 3 2" xfId="8945" xr:uid="{00000000-0005-0000-0000-000001570000}"/>
    <cellStyle name="Percent 7 2 3 3 2 2" xfId="14980" xr:uid="{00000000-0005-0000-0000-000002570000}"/>
    <cellStyle name="Percent 7 2 3 3 2 3" xfId="21304" xr:uid="{00000000-0005-0000-0000-000003570000}"/>
    <cellStyle name="Percent 7 2 3 3 3" xfId="14979" xr:uid="{00000000-0005-0000-0000-000004570000}"/>
    <cellStyle name="Percent 7 2 3 3 4" xfId="21303" xr:uid="{00000000-0005-0000-0000-000005570000}"/>
    <cellStyle name="Percent 7 2 3 4" xfId="8946" xr:uid="{00000000-0005-0000-0000-000006570000}"/>
    <cellStyle name="Percent 7 2 3 4 2" xfId="14981" xr:uid="{00000000-0005-0000-0000-000007570000}"/>
    <cellStyle name="Percent 7 2 3 4 3" xfId="21305" xr:uid="{00000000-0005-0000-0000-000008570000}"/>
    <cellStyle name="Percent 7 2 3 5" xfId="14976" xr:uid="{00000000-0005-0000-0000-000009570000}"/>
    <cellStyle name="Percent 7 2 3 6" xfId="21300" xr:uid="{00000000-0005-0000-0000-00000A570000}"/>
    <cellStyle name="Percent 7 2 4" xfId="8947" xr:uid="{00000000-0005-0000-0000-00000B570000}"/>
    <cellStyle name="Percent 7 2 4 2" xfId="8948" xr:uid="{00000000-0005-0000-0000-00000C570000}"/>
    <cellStyle name="Percent 7 2 4 2 2" xfId="14983" xr:uid="{00000000-0005-0000-0000-00000D570000}"/>
    <cellStyle name="Percent 7 2 4 2 3" xfId="21307" xr:uid="{00000000-0005-0000-0000-00000E570000}"/>
    <cellStyle name="Percent 7 2 4 3" xfId="14982" xr:uid="{00000000-0005-0000-0000-00000F570000}"/>
    <cellStyle name="Percent 7 2 4 4" xfId="21306" xr:uid="{00000000-0005-0000-0000-000010570000}"/>
    <cellStyle name="Percent 7 2 5" xfId="8949" xr:uid="{00000000-0005-0000-0000-000011570000}"/>
    <cellStyle name="Percent 7 2 5 2" xfId="8950" xr:uid="{00000000-0005-0000-0000-000012570000}"/>
    <cellStyle name="Percent 7 2 5 2 2" xfId="14985" xr:uid="{00000000-0005-0000-0000-000013570000}"/>
    <cellStyle name="Percent 7 2 5 2 3" xfId="21309" xr:uid="{00000000-0005-0000-0000-000014570000}"/>
    <cellStyle name="Percent 7 2 5 3" xfId="14984" xr:uid="{00000000-0005-0000-0000-000015570000}"/>
    <cellStyle name="Percent 7 2 5 4" xfId="21308" xr:uid="{00000000-0005-0000-0000-000016570000}"/>
    <cellStyle name="Percent 7 2 6" xfId="8951" xr:uid="{00000000-0005-0000-0000-000017570000}"/>
    <cellStyle name="Percent 7 2 6 2" xfId="14986" xr:uid="{00000000-0005-0000-0000-000018570000}"/>
    <cellStyle name="Percent 7 2 6 3" xfId="21310" xr:uid="{00000000-0005-0000-0000-000019570000}"/>
    <cellStyle name="Percent 7 2 7" xfId="8952" xr:uid="{00000000-0005-0000-0000-00001A570000}"/>
    <cellStyle name="Percent 7 2 7 2" xfId="21311" xr:uid="{00000000-0005-0000-0000-00001B570000}"/>
    <cellStyle name="Percent 7 2 8" xfId="14963" xr:uid="{00000000-0005-0000-0000-00001C570000}"/>
    <cellStyle name="Percent 7 2 9" xfId="21287" xr:uid="{00000000-0005-0000-0000-00001D570000}"/>
    <cellStyle name="Percent 7 3" xfId="8953" xr:uid="{00000000-0005-0000-0000-00001E570000}"/>
    <cellStyle name="Percent 7 3 2" xfId="8954" xr:uid="{00000000-0005-0000-0000-00001F570000}"/>
    <cellStyle name="Percent 7 3 2 2" xfId="8955" xr:uid="{00000000-0005-0000-0000-000020570000}"/>
    <cellStyle name="Percent 7 3 2 2 2" xfId="8956" xr:uid="{00000000-0005-0000-0000-000021570000}"/>
    <cellStyle name="Percent 7 3 2 2 2 2" xfId="14990" xr:uid="{00000000-0005-0000-0000-000022570000}"/>
    <cellStyle name="Percent 7 3 2 2 2 3" xfId="21315" xr:uid="{00000000-0005-0000-0000-000023570000}"/>
    <cellStyle name="Percent 7 3 2 2 3" xfId="14989" xr:uid="{00000000-0005-0000-0000-000024570000}"/>
    <cellStyle name="Percent 7 3 2 2 4" xfId="21314" xr:uid="{00000000-0005-0000-0000-000025570000}"/>
    <cellStyle name="Percent 7 3 2 3" xfId="8957" xr:uid="{00000000-0005-0000-0000-000026570000}"/>
    <cellStyle name="Percent 7 3 2 3 2" xfId="8958" xr:uid="{00000000-0005-0000-0000-000027570000}"/>
    <cellStyle name="Percent 7 3 2 3 2 2" xfId="14992" xr:uid="{00000000-0005-0000-0000-000028570000}"/>
    <cellStyle name="Percent 7 3 2 3 2 3" xfId="21317" xr:uid="{00000000-0005-0000-0000-000029570000}"/>
    <cellStyle name="Percent 7 3 2 3 3" xfId="14991" xr:uid="{00000000-0005-0000-0000-00002A570000}"/>
    <cellStyle name="Percent 7 3 2 3 4" xfId="21316" xr:uid="{00000000-0005-0000-0000-00002B570000}"/>
    <cellStyle name="Percent 7 3 2 4" xfId="8959" xr:uid="{00000000-0005-0000-0000-00002C570000}"/>
    <cellStyle name="Percent 7 3 2 4 2" xfId="14993" xr:uid="{00000000-0005-0000-0000-00002D570000}"/>
    <cellStyle name="Percent 7 3 2 4 3" xfId="21318" xr:uid="{00000000-0005-0000-0000-00002E570000}"/>
    <cellStyle name="Percent 7 3 2 5" xfId="14988" xr:uid="{00000000-0005-0000-0000-00002F570000}"/>
    <cellStyle name="Percent 7 3 2 6" xfId="21313" xr:uid="{00000000-0005-0000-0000-000030570000}"/>
    <cellStyle name="Percent 7 3 3" xfId="8960" xr:uid="{00000000-0005-0000-0000-000031570000}"/>
    <cellStyle name="Percent 7 3 3 2" xfId="8961" xr:uid="{00000000-0005-0000-0000-000032570000}"/>
    <cellStyle name="Percent 7 3 3 2 2" xfId="14995" xr:uid="{00000000-0005-0000-0000-000033570000}"/>
    <cellStyle name="Percent 7 3 3 2 3" xfId="21320" xr:uid="{00000000-0005-0000-0000-000034570000}"/>
    <cellStyle name="Percent 7 3 3 3" xfId="14994" xr:uid="{00000000-0005-0000-0000-000035570000}"/>
    <cellStyle name="Percent 7 3 3 4" xfId="21319" xr:uid="{00000000-0005-0000-0000-000036570000}"/>
    <cellStyle name="Percent 7 3 4" xfId="8962" xr:uid="{00000000-0005-0000-0000-000037570000}"/>
    <cellStyle name="Percent 7 3 4 2" xfId="8963" xr:uid="{00000000-0005-0000-0000-000038570000}"/>
    <cellStyle name="Percent 7 3 4 2 2" xfId="14997" xr:uid="{00000000-0005-0000-0000-000039570000}"/>
    <cellStyle name="Percent 7 3 4 2 3" xfId="21322" xr:uid="{00000000-0005-0000-0000-00003A570000}"/>
    <cellStyle name="Percent 7 3 4 3" xfId="14996" xr:uid="{00000000-0005-0000-0000-00003B570000}"/>
    <cellStyle name="Percent 7 3 4 4" xfId="21321" xr:uid="{00000000-0005-0000-0000-00003C570000}"/>
    <cellStyle name="Percent 7 3 5" xfId="8964" xr:uid="{00000000-0005-0000-0000-00003D570000}"/>
    <cellStyle name="Percent 7 3 5 2" xfId="14998" xr:uid="{00000000-0005-0000-0000-00003E570000}"/>
    <cellStyle name="Percent 7 3 5 3" xfId="21323" xr:uid="{00000000-0005-0000-0000-00003F570000}"/>
    <cellStyle name="Percent 7 3 6" xfId="8965" xr:uid="{00000000-0005-0000-0000-000040570000}"/>
    <cellStyle name="Percent 7 3 6 2" xfId="21324" xr:uid="{00000000-0005-0000-0000-000041570000}"/>
    <cellStyle name="Percent 7 3 7" xfId="14987" xr:uid="{00000000-0005-0000-0000-000042570000}"/>
    <cellStyle name="Percent 7 3 8" xfId="21312" xr:uid="{00000000-0005-0000-0000-000043570000}"/>
    <cellStyle name="Percent 7 4" xfId="8966" xr:uid="{00000000-0005-0000-0000-000044570000}"/>
    <cellStyle name="Percent 7 4 2" xfId="8967" xr:uid="{00000000-0005-0000-0000-000045570000}"/>
    <cellStyle name="Percent 7 4 2 2" xfId="8968" xr:uid="{00000000-0005-0000-0000-000046570000}"/>
    <cellStyle name="Percent 7 4 2 2 2" xfId="15001" xr:uid="{00000000-0005-0000-0000-000047570000}"/>
    <cellStyle name="Percent 7 4 2 2 3" xfId="21327" xr:uid="{00000000-0005-0000-0000-000048570000}"/>
    <cellStyle name="Percent 7 4 2 3" xfId="15000" xr:uid="{00000000-0005-0000-0000-000049570000}"/>
    <cellStyle name="Percent 7 4 2 4" xfId="21326" xr:uid="{00000000-0005-0000-0000-00004A570000}"/>
    <cellStyle name="Percent 7 4 3" xfId="8969" xr:uid="{00000000-0005-0000-0000-00004B570000}"/>
    <cellStyle name="Percent 7 4 3 2" xfId="8970" xr:uid="{00000000-0005-0000-0000-00004C570000}"/>
    <cellStyle name="Percent 7 4 3 2 2" xfId="15003" xr:uid="{00000000-0005-0000-0000-00004D570000}"/>
    <cellStyle name="Percent 7 4 3 2 3" xfId="21329" xr:uid="{00000000-0005-0000-0000-00004E570000}"/>
    <cellStyle name="Percent 7 4 3 3" xfId="15002" xr:uid="{00000000-0005-0000-0000-00004F570000}"/>
    <cellStyle name="Percent 7 4 3 4" xfId="21328" xr:uid="{00000000-0005-0000-0000-000050570000}"/>
    <cellStyle name="Percent 7 4 4" xfId="8971" xr:uid="{00000000-0005-0000-0000-000051570000}"/>
    <cellStyle name="Percent 7 4 4 2" xfId="15004" xr:uid="{00000000-0005-0000-0000-000052570000}"/>
    <cellStyle name="Percent 7 4 4 3" xfId="21330" xr:uid="{00000000-0005-0000-0000-000053570000}"/>
    <cellStyle name="Percent 7 4 5" xfId="14999" xr:uid="{00000000-0005-0000-0000-000054570000}"/>
    <cellStyle name="Percent 7 4 6" xfId="21325" xr:uid="{00000000-0005-0000-0000-000055570000}"/>
    <cellStyle name="Percent 7 5" xfId="8972" xr:uid="{00000000-0005-0000-0000-000056570000}"/>
    <cellStyle name="Percent 7 5 2" xfId="8973" xr:uid="{00000000-0005-0000-0000-000057570000}"/>
    <cellStyle name="Percent 7 5 2 2" xfId="15006" xr:uid="{00000000-0005-0000-0000-000058570000}"/>
    <cellStyle name="Percent 7 5 2 3" xfId="21332" xr:uid="{00000000-0005-0000-0000-000059570000}"/>
    <cellStyle name="Percent 7 5 3" xfId="15005" xr:uid="{00000000-0005-0000-0000-00005A570000}"/>
    <cellStyle name="Percent 7 5 4" xfId="21331" xr:uid="{00000000-0005-0000-0000-00005B570000}"/>
    <cellStyle name="Percent 7 6" xfId="8974" xr:uid="{00000000-0005-0000-0000-00005C570000}"/>
    <cellStyle name="Percent 7 6 2" xfId="8975" xr:uid="{00000000-0005-0000-0000-00005D570000}"/>
    <cellStyle name="Percent 7 6 2 2" xfId="15008" xr:uid="{00000000-0005-0000-0000-00005E570000}"/>
    <cellStyle name="Percent 7 6 2 3" xfId="21334" xr:uid="{00000000-0005-0000-0000-00005F570000}"/>
    <cellStyle name="Percent 7 6 3" xfId="15007" xr:uid="{00000000-0005-0000-0000-000060570000}"/>
    <cellStyle name="Percent 7 6 4" xfId="21333" xr:uid="{00000000-0005-0000-0000-000061570000}"/>
    <cellStyle name="Percent 7 7" xfId="8976" xr:uid="{00000000-0005-0000-0000-000062570000}"/>
    <cellStyle name="Percent 7 7 2" xfId="15009" xr:uid="{00000000-0005-0000-0000-000063570000}"/>
    <cellStyle name="Percent 7 7 3" xfId="21335" xr:uid="{00000000-0005-0000-0000-000064570000}"/>
    <cellStyle name="Percent 7 8" xfId="8977" xr:uid="{00000000-0005-0000-0000-000065570000}"/>
    <cellStyle name="Percent 7 8 2" xfId="21336" xr:uid="{00000000-0005-0000-0000-000066570000}"/>
    <cellStyle name="Percent 7 9" xfId="14962" xr:uid="{00000000-0005-0000-0000-000067570000}"/>
    <cellStyle name="Percent 8" xfId="8978" xr:uid="{00000000-0005-0000-0000-000068570000}"/>
    <cellStyle name="Percent 8 10" xfId="21337" xr:uid="{00000000-0005-0000-0000-000069570000}"/>
    <cellStyle name="Percent 8 2" xfId="8979" xr:uid="{00000000-0005-0000-0000-00006A570000}"/>
    <cellStyle name="Percent 8 2 2" xfId="8980" xr:uid="{00000000-0005-0000-0000-00006B570000}"/>
    <cellStyle name="Percent 8 2 2 2" xfId="8981" xr:uid="{00000000-0005-0000-0000-00006C570000}"/>
    <cellStyle name="Percent 8 2 2 2 2" xfId="8982" xr:uid="{00000000-0005-0000-0000-00006D570000}"/>
    <cellStyle name="Percent 8 2 2 2 2 2" xfId="15014" xr:uid="{00000000-0005-0000-0000-00006E570000}"/>
    <cellStyle name="Percent 8 2 2 2 2 3" xfId="21341" xr:uid="{00000000-0005-0000-0000-00006F570000}"/>
    <cellStyle name="Percent 8 2 2 2 3" xfId="15013" xr:uid="{00000000-0005-0000-0000-000070570000}"/>
    <cellStyle name="Percent 8 2 2 2 4" xfId="21340" xr:uid="{00000000-0005-0000-0000-000071570000}"/>
    <cellStyle name="Percent 8 2 2 3" xfId="8983" xr:uid="{00000000-0005-0000-0000-000072570000}"/>
    <cellStyle name="Percent 8 2 2 3 2" xfId="8984" xr:uid="{00000000-0005-0000-0000-000073570000}"/>
    <cellStyle name="Percent 8 2 2 3 2 2" xfId="15016" xr:uid="{00000000-0005-0000-0000-000074570000}"/>
    <cellStyle name="Percent 8 2 2 3 2 3" xfId="21343" xr:uid="{00000000-0005-0000-0000-000075570000}"/>
    <cellStyle name="Percent 8 2 2 3 3" xfId="15015" xr:uid="{00000000-0005-0000-0000-000076570000}"/>
    <cellStyle name="Percent 8 2 2 3 4" xfId="21342" xr:uid="{00000000-0005-0000-0000-000077570000}"/>
    <cellStyle name="Percent 8 2 2 4" xfId="8985" xr:uid="{00000000-0005-0000-0000-000078570000}"/>
    <cellStyle name="Percent 8 2 2 4 2" xfId="15017" xr:uid="{00000000-0005-0000-0000-000079570000}"/>
    <cellStyle name="Percent 8 2 2 4 3" xfId="21344" xr:uid="{00000000-0005-0000-0000-00007A570000}"/>
    <cellStyle name="Percent 8 2 2 5" xfId="15012" xr:uid="{00000000-0005-0000-0000-00007B570000}"/>
    <cellStyle name="Percent 8 2 2 6" xfId="21339" xr:uid="{00000000-0005-0000-0000-00007C570000}"/>
    <cellStyle name="Percent 8 2 3" xfId="8986" xr:uid="{00000000-0005-0000-0000-00007D570000}"/>
    <cellStyle name="Percent 8 2 3 2" xfId="8987" xr:uid="{00000000-0005-0000-0000-00007E570000}"/>
    <cellStyle name="Percent 8 2 3 2 2" xfId="15019" xr:uid="{00000000-0005-0000-0000-00007F570000}"/>
    <cellStyle name="Percent 8 2 3 2 3" xfId="21346" xr:uid="{00000000-0005-0000-0000-000080570000}"/>
    <cellStyle name="Percent 8 2 3 3" xfId="15018" xr:uid="{00000000-0005-0000-0000-000081570000}"/>
    <cellStyle name="Percent 8 2 3 4" xfId="21345" xr:uid="{00000000-0005-0000-0000-000082570000}"/>
    <cellStyle name="Percent 8 2 4" xfId="8988" xr:uid="{00000000-0005-0000-0000-000083570000}"/>
    <cellStyle name="Percent 8 2 4 2" xfId="8989" xr:uid="{00000000-0005-0000-0000-000084570000}"/>
    <cellStyle name="Percent 8 2 4 2 2" xfId="15021" xr:uid="{00000000-0005-0000-0000-000085570000}"/>
    <cellStyle name="Percent 8 2 4 2 3" xfId="21348" xr:uid="{00000000-0005-0000-0000-000086570000}"/>
    <cellStyle name="Percent 8 2 4 3" xfId="15020" xr:uid="{00000000-0005-0000-0000-000087570000}"/>
    <cellStyle name="Percent 8 2 4 4" xfId="21347" xr:uid="{00000000-0005-0000-0000-000088570000}"/>
    <cellStyle name="Percent 8 2 5" xfId="8990" xr:uid="{00000000-0005-0000-0000-000089570000}"/>
    <cellStyle name="Percent 8 2 5 2" xfId="15022" xr:uid="{00000000-0005-0000-0000-00008A570000}"/>
    <cellStyle name="Percent 8 2 5 3" xfId="21349" xr:uid="{00000000-0005-0000-0000-00008B570000}"/>
    <cellStyle name="Percent 8 2 6" xfId="15011" xr:uid="{00000000-0005-0000-0000-00008C570000}"/>
    <cellStyle name="Percent 8 2 7" xfId="21338" xr:uid="{00000000-0005-0000-0000-00008D570000}"/>
    <cellStyle name="Percent 8 3" xfId="8991" xr:uid="{00000000-0005-0000-0000-00008E570000}"/>
    <cellStyle name="Percent 8 3 2" xfId="8992" xr:uid="{00000000-0005-0000-0000-00008F570000}"/>
    <cellStyle name="Percent 8 3 2 2" xfId="8993" xr:uid="{00000000-0005-0000-0000-000090570000}"/>
    <cellStyle name="Percent 8 3 2 2 2" xfId="15025" xr:uid="{00000000-0005-0000-0000-000091570000}"/>
    <cellStyle name="Percent 8 3 2 2 3" xfId="21352" xr:uid="{00000000-0005-0000-0000-000092570000}"/>
    <cellStyle name="Percent 8 3 2 3" xfId="15024" xr:uid="{00000000-0005-0000-0000-000093570000}"/>
    <cellStyle name="Percent 8 3 2 4" xfId="21351" xr:uid="{00000000-0005-0000-0000-000094570000}"/>
    <cellStyle name="Percent 8 3 3" xfId="8994" xr:uid="{00000000-0005-0000-0000-000095570000}"/>
    <cellStyle name="Percent 8 3 3 2" xfId="8995" xr:uid="{00000000-0005-0000-0000-000096570000}"/>
    <cellStyle name="Percent 8 3 3 2 2" xfId="15027" xr:uid="{00000000-0005-0000-0000-000097570000}"/>
    <cellStyle name="Percent 8 3 3 2 3" xfId="21354" xr:uid="{00000000-0005-0000-0000-000098570000}"/>
    <cellStyle name="Percent 8 3 3 3" xfId="15026" xr:uid="{00000000-0005-0000-0000-000099570000}"/>
    <cellStyle name="Percent 8 3 3 4" xfId="21353" xr:uid="{00000000-0005-0000-0000-00009A570000}"/>
    <cellStyle name="Percent 8 3 4" xfId="8996" xr:uid="{00000000-0005-0000-0000-00009B570000}"/>
    <cellStyle name="Percent 8 3 4 2" xfId="15028" xr:uid="{00000000-0005-0000-0000-00009C570000}"/>
    <cellStyle name="Percent 8 3 4 3" xfId="21355" xr:uid="{00000000-0005-0000-0000-00009D570000}"/>
    <cellStyle name="Percent 8 3 5" xfId="15023" xr:uid="{00000000-0005-0000-0000-00009E570000}"/>
    <cellStyle name="Percent 8 3 6" xfId="21350" xr:uid="{00000000-0005-0000-0000-00009F570000}"/>
    <cellStyle name="Percent 8 4" xfId="8997" xr:uid="{00000000-0005-0000-0000-0000A0570000}"/>
    <cellStyle name="Percent 8 4 2" xfId="8998" xr:uid="{00000000-0005-0000-0000-0000A1570000}"/>
    <cellStyle name="Percent 8 4 2 2" xfId="15030" xr:uid="{00000000-0005-0000-0000-0000A2570000}"/>
    <cellStyle name="Percent 8 4 2 3" xfId="21357" xr:uid="{00000000-0005-0000-0000-0000A3570000}"/>
    <cellStyle name="Percent 8 4 3" xfId="15029" xr:uid="{00000000-0005-0000-0000-0000A4570000}"/>
    <cellStyle name="Percent 8 4 4" xfId="21356" xr:uid="{00000000-0005-0000-0000-0000A5570000}"/>
    <cellStyle name="Percent 8 5" xfId="8999" xr:uid="{00000000-0005-0000-0000-0000A6570000}"/>
    <cellStyle name="Percent 8 5 2" xfId="9000" xr:uid="{00000000-0005-0000-0000-0000A7570000}"/>
    <cellStyle name="Percent 8 5 2 2" xfId="15032" xr:uid="{00000000-0005-0000-0000-0000A8570000}"/>
    <cellStyle name="Percent 8 5 2 3" xfId="21359" xr:uid="{00000000-0005-0000-0000-0000A9570000}"/>
    <cellStyle name="Percent 8 5 3" xfId="15031" xr:uid="{00000000-0005-0000-0000-0000AA570000}"/>
    <cellStyle name="Percent 8 5 4" xfId="21358" xr:uid="{00000000-0005-0000-0000-0000AB570000}"/>
    <cellStyle name="Percent 8 6" xfId="9001" xr:uid="{00000000-0005-0000-0000-0000AC570000}"/>
    <cellStyle name="Percent 8 6 2" xfId="15033" xr:uid="{00000000-0005-0000-0000-0000AD570000}"/>
    <cellStyle name="Percent 8 6 3" xfId="21360" xr:uid="{00000000-0005-0000-0000-0000AE570000}"/>
    <cellStyle name="Percent 8 7" xfId="9002" xr:uid="{00000000-0005-0000-0000-0000AF570000}"/>
    <cellStyle name="Percent 8 7 2" xfId="15034" xr:uid="{00000000-0005-0000-0000-0000B0570000}"/>
    <cellStyle name="Percent 8 7 3" xfId="21361" xr:uid="{00000000-0005-0000-0000-0000B1570000}"/>
    <cellStyle name="Percent 8 8" xfId="9003" xr:uid="{00000000-0005-0000-0000-0000B2570000}"/>
    <cellStyle name="Percent 8 8 2" xfId="21362" xr:uid="{00000000-0005-0000-0000-0000B3570000}"/>
    <cellStyle name="Percent 8 9" xfId="15010" xr:uid="{00000000-0005-0000-0000-0000B4570000}"/>
    <cellStyle name="Percent 9" xfId="9004" xr:uid="{00000000-0005-0000-0000-0000B5570000}"/>
    <cellStyle name="Percent 9 2" xfId="9005" xr:uid="{00000000-0005-0000-0000-0000B6570000}"/>
    <cellStyle name="Percent 9 2 2" xfId="15036" xr:uid="{00000000-0005-0000-0000-0000B7570000}"/>
    <cellStyle name="Percent 9 2 3" xfId="21364" xr:uid="{00000000-0005-0000-0000-0000B8570000}"/>
    <cellStyle name="Percent 9 3" xfId="9006" xr:uid="{00000000-0005-0000-0000-0000B9570000}"/>
    <cellStyle name="Percent 9 3 2" xfId="15037" xr:uid="{00000000-0005-0000-0000-0000BA570000}"/>
    <cellStyle name="Percent 9 3 3" xfId="21365" xr:uid="{00000000-0005-0000-0000-0000BB570000}"/>
    <cellStyle name="Percent 9 4" xfId="9007" xr:uid="{00000000-0005-0000-0000-0000BC570000}"/>
    <cellStyle name="Percent 9 4 2" xfId="15038" xr:uid="{00000000-0005-0000-0000-0000BD570000}"/>
    <cellStyle name="Percent 9 4 3" xfId="21366" xr:uid="{00000000-0005-0000-0000-0000BE570000}"/>
    <cellStyle name="Percent 9 5" xfId="9008" xr:uid="{00000000-0005-0000-0000-0000BF570000}"/>
    <cellStyle name="Percent 9 5 2" xfId="21367" xr:uid="{00000000-0005-0000-0000-0000C0570000}"/>
    <cellStyle name="Percent 9 6" xfId="15035" xr:uid="{00000000-0005-0000-0000-0000C1570000}"/>
    <cellStyle name="Percent 9 7" xfId="21363" xr:uid="{00000000-0005-0000-0000-0000C2570000}"/>
    <cellStyle name="Percent(1)" xfId="9009" xr:uid="{00000000-0005-0000-0000-0000C3570000}"/>
    <cellStyle name="Percent(1) 2" xfId="9010" xr:uid="{00000000-0005-0000-0000-0000C4570000}"/>
    <cellStyle name="Percent(1) 2 2" xfId="21369" xr:uid="{00000000-0005-0000-0000-0000C5570000}"/>
    <cellStyle name="Percent(1) 3" xfId="15039" xr:uid="{00000000-0005-0000-0000-0000C6570000}"/>
    <cellStyle name="Percent(1) 4" xfId="21368" xr:uid="{00000000-0005-0000-0000-0000C7570000}"/>
    <cellStyle name="Percent(2)" xfId="9011" xr:uid="{00000000-0005-0000-0000-0000C8570000}"/>
    <cellStyle name="Percent(2) 2" xfId="9012" xr:uid="{00000000-0005-0000-0000-0000C9570000}"/>
    <cellStyle name="Percent(2) 2 2" xfId="21371" xr:uid="{00000000-0005-0000-0000-0000CA570000}"/>
    <cellStyle name="Percent(2) 3" xfId="15040" xr:uid="{00000000-0005-0000-0000-0000CB570000}"/>
    <cellStyle name="Percent(2) 4" xfId="21370" xr:uid="{00000000-0005-0000-0000-0000CC570000}"/>
    <cellStyle name="Posting_Period" xfId="9013" xr:uid="{00000000-0005-0000-0000-0000CD570000}"/>
    <cellStyle name="PRM" xfId="9014" xr:uid="{00000000-0005-0000-0000-0000CE570000}"/>
    <cellStyle name="PRM 2" xfId="9015" xr:uid="{00000000-0005-0000-0000-0000CF570000}"/>
    <cellStyle name="PRM 2 2" xfId="9016" xr:uid="{00000000-0005-0000-0000-0000D0570000}"/>
    <cellStyle name="PRM 2 2 2" xfId="21374" xr:uid="{00000000-0005-0000-0000-0000D1570000}"/>
    <cellStyle name="PRM 2 3" xfId="15042" xr:uid="{00000000-0005-0000-0000-0000D2570000}"/>
    <cellStyle name="PRM 2 4" xfId="21373" xr:uid="{00000000-0005-0000-0000-0000D3570000}"/>
    <cellStyle name="PRM 3" xfId="9017" xr:uid="{00000000-0005-0000-0000-0000D4570000}"/>
    <cellStyle name="PRM 3 2" xfId="9018" xr:uid="{00000000-0005-0000-0000-0000D5570000}"/>
    <cellStyle name="PRM 3 2 2" xfId="21376" xr:uid="{00000000-0005-0000-0000-0000D6570000}"/>
    <cellStyle name="PRM 3 3" xfId="15043" xr:uid="{00000000-0005-0000-0000-0000D7570000}"/>
    <cellStyle name="PRM 3 4" xfId="21375" xr:uid="{00000000-0005-0000-0000-0000D8570000}"/>
    <cellStyle name="PRM 4" xfId="9019" xr:uid="{00000000-0005-0000-0000-0000D9570000}"/>
    <cellStyle name="PRM 4 2" xfId="21377" xr:uid="{00000000-0005-0000-0000-0000DA570000}"/>
    <cellStyle name="PRM 5" xfId="15041" xr:uid="{00000000-0005-0000-0000-0000DB570000}"/>
    <cellStyle name="PRM 6" xfId="21372" xr:uid="{00000000-0005-0000-0000-0000DC570000}"/>
    <cellStyle name="PRM_2011-11" xfId="9020" xr:uid="{00000000-0005-0000-0000-0000DD570000}"/>
    <cellStyle name="PS_Comma" xfId="9021" xr:uid="{00000000-0005-0000-0000-0000DE570000}"/>
    <cellStyle name="PSChar" xfId="9022" xr:uid="{00000000-0005-0000-0000-0000DF570000}"/>
    <cellStyle name="PSChar 2" xfId="9023" xr:uid="{00000000-0005-0000-0000-0000E0570000}"/>
    <cellStyle name="PSChar 2 2" xfId="21379" xr:uid="{00000000-0005-0000-0000-0000E1570000}"/>
    <cellStyle name="PSChar 3" xfId="15044" xr:uid="{00000000-0005-0000-0000-0000E2570000}"/>
    <cellStyle name="PSChar 4" xfId="21378" xr:uid="{00000000-0005-0000-0000-0000E3570000}"/>
    <cellStyle name="PSDate" xfId="9024" xr:uid="{00000000-0005-0000-0000-0000E4570000}"/>
    <cellStyle name="PSDate 2" xfId="9025" xr:uid="{00000000-0005-0000-0000-0000E5570000}"/>
    <cellStyle name="PSDate 2 2" xfId="21381" xr:uid="{00000000-0005-0000-0000-0000E6570000}"/>
    <cellStyle name="PSDate 3" xfId="15045" xr:uid="{00000000-0005-0000-0000-0000E7570000}"/>
    <cellStyle name="PSDate 4" xfId="21380" xr:uid="{00000000-0005-0000-0000-0000E8570000}"/>
    <cellStyle name="PSDec" xfId="9026" xr:uid="{00000000-0005-0000-0000-0000E9570000}"/>
    <cellStyle name="PSDec 2" xfId="9027" xr:uid="{00000000-0005-0000-0000-0000EA570000}"/>
    <cellStyle name="PSDec 2 2" xfId="21383" xr:uid="{00000000-0005-0000-0000-0000EB570000}"/>
    <cellStyle name="PSDec 3" xfId="15046" xr:uid="{00000000-0005-0000-0000-0000EC570000}"/>
    <cellStyle name="PSDec 4" xfId="21382" xr:uid="{00000000-0005-0000-0000-0000ED570000}"/>
    <cellStyle name="PSHeading" xfId="9028" xr:uid="{00000000-0005-0000-0000-0000EE570000}"/>
    <cellStyle name="PSHeading 2" xfId="9029" xr:uid="{00000000-0005-0000-0000-0000EF570000}"/>
    <cellStyle name="PSHeading 2 2" xfId="9030" xr:uid="{00000000-0005-0000-0000-0000F0570000}"/>
    <cellStyle name="PSHeading 2 2 2" xfId="15049" xr:uid="{00000000-0005-0000-0000-0000F1570000}"/>
    <cellStyle name="PSHeading 2 2 3" xfId="21386" xr:uid="{00000000-0005-0000-0000-0000F2570000}"/>
    <cellStyle name="PSHeading 2 3" xfId="15048" xr:uid="{00000000-0005-0000-0000-0000F3570000}"/>
    <cellStyle name="PSHeading 2 4" xfId="21385" xr:uid="{00000000-0005-0000-0000-0000F4570000}"/>
    <cellStyle name="PSHeading 3" xfId="9031" xr:uid="{00000000-0005-0000-0000-0000F5570000}"/>
    <cellStyle name="PSHeading 3 2" xfId="21387" xr:uid="{00000000-0005-0000-0000-0000F6570000}"/>
    <cellStyle name="PSHeading 4" xfId="15047" xr:uid="{00000000-0005-0000-0000-0000F7570000}"/>
    <cellStyle name="PSHeading 5" xfId="21384" xr:uid="{00000000-0005-0000-0000-0000F8570000}"/>
    <cellStyle name="PSInt" xfId="9032" xr:uid="{00000000-0005-0000-0000-0000F9570000}"/>
    <cellStyle name="PSInt 2" xfId="9033" xr:uid="{00000000-0005-0000-0000-0000FA570000}"/>
    <cellStyle name="PSInt 2 2" xfId="21389" xr:uid="{00000000-0005-0000-0000-0000FB570000}"/>
    <cellStyle name="PSInt 3" xfId="15050" xr:uid="{00000000-0005-0000-0000-0000FC570000}"/>
    <cellStyle name="PSInt 4" xfId="21388" xr:uid="{00000000-0005-0000-0000-0000FD570000}"/>
    <cellStyle name="PSSpacer" xfId="9034" xr:uid="{00000000-0005-0000-0000-0000FE570000}"/>
    <cellStyle name="PSSpacer 2" xfId="9035" xr:uid="{00000000-0005-0000-0000-0000FF570000}"/>
    <cellStyle name="PSSpacer 2 2" xfId="21391" xr:uid="{00000000-0005-0000-0000-000000580000}"/>
    <cellStyle name="PSSpacer 3" xfId="15051" xr:uid="{00000000-0005-0000-0000-000001580000}"/>
    <cellStyle name="PSSpacer 4" xfId="21390" xr:uid="{00000000-0005-0000-0000-000002580000}"/>
    <cellStyle name="Reset  - Style4" xfId="9036" xr:uid="{00000000-0005-0000-0000-000003580000}"/>
    <cellStyle name="Reset  - Style4 2" xfId="15052" xr:uid="{00000000-0005-0000-0000-000004580000}"/>
    <cellStyle name="Reset  - Style4 3" xfId="21392" xr:uid="{00000000-0005-0000-0000-000005580000}"/>
    <cellStyle name="Reset  - Style7" xfId="9037" xr:uid="{00000000-0005-0000-0000-000006580000}"/>
    <cellStyle name="Reset  - Style7 2" xfId="15053" xr:uid="{00000000-0005-0000-0000-000007580000}"/>
    <cellStyle name="Reset  - Style7 3" xfId="21393" xr:uid="{00000000-0005-0000-0000-000008580000}"/>
    <cellStyle name="STYL0 - Style1" xfId="9038" xr:uid="{00000000-0005-0000-0000-000009580000}"/>
    <cellStyle name="STYL0 - Style1 2" xfId="9039" xr:uid="{00000000-0005-0000-0000-00000A580000}"/>
    <cellStyle name="STYL0 - Style1 2 2" xfId="21395" xr:uid="{00000000-0005-0000-0000-00000B580000}"/>
    <cellStyle name="STYL0 - Style1 3" xfId="15054" xr:uid="{00000000-0005-0000-0000-00000C580000}"/>
    <cellStyle name="STYL0 - Style1 4" xfId="21394" xr:uid="{00000000-0005-0000-0000-00000D580000}"/>
    <cellStyle name="STYL1 - Style2" xfId="9040" xr:uid="{00000000-0005-0000-0000-00000E580000}"/>
    <cellStyle name="STYL1 - Style2 2" xfId="9041" xr:uid="{00000000-0005-0000-0000-00000F580000}"/>
    <cellStyle name="STYL1 - Style2 2 2" xfId="21397" xr:uid="{00000000-0005-0000-0000-000010580000}"/>
    <cellStyle name="STYL1 - Style2 3" xfId="15055" xr:uid="{00000000-0005-0000-0000-000011580000}"/>
    <cellStyle name="STYL1 - Style2 4" xfId="21396" xr:uid="{00000000-0005-0000-0000-000012580000}"/>
    <cellStyle name="STYL2 - Style3" xfId="9042" xr:uid="{00000000-0005-0000-0000-000013580000}"/>
    <cellStyle name="STYL2 - Style3 2" xfId="9043" xr:uid="{00000000-0005-0000-0000-000014580000}"/>
    <cellStyle name="STYL2 - Style3 2 2" xfId="21399" xr:uid="{00000000-0005-0000-0000-000015580000}"/>
    <cellStyle name="STYL2 - Style3 3" xfId="15056" xr:uid="{00000000-0005-0000-0000-000016580000}"/>
    <cellStyle name="STYL2 - Style3 4" xfId="21398" xr:uid="{00000000-0005-0000-0000-000017580000}"/>
    <cellStyle name="STYL3 - Style4" xfId="9044" xr:uid="{00000000-0005-0000-0000-000018580000}"/>
    <cellStyle name="STYL3 - Style4 2" xfId="9045" xr:uid="{00000000-0005-0000-0000-000019580000}"/>
    <cellStyle name="STYL3 - Style4 2 2" xfId="21401" xr:uid="{00000000-0005-0000-0000-00001A580000}"/>
    <cellStyle name="STYL3 - Style4 3" xfId="15057" xr:uid="{00000000-0005-0000-0000-00001B580000}"/>
    <cellStyle name="STYL3 - Style4 4" xfId="21400" xr:uid="{00000000-0005-0000-0000-00001C580000}"/>
    <cellStyle name="STYL4 - Style5" xfId="9046" xr:uid="{00000000-0005-0000-0000-00001D580000}"/>
    <cellStyle name="STYL4 - Style5 2" xfId="9047" xr:uid="{00000000-0005-0000-0000-00001E580000}"/>
    <cellStyle name="STYL4 - Style5 2 2" xfId="21403" xr:uid="{00000000-0005-0000-0000-00001F580000}"/>
    <cellStyle name="STYL4 - Style5 3" xfId="15058" xr:uid="{00000000-0005-0000-0000-000020580000}"/>
    <cellStyle name="STYL4 - Style5 4" xfId="21402" xr:uid="{00000000-0005-0000-0000-000021580000}"/>
    <cellStyle name="STYL5 - Style6" xfId="9048" xr:uid="{00000000-0005-0000-0000-000022580000}"/>
    <cellStyle name="STYL5 - Style6 2" xfId="9049" xr:uid="{00000000-0005-0000-0000-000023580000}"/>
    <cellStyle name="STYL5 - Style6 2 2" xfId="21405" xr:uid="{00000000-0005-0000-0000-000024580000}"/>
    <cellStyle name="STYL5 - Style6 3" xfId="15059" xr:uid="{00000000-0005-0000-0000-000025580000}"/>
    <cellStyle name="STYL5 - Style6 4" xfId="21404" xr:uid="{00000000-0005-0000-0000-000026580000}"/>
    <cellStyle name="STYL6 - Style7" xfId="9050" xr:uid="{00000000-0005-0000-0000-000027580000}"/>
    <cellStyle name="STYL6 - Style7 2" xfId="9051" xr:uid="{00000000-0005-0000-0000-000028580000}"/>
    <cellStyle name="STYL6 - Style7 2 2" xfId="21407" xr:uid="{00000000-0005-0000-0000-000029580000}"/>
    <cellStyle name="STYL6 - Style7 3" xfId="15060" xr:uid="{00000000-0005-0000-0000-00002A580000}"/>
    <cellStyle name="STYL6 - Style7 4" xfId="21406" xr:uid="{00000000-0005-0000-0000-00002B580000}"/>
    <cellStyle name="STYL7 - Style8" xfId="9052" xr:uid="{00000000-0005-0000-0000-00002C580000}"/>
    <cellStyle name="STYL7 - Style8 2" xfId="9053" xr:uid="{00000000-0005-0000-0000-00002D580000}"/>
    <cellStyle name="STYL7 - Style8 2 2" xfId="21409" xr:uid="{00000000-0005-0000-0000-00002E580000}"/>
    <cellStyle name="STYL7 - Style8 3" xfId="15061" xr:uid="{00000000-0005-0000-0000-00002F580000}"/>
    <cellStyle name="STYL7 - Style8 4" xfId="21408" xr:uid="{00000000-0005-0000-0000-000030580000}"/>
    <cellStyle name="Style 1" xfId="9054" xr:uid="{00000000-0005-0000-0000-000031580000}"/>
    <cellStyle name="Style 1 2" xfId="9055" xr:uid="{00000000-0005-0000-0000-000032580000}"/>
    <cellStyle name="Style 1 2 2" xfId="9056" xr:uid="{00000000-0005-0000-0000-000033580000}"/>
    <cellStyle name="Style 1 2 2 2" xfId="15064" xr:uid="{00000000-0005-0000-0000-000034580000}"/>
    <cellStyle name="Style 1 2 2 3" xfId="21412" xr:uid="{00000000-0005-0000-0000-000035580000}"/>
    <cellStyle name="Style 1 2 3" xfId="9057" xr:uid="{00000000-0005-0000-0000-000036580000}"/>
    <cellStyle name="Style 1 2 3 2" xfId="21413" xr:uid="{00000000-0005-0000-0000-000037580000}"/>
    <cellStyle name="Style 1 2 4" xfId="15063" xr:uid="{00000000-0005-0000-0000-000038580000}"/>
    <cellStyle name="Style 1 2 5" xfId="21411" xr:uid="{00000000-0005-0000-0000-000039580000}"/>
    <cellStyle name="Style 1 3" xfId="9058" xr:uid="{00000000-0005-0000-0000-00003A580000}"/>
    <cellStyle name="Style 1 3 2" xfId="15065" xr:uid="{00000000-0005-0000-0000-00003B580000}"/>
    <cellStyle name="Style 1 3 3" xfId="21414" xr:uid="{00000000-0005-0000-0000-00003C580000}"/>
    <cellStyle name="Style 1 4" xfId="9059" xr:uid="{00000000-0005-0000-0000-00003D580000}"/>
    <cellStyle name="Style 1 4 2" xfId="15066" xr:uid="{00000000-0005-0000-0000-00003E580000}"/>
    <cellStyle name="Style 1 4 3" xfId="21415" xr:uid="{00000000-0005-0000-0000-00003F580000}"/>
    <cellStyle name="Style 1 5" xfId="9060" xr:uid="{00000000-0005-0000-0000-000040580000}"/>
    <cellStyle name="Style 1 5 2" xfId="21416" xr:uid="{00000000-0005-0000-0000-000041580000}"/>
    <cellStyle name="Style 1 6" xfId="15062" xr:uid="{00000000-0005-0000-0000-000042580000}"/>
    <cellStyle name="Style 1 7" xfId="21410" xr:uid="{00000000-0005-0000-0000-000043580000}"/>
    <cellStyle name="Style 1_Recycle Center Commodities MRF" xfId="9061" xr:uid="{00000000-0005-0000-0000-000044580000}"/>
    <cellStyle name="STYLE1" xfId="9062" xr:uid="{00000000-0005-0000-0000-000045580000}"/>
    <cellStyle name="STYLE1 2" xfId="9063" xr:uid="{00000000-0005-0000-0000-000046580000}"/>
    <cellStyle name="STYLE1 2 2" xfId="9064" xr:uid="{00000000-0005-0000-0000-000047580000}"/>
    <cellStyle name="STYLE1 2 2 2" xfId="21419" xr:uid="{00000000-0005-0000-0000-000048580000}"/>
    <cellStyle name="STYLE1 2 3" xfId="15068" xr:uid="{00000000-0005-0000-0000-000049580000}"/>
    <cellStyle name="STYLE1 2 4" xfId="21418" xr:uid="{00000000-0005-0000-0000-00004A580000}"/>
    <cellStyle name="STYLE1 3" xfId="9065" xr:uid="{00000000-0005-0000-0000-00004B580000}"/>
    <cellStyle name="STYLE1 3 2" xfId="21420" xr:uid="{00000000-0005-0000-0000-00004C580000}"/>
    <cellStyle name="STYLE1 4" xfId="15067" xr:uid="{00000000-0005-0000-0000-00004D580000}"/>
    <cellStyle name="STYLE1 5" xfId="21417" xr:uid="{00000000-0005-0000-0000-00004E580000}"/>
    <cellStyle name="sub heading" xfId="9066" xr:uid="{00000000-0005-0000-0000-00004F580000}"/>
    <cellStyle name="sub heading 2" xfId="9067" xr:uid="{00000000-0005-0000-0000-000050580000}"/>
    <cellStyle name="sub heading 2 2" xfId="21422" xr:uid="{00000000-0005-0000-0000-000051580000}"/>
    <cellStyle name="sub heading 3" xfId="15069" xr:uid="{00000000-0005-0000-0000-000052580000}"/>
    <cellStyle name="sub heading 4" xfId="21421" xr:uid="{00000000-0005-0000-0000-000053580000}"/>
    <cellStyle name="Table  - Style5" xfId="9068" xr:uid="{00000000-0005-0000-0000-000054580000}"/>
    <cellStyle name="Table  - Style5 2" xfId="9069" xr:uid="{00000000-0005-0000-0000-000055580000}"/>
    <cellStyle name="Table  - Style5 2 2" xfId="15071" xr:uid="{00000000-0005-0000-0000-000056580000}"/>
    <cellStyle name="Table  - Style5 2 3" xfId="21424" xr:uid="{00000000-0005-0000-0000-000057580000}"/>
    <cellStyle name="Table  - Style5 3" xfId="9070" xr:uid="{00000000-0005-0000-0000-000058580000}"/>
    <cellStyle name="Table  - Style5 3 2" xfId="15072" xr:uid="{00000000-0005-0000-0000-000059580000}"/>
    <cellStyle name="Table  - Style5 3 3" xfId="21425" xr:uid="{00000000-0005-0000-0000-00005A580000}"/>
    <cellStyle name="Table  - Style5 4" xfId="9071" xr:uid="{00000000-0005-0000-0000-00005B580000}"/>
    <cellStyle name="Table  - Style5 4 2" xfId="15073" xr:uid="{00000000-0005-0000-0000-00005C580000}"/>
    <cellStyle name="Table  - Style5 4 3" xfId="21426" xr:uid="{00000000-0005-0000-0000-00005D580000}"/>
    <cellStyle name="Table  - Style5 5" xfId="9072" xr:uid="{00000000-0005-0000-0000-00005E580000}"/>
    <cellStyle name="Table  - Style5 5 2" xfId="15074" xr:uid="{00000000-0005-0000-0000-00005F580000}"/>
    <cellStyle name="Table  - Style5 5 3" xfId="21427" xr:uid="{00000000-0005-0000-0000-000060580000}"/>
    <cellStyle name="Table  - Style5 6" xfId="15070" xr:uid="{00000000-0005-0000-0000-000061580000}"/>
    <cellStyle name="Table  - Style5 7" xfId="21423" xr:uid="{00000000-0005-0000-0000-000062580000}"/>
    <cellStyle name="Table  - Style6" xfId="9073" xr:uid="{00000000-0005-0000-0000-000063580000}"/>
    <cellStyle name="Table  - Style6 2" xfId="9074" xr:uid="{00000000-0005-0000-0000-000064580000}"/>
    <cellStyle name="Table  - Style6 2 2" xfId="15076" xr:uid="{00000000-0005-0000-0000-000065580000}"/>
    <cellStyle name="Table  - Style6 2 3" xfId="21429" xr:uid="{00000000-0005-0000-0000-000066580000}"/>
    <cellStyle name="Table  - Style6 3" xfId="9075" xr:uid="{00000000-0005-0000-0000-000067580000}"/>
    <cellStyle name="Table  - Style6 3 2" xfId="15077" xr:uid="{00000000-0005-0000-0000-000068580000}"/>
    <cellStyle name="Table  - Style6 3 3" xfId="21430" xr:uid="{00000000-0005-0000-0000-000069580000}"/>
    <cellStyle name="Table  - Style6 4" xfId="9076" xr:uid="{00000000-0005-0000-0000-00006A580000}"/>
    <cellStyle name="Table  - Style6 4 2" xfId="15078" xr:uid="{00000000-0005-0000-0000-00006B580000}"/>
    <cellStyle name="Table  - Style6 4 3" xfId="21431" xr:uid="{00000000-0005-0000-0000-00006C580000}"/>
    <cellStyle name="Table  - Style6 5" xfId="9077" xr:uid="{00000000-0005-0000-0000-00006D580000}"/>
    <cellStyle name="Table  - Style6 5 2" xfId="15079" xr:uid="{00000000-0005-0000-0000-00006E580000}"/>
    <cellStyle name="Table  - Style6 5 3" xfId="21432" xr:uid="{00000000-0005-0000-0000-00006F580000}"/>
    <cellStyle name="Table  - Style6 6" xfId="15075" xr:uid="{00000000-0005-0000-0000-000070580000}"/>
    <cellStyle name="Table  - Style6 7" xfId="21428" xr:uid="{00000000-0005-0000-0000-000071580000}"/>
    <cellStyle name="Tax_Rate" xfId="9078" xr:uid="{00000000-0005-0000-0000-000072580000}"/>
    <cellStyle name="Title  - Style1" xfId="9079" xr:uid="{00000000-0005-0000-0000-000073580000}"/>
    <cellStyle name="Title  - Style1 2" xfId="15081" xr:uid="{00000000-0005-0000-0000-000074580000}"/>
    <cellStyle name="Title  - Style1 3" xfId="21433" xr:uid="{00000000-0005-0000-0000-000075580000}"/>
    <cellStyle name="Title  - Style6" xfId="9080" xr:uid="{00000000-0005-0000-0000-000076580000}"/>
    <cellStyle name="Title  - Style6 2" xfId="15082" xr:uid="{00000000-0005-0000-0000-000077580000}"/>
    <cellStyle name="Title  - Style6 3" xfId="21434" xr:uid="{00000000-0005-0000-0000-000078580000}"/>
    <cellStyle name="Title 10" xfId="9081" xr:uid="{00000000-0005-0000-0000-000079580000}"/>
    <cellStyle name="Title 10 2" xfId="15083" xr:uid="{00000000-0005-0000-0000-00007A580000}"/>
    <cellStyle name="Title 10 3" xfId="21435" xr:uid="{00000000-0005-0000-0000-00007B580000}"/>
    <cellStyle name="Title 11" xfId="9082" xr:uid="{00000000-0005-0000-0000-00007C580000}"/>
    <cellStyle name="Title 11 2" xfId="15084" xr:uid="{00000000-0005-0000-0000-00007D580000}"/>
    <cellStyle name="Title 11 3" xfId="21436" xr:uid="{00000000-0005-0000-0000-00007E580000}"/>
    <cellStyle name="Title 12" xfId="9083" xr:uid="{00000000-0005-0000-0000-00007F580000}"/>
    <cellStyle name="Title 12 2" xfId="15085" xr:uid="{00000000-0005-0000-0000-000080580000}"/>
    <cellStyle name="Title 12 3" xfId="21437" xr:uid="{00000000-0005-0000-0000-000081580000}"/>
    <cellStyle name="Title 13" xfId="9084" xr:uid="{00000000-0005-0000-0000-000082580000}"/>
    <cellStyle name="Title 13 2" xfId="21438" xr:uid="{00000000-0005-0000-0000-000083580000}"/>
    <cellStyle name="Title 14" xfId="15080" xr:uid="{00000000-0005-0000-0000-000084580000}"/>
    <cellStyle name="Title 2" xfId="9085" xr:uid="{00000000-0005-0000-0000-000085580000}"/>
    <cellStyle name="Title 2 2" xfId="9086" xr:uid="{00000000-0005-0000-0000-000086580000}"/>
    <cellStyle name="Title 2 2 2" xfId="9087" xr:uid="{00000000-0005-0000-0000-000087580000}"/>
    <cellStyle name="Title 2 2 2 2" xfId="15088" xr:uid="{00000000-0005-0000-0000-000088580000}"/>
    <cellStyle name="Title 2 2 2 3" xfId="21441" xr:uid="{00000000-0005-0000-0000-000089580000}"/>
    <cellStyle name="Title 2 2 3" xfId="9088" xr:uid="{00000000-0005-0000-0000-00008A580000}"/>
    <cellStyle name="Title 2 2 3 2" xfId="21442" xr:uid="{00000000-0005-0000-0000-00008B580000}"/>
    <cellStyle name="Title 2 2 4" xfId="15087" xr:uid="{00000000-0005-0000-0000-00008C580000}"/>
    <cellStyle name="Title 2 2 5" xfId="21440" xr:uid="{00000000-0005-0000-0000-00008D580000}"/>
    <cellStyle name="Title 2 3" xfId="9089" xr:uid="{00000000-0005-0000-0000-00008E580000}"/>
    <cellStyle name="Title 2 3 2" xfId="9090" xr:uid="{00000000-0005-0000-0000-00008F580000}"/>
    <cellStyle name="Title 2 3 2 2" xfId="21444" xr:uid="{00000000-0005-0000-0000-000090580000}"/>
    <cellStyle name="Title 2 3 3" xfId="15089" xr:uid="{00000000-0005-0000-0000-000091580000}"/>
    <cellStyle name="Title 2 3 4" xfId="21443" xr:uid="{00000000-0005-0000-0000-000092580000}"/>
    <cellStyle name="Title 2 4" xfId="9091" xr:uid="{00000000-0005-0000-0000-000093580000}"/>
    <cellStyle name="Title 2 4 2" xfId="21445" xr:uid="{00000000-0005-0000-0000-000094580000}"/>
    <cellStyle name="Title 2 5" xfId="15086" xr:uid="{00000000-0005-0000-0000-000095580000}"/>
    <cellStyle name="Title 2 6" xfId="21439" xr:uid="{00000000-0005-0000-0000-000096580000}"/>
    <cellStyle name="Title 3" xfId="9092" xr:uid="{00000000-0005-0000-0000-000097580000}"/>
    <cellStyle name="Title 3 2" xfId="9093" xr:uid="{00000000-0005-0000-0000-000098580000}"/>
    <cellStyle name="Title 3 2 2" xfId="9094" xr:uid="{00000000-0005-0000-0000-000099580000}"/>
    <cellStyle name="Title 3 2 2 2" xfId="21448" xr:uid="{00000000-0005-0000-0000-00009A580000}"/>
    <cellStyle name="Title 3 2 3" xfId="15091" xr:uid="{00000000-0005-0000-0000-00009B580000}"/>
    <cellStyle name="Title 3 2 4" xfId="21447" xr:uid="{00000000-0005-0000-0000-00009C580000}"/>
    <cellStyle name="Title 3 3" xfId="9095" xr:uid="{00000000-0005-0000-0000-00009D580000}"/>
    <cellStyle name="Title 3 3 2" xfId="21449" xr:uid="{00000000-0005-0000-0000-00009E580000}"/>
    <cellStyle name="Title 3 4" xfId="9096" xr:uid="{00000000-0005-0000-0000-00009F580000}"/>
    <cellStyle name="Title 3 4 2" xfId="21450" xr:uid="{00000000-0005-0000-0000-0000A0580000}"/>
    <cellStyle name="Title 3 5" xfId="15090" xr:uid="{00000000-0005-0000-0000-0000A1580000}"/>
    <cellStyle name="Title 3 6" xfId="21446" xr:uid="{00000000-0005-0000-0000-0000A2580000}"/>
    <cellStyle name="Title 4" xfId="9097" xr:uid="{00000000-0005-0000-0000-0000A3580000}"/>
    <cellStyle name="Title 4 2" xfId="15092" xr:uid="{00000000-0005-0000-0000-0000A4580000}"/>
    <cellStyle name="Title 4 3" xfId="21451" xr:uid="{00000000-0005-0000-0000-0000A5580000}"/>
    <cellStyle name="Title 5" xfId="9098" xr:uid="{00000000-0005-0000-0000-0000A6580000}"/>
    <cellStyle name="Title 5 2" xfId="15093" xr:uid="{00000000-0005-0000-0000-0000A7580000}"/>
    <cellStyle name="Title 5 3" xfId="21452" xr:uid="{00000000-0005-0000-0000-0000A8580000}"/>
    <cellStyle name="Title 6" xfId="9099" xr:uid="{00000000-0005-0000-0000-0000A9580000}"/>
    <cellStyle name="Title 6 2" xfId="15094" xr:uid="{00000000-0005-0000-0000-0000AA580000}"/>
    <cellStyle name="Title 6 3" xfId="21453" xr:uid="{00000000-0005-0000-0000-0000AB580000}"/>
    <cellStyle name="Title 7" xfId="9100" xr:uid="{00000000-0005-0000-0000-0000AC580000}"/>
    <cellStyle name="Title 7 2" xfId="15095" xr:uid="{00000000-0005-0000-0000-0000AD580000}"/>
    <cellStyle name="Title 7 3" xfId="21454" xr:uid="{00000000-0005-0000-0000-0000AE580000}"/>
    <cellStyle name="Title 8" xfId="9101" xr:uid="{00000000-0005-0000-0000-0000AF580000}"/>
    <cellStyle name="Title 8 2" xfId="15096" xr:uid="{00000000-0005-0000-0000-0000B0580000}"/>
    <cellStyle name="Title 8 3" xfId="21455" xr:uid="{00000000-0005-0000-0000-0000B1580000}"/>
    <cellStyle name="Title 9" xfId="9102" xr:uid="{00000000-0005-0000-0000-0000B2580000}"/>
    <cellStyle name="Title 9 2" xfId="15097" xr:uid="{00000000-0005-0000-0000-0000B3580000}"/>
    <cellStyle name="Title 9 3" xfId="21456" xr:uid="{00000000-0005-0000-0000-0000B4580000}"/>
    <cellStyle name="Total 2" xfId="9103" xr:uid="{00000000-0005-0000-0000-0000B5580000}"/>
    <cellStyle name="Total 2 2" xfId="9104" xr:uid="{00000000-0005-0000-0000-0000B6580000}"/>
    <cellStyle name="Total 2 2 2" xfId="9105" xr:uid="{00000000-0005-0000-0000-0000B7580000}"/>
    <cellStyle name="Total 2 2 2 2" xfId="9106" xr:uid="{00000000-0005-0000-0000-0000B8580000}"/>
    <cellStyle name="Total 2 2 2 2 2" xfId="15102" xr:uid="{00000000-0005-0000-0000-0000B9580000}"/>
    <cellStyle name="Total 2 2 2 2 3" xfId="21460" xr:uid="{00000000-0005-0000-0000-0000BA580000}"/>
    <cellStyle name="Total 2 2 2 3" xfId="9107" xr:uid="{00000000-0005-0000-0000-0000BB580000}"/>
    <cellStyle name="Total 2 2 2 3 2" xfId="15103" xr:uid="{00000000-0005-0000-0000-0000BC580000}"/>
    <cellStyle name="Total 2 2 2 3 3" xfId="21461" xr:uid="{00000000-0005-0000-0000-0000BD580000}"/>
    <cellStyle name="Total 2 2 2 4" xfId="9108" xr:uid="{00000000-0005-0000-0000-0000BE580000}"/>
    <cellStyle name="Total 2 2 2 4 2" xfId="15104" xr:uid="{00000000-0005-0000-0000-0000BF580000}"/>
    <cellStyle name="Total 2 2 2 4 3" xfId="21462" xr:uid="{00000000-0005-0000-0000-0000C0580000}"/>
    <cellStyle name="Total 2 2 2 5" xfId="9109" xr:uid="{00000000-0005-0000-0000-0000C1580000}"/>
    <cellStyle name="Total 2 2 2 5 2" xfId="15105" xr:uid="{00000000-0005-0000-0000-0000C2580000}"/>
    <cellStyle name="Total 2 2 2 5 3" xfId="21463" xr:uid="{00000000-0005-0000-0000-0000C3580000}"/>
    <cellStyle name="Total 2 2 2 6" xfId="15101" xr:uid="{00000000-0005-0000-0000-0000C4580000}"/>
    <cellStyle name="Total 2 2 2 7" xfId="21459" xr:uid="{00000000-0005-0000-0000-0000C5580000}"/>
    <cellStyle name="Total 2 2 3" xfId="9110" xr:uid="{00000000-0005-0000-0000-0000C6580000}"/>
    <cellStyle name="Total 2 2 3 2" xfId="9111" xr:uid="{00000000-0005-0000-0000-0000C7580000}"/>
    <cellStyle name="Total 2 2 3 2 2" xfId="15107" xr:uid="{00000000-0005-0000-0000-0000C8580000}"/>
    <cellStyle name="Total 2 2 3 2 3" xfId="21465" xr:uid="{00000000-0005-0000-0000-0000C9580000}"/>
    <cellStyle name="Total 2 2 3 3" xfId="9112" xr:uid="{00000000-0005-0000-0000-0000CA580000}"/>
    <cellStyle name="Total 2 2 3 3 2" xfId="15108" xr:uid="{00000000-0005-0000-0000-0000CB580000}"/>
    <cellStyle name="Total 2 2 3 3 3" xfId="21466" xr:uid="{00000000-0005-0000-0000-0000CC580000}"/>
    <cellStyle name="Total 2 2 3 4" xfId="9113" xr:uid="{00000000-0005-0000-0000-0000CD580000}"/>
    <cellStyle name="Total 2 2 3 4 2" xfId="15109" xr:uid="{00000000-0005-0000-0000-0000CE580000}"/>
    <cellStyle name="Total 2 2 3 4 3" xfId="21467" xr:uid="{00000000-0005-0000-0000-0000CF580000}"/>
    <cellStyle name="Total 2 2 3 5" xfId="9114" xr:uid="{00000000-0005-0000-0000-0000D0580000}"/>
    <cellStyle name="Total 2 2 3 5 2" xfId="15110" xr:uid="{00000000-0005-0000-0000-0000D1580000}"/>
    <cellStyle name="Total 2 2 3 5 3" xfId="21468" xr:uid="{00000000-0005-0000-0000-0000D2580000}"/>
    <cellStyle name="Total 2 2 3 6" xfId="15106" xr:uid="{00000000-0005-0000-0000-0000D3580000}"/>
    <cellStyle name="Total 2 2 3 7" xfId="21464" xr:uid="{00000000-0005-0000-0000-0000D4580000}"/>
    <cellStyle name="Total 2 2 4" xfId="9115" xr:uid="{00000000-0005-0000-0000-0000D5580000}"/>
    <cellStyle name="Total 2 2 4 2" xfId="21469" xr:uid="{00000000-0005-0000-0000-0000D6580000}"/>
    <cellStyle name="Total 2 2 5" xfId="15100" xr:uid="{00000000-0005-0000-0000-0000D7580000}"/>
    <cellStyle name="Total 2 2 6" xfId="21458" xr:uid="{00000000-0005-0000-0000-0000D8580000}"/>
    <cellStyle name="Total 2 3" xfId="9116" xr:uid="{00000000-0005-0000-0000-0000D9580000}"/>
    <cellStyle name="Total 2 3 2" xfId="9117" xr:uid="{00000000-0005-0000-0000-0000DA580000}"/>
    <cellStyle name="Total 2 3 2 2" xfId="9118" xr:uid="{00000000-0005-0000-0000-0000DB580000}"/>
    <cellStyle name="Total 2 3 2 2 2" xfId="15113" xr:uid="{00000000-0005-0000-0000-0000DC580000}"/>
    <cellStyle name="Total 2 3 2 2 3" xfId="21472" xr:uid="{00000000-0005-0000-0000-0000DD580000}"/>
    <cellStyle name="Total 2 3 2 3" xfId="9119" xr:uid="{00000000-0005-0000-0000-0000DE580000}"/>
    <cellStyle name="Total 2 3 2 3 2" xfId="15114" xr:uid="{00000000-0005-0000-0000-0000DF580000}"/>
    <cellStyle name="Total 2 3 2 3 3" xfId="21473" xr:uid="{00000000-0005-0000-0000-0000E0580000}"/>
    <cellStyle name="Total 2 3 2 4" xfId="9120" xr:uid="{00000000-0005-0000-0000-0000E1580000}"/>
    <cellStyle name="Total 2 3 2 4 2" xfId="15115" xr:uid="{00000000-0005-0000-0000-0000E2580000}"/>
    <cellStyle name="Total 2 3 2 4 3" xfId="21474" xr:uid="{00000000-0005-0000-0000-0000E3580000}"/>
    <cellStyle name="Total 2 3 2 5" xfId="9121" xr:uid="{00000000-0005-0000-0000-0000E4580000}"/>
    <cellStyle name="Total 2 3 2 5 2" xfId="15116" xr:uid="{00000000-0005-0000-0000-0000E5580000}"/>
    <cellStyle name="Total 2 3 2 5 3" xfId="21475" xr:uid="{00000000-0005-0000-0000-0000E6580000}"/>
    <cellStyle name="Total 2 3 2 6" xfId="15112" xr:uid="{00000000-0005-0000-0000-0000E7580000}"/>
    <cellStyle name="Total 2 3 2 7" xfId="21471" xr:uid="{00000000-0005-0000-0000-0000E8580000}"/>
    <cellStyle name="Total 2 3 3" xfId="9122" xr:uid="{00000000-0005-0000-0000-0000E9580000}"/>
    <cellStyle name="Total 2 3 3 2" xfId="15117" xr:uid="{00000000-0005-0000-0000-0000EA580000}"/>
    <cellStyle name="Total 2 3 3 3" xfId="21476" xr:uid="{00000000-0005-0000-0000-0000EB580000}"/>
    <cellStyle name="Total 2 3 4" xfId="9123" xr:uid="{00000000-0005-0000-0000-0000EC580000}"/>
    <cellStyle name="Total 2 3 4 2" xfId="15118" xr:uid="{00000000-0005-0000-0000-0000ED580000}"/>
    <cellStyle name="Total 2 3 4 3" xfId="21477" xr:uid="{00000000-0005-0000-0000-0000EE580000}"/>
    <cellStyle name="Total 2 3 5" xfId="9124" xr:uid="{00000000-0005-0000-0000-0000EF580000}"/>
    <cellStyle name="Total 2 3 5 2" xfId="15119" xr:uid="{00000000-0005-0000-0000-0000F0580000}"/>
    <cellStyle name="Total 2 3 5 3" xfId="21478" xr:uid="{00000000-0005-0000-0000-0000F1580000}"/>
    <cellStyle name="Total 2 3 6" xfId="9125" xr:uid="{00000000-0005-0000-0000-0000F2580000}"/>
    <cellStyle name="Total 2 3 6 2" xfId="15120" xr:uid="{00000000-0005-0000-0000-0000F3580000}"/>
    <cellStyle name="Total 2 3 6 3" xfId="21479" xr:uid="{00000000-0005-0000-0000-0000F4580000}"/>
    <cellStyle name="Total 2 3 7" xfId="9126" xr:uid="{00000000-0005-0000-0000-0000F5580000}"/>
    <cellStyle name="Total 2 3 7 2" xfId="21480" xr:uid="{00000000-0005-0000-0000-0000F6580000}"/>
    <cellStyle name="Total 2 3 8" xfId="15111" xr:uid="{00000000-0005-0000-0000-0000F7580000}"/>
    <cellStyle name="Total 2 3 9" xfId="21470" xr:uid="{00000000-0005-0000-0000-0000F8580000}"/>
    <cellStyle name="Total 2 4" xfId="9127" xr:uid="{00000000-0005-0000-0000-0000F9580000}"/>
    <cellStyle name="Total 2 4 2" xfId="9128" xr:uid="{00000000-0005-0000-0000-0000FA580000}"/>
    <cellStyle name="Total 2 4 2 2" xfId="9129" xr:uid="{00000000-0005-0000-0000-0000FB580000}"/>
    <cellStyle name="Total 2 4 2 2 2" xfId="15123" xr:uid="{00000000-0005-0000-0000-0000FC580000}"/>
    <cellStyle name="Total 2 4 2 2 3" xfId="21483" xr:uid="{00000000-0005-0000-0000-0000FD580000}"/>
    <cellStyle name="Total 2 4 2 3" xfId="9130" xr:uid="{00000000-0005-0000-0000-0000FE580000}"/>
    <cellStyle name="Total 2 4 2 3 2" xfId="15124" xr:uid="{00000000-0005-0000-0000-0000FF580000}"/>
    <cellStyle name="Total 2 4 2 3 3" xfId="21484" xr:uid="{00000000-0005-0000-0000-000000590000}"/>
    <cellStyle name="Total 2 4 2 4" xfId="9131" xr:uid="{00000000-0005-0000-0000-000001590000}"/>
    <cellStyle name="Total 2 4 2 4 2" xfId="15125" xr:uid="{00000000-0005-0000-0000-000002590000}"/>
    <cellStyle name="Total 2 4 2 4 3" xfId="21485" xr:uid="{00000000-0005-0000-0000-000003590000}"/>
    <cellStyle name="Total 2 4 2 5" xfId="9132" xr:uid="{00000000-0005-0000-0000-000004590000}"/>
    <cellStyle name="Total 2 4 2 5 2" xfId="15126" xr:uid="{00000000-0005-0000-0000-000005590000}"/>
    <cellStyle name="Total 2 4 2 5 3" xfId="21486" xr:uid="{00000000-0005-0000-0000-000006590000}"/>
    <cellStyle name="Total 2 4 2 6" xfId="15122" xr:uid="{00000000-0005-0000-0000-000007590000}"/>
    <cellStyle name="Total 2 4 2 7" xfId="21482" xr:uid="{00000000-0005-0000-0000-000008590000}"/>
    <cellStyle name="Total 2 4 3" xfId="9133" xr:uid="{00000000-0005-0000-0000-000009590000}"/>
    <cellStyle name="Total 2 4 3 2" xfId="15127" xr:uid="{00000000-0005-0000-0000-00000A590000}"/>
    <cellStyle name="Total 2 4 3 3" xfId="21487" xr:uid="{00000000-0005-0000-0000-00000B590000}"/>
    <cellStyle name="Total 2 4 4" xfId="9134" xr:uid="{00000000-0005-0000-0000-00000C590000}"/>
    <cellStyle name="Total 2 4 4 2" xfId="15128" xr:uid="{00000000-0005-0000-0000-00000D590000}"/>
    <cellStyle name="Total 2 4 4 3" xfId="21488" xr:uid="{00000000-0005-0000-0000-00000E590000}"/>
    <cellStyle name="Total 2 4 5" xfId="9135" xr:uid="{00000000-0005-0000-0000-00000F590000}"/>
    <cellStyle name="Total 2 4 5 2" xfId="15129" xr:uid="{00000000-0005-0000-0000-000010590000}"/>
    <cellStyle name="Total 2 4 5 3" xfId="21489" xr:uid="{00000000-0005-0000-0000-000011590000}"/>
    <cellStyle name="Total 2 4 6" xfId="9136" xr:uid="{00000000-0005-0000-0000-000012590000}"/>
    <cellStyle name="Total 2 4 6 2" xfId="15130" xr:uid="{00000000-0005-0000-0000-000013590000}"/>
    <cellStyle name="Total 2 4 6 3" xfId="21490" xr:uid="{00000000-0005-0000-0000-000014590000}"/>
    <cellStyle name="Total 2 4 7" xfId="9137" xr:uid="{00000000-0005-0000-0000-000015590000}"/>
    <cellStyle name="Total 2 4 7 2" xfId="21491" xr:uid="{00000000-0005-0000-0000-000016590000}"/>
    <cellStyle name="Total 2 4 8" xfId="15121" xr:uid="{00000000-0005-0000-0000-000017590000}"/>
    <cellStyle name="Total 2 4 9" xfId="21481" xr:uid="{00000000-0005-0000-0000-000018590000}"/>
    <cellStyle name="Total 2 5" xfId="9138" xr:uid="{00000000-0005-0000-0000-000019590000}"/>
    <cellStyle name="Total 2 5 2" xfId="9139" xr:uid="{00000000-0005-0000-0000-00001A590000}"/>
    <cellStyle name="Total 2 5 2 2" xfId="15132" xr:uid="{00000000-0005-0000-0000-00001B590000}"/>
    <cellStyle name="Total 2 5 2 3" xfId="21493" xr:uid="{00000000-0005-0000-0000-00001C590000}"/>
    <cellStyle name="Total 2 5 3" xfId="9140" xr:uid="{00000000-0005-0000-0000-00001D590000}"/>
    <cellStyle name="Total 2 5 3 2" xfId="15133" xr:uid="{00000000-0005-0000-0000-00001E590000}"/>
    <cellStyle name="Total 2 5 3 3" xfId="21494" xr:uid="{00000000-0005-0000-0000-00001F590000}"/>
    <cellStyle name="Total 2 5 4" xfId="9141" xr:uid="{00000000-0005-0000-0000-000020590000}"/>
    <cellStyle name="Total 2 5 4 2" xfId="15134" xr:uid="{00000000-0005-0000-0000-000021590000}"/>
    <cellStyle name="Total 2 5 4 3" xfId="21495" xr:uid="{00000000-0005-0000-0000-000022590000}"/>
    <cellStyle name="Total 2 5 5" xfId="9142" xr:uid="{00000000-0005-0000-0000-000023590000}"/>
    <cellStyle name="Total 2 5 5 2" xfId="15135" xr:uid="{00000000-0005-0000-0000-000024590000}"/>
    <cellStyle name="Total 2 5 5 3" xfId="21496" xr:uid="{00000000-0005-0000-0000-000025590000}"/>
    <cellStyle name="Total 2 5 6" xfId="15131" xr:uid="{00000000-0005-0000-0000-000026590000}"/>
    <cellStyle name="Total 2 5 7" xfId="21492" xr:uid="{00000000-0005-0000-0000-000027590000}"/>
    <cellStyle name="Total 2 6" xfId="9143" xr:uid="{00000000-0005-0000-0000-000028590000}"/>
    <cellStyle name="Total 2 6 2" xfId="15136" xr:uid="{00000000-0005-0000-0000-000029590000}"/>
    <cellStyle name="Total 2 6 3" xfId="21497" xr:uid="{00000000-0005-0000-0000-00002A590000}"/>
    <cellStyle name="Total 2 7" xfId="9144" xr:uid="{00000000-0005-0000-0000-00002B590000}"/>
    <cellStyle name="Total 2 7 2" xfId="21498" xr:uid="{00000000-0005-0000-0000-00002C590000}"/>
    <cellStyle name="Total 2 8" xfId="15099" xr:uid="{00000000-0005-0000-0000-00002D590000}"/>
    <cellStyle name="Total 2 9" xfId="21457" xr:uid="{00000000-0005-0000-0000-00002E590000}"/>
    <cellStyle name="Total 3" xfId="9145" xr:uid="{00000000-0005-0000-0000-00002F590000}"/>
    <cellStyle name="Total 3 2" xfId="9146" xr:uid="{00000000-0005-0000-0000-000030590000}"/>
    <cellStyle name="Total 3 2 2" xfId="9147" xr:uid="{00000000-0005-0000-0000-000031590000}"/>
    <cellStyle name="Total 3 2 2 2" xfId="9148" xr:uid="{00000000-0005-0000-0000-000032590000}"/>
    <cellStyle name="Total 3 2 2 2 2" xfId="15140" xr:uid="{00000000-0005-0000-0000-000033590000}"/>
    <cellStyle name="Total 3 2 2 2 3" xfId="21502" xr:uid="{00000000-0005-0000-0000-000034590000}"/>
    <cellStyle name="Total 3 2 2 3" xfId="9149" xr:uid="{00000000-0005-0000-0000-000035590000}"/>
    <cellStyle name="Total 3 2 2 3 2" xfId="15141" xr:uid="{00000000-0005-0000-0000-000036590000}"/>
    <cellStyle name="Total 3 2 2 3 3" xfId="21503" xr:uid="{00000000-0005-0000-0000-000037590000}"/>
    <cellStyle name="Total 3 2 2 4" xfId="9150" xr:uid="{00000000-0005-0000-0000-000038590000}"/>
    <cellStyle name="Total 3 2 2 4 2" xfId="15142" xr:uid="{00000000-0005-0000-0000-000039590000}"/>
    <cellStyle name="Total 3 2 2 4 3" xfId="21504" xr:uid="{00000000-0005-0000-0000-00003A590000}"/>
    <cellStyle name="Total 3 2 2 5" xfId="9151" xr:uid="{00000000-0005-0000-0000-00003B590000}"/>
    <cellStyle name="Total 3 2 2 5 2" xfId="15143" xr:uid="{00000000-0005-0000-0000-00003C590000}"/>
    <cellStyle name="Total 3 2 2 5 3" xfId="21505" xr:uid="{00000000-0005-0000-0000-00003D590000}"/>
    <cellStyle name="Total 3 2 2 6" xfId="15139" xr:uid="{00000000-0005-0000-0000-00003E590000}"/>
    <cellStyle name="Total 3 2 2 7" xfId="21501" xr:uid="{00000000-0005-0000-0000-00003F590000}"/>
    <cellStyle name="Total 3 2 3" xfId="9152" xr:uid="{00000000-0005-0000-0000-000040590000}"/>
    <cellStyle name="Total 3 2 3 2" xfId="9153" xr:uid="{00000000-0005-0000-0000-000041590000}"/>
    <cellStyle name="Total 3 2 3 2 2" xfId="15145" xr:uid="{00000000-0005-0000-0000-000042590000}"/>
    <cellStyle name="Total 3 2 3 2 3" xfId="21507" xr:uid="{00000000-0005-0000-0000-000043590000}"/>
    <cellStyle name="Total 3 2 3 3" xfId="9154" xr:uid="{00000000-0005-0000-0000-000044590000}"/>
    <cellStyle name="Total 3 2 3 3 2" xfId="15146" xr:uid="{00000000-0005-0000-0000-000045590000}"/>
    <cellStyle name="Total 3 2 3 3 3" xfId="21508" xr:uid="{00000000-0005-0000-0000-000046590000}"/>
    <cellStyle name="Total 3 2 3 4" xfId="9155" xr:uid="{00000000-0005-0000-0000-000047590000}"/>
    <cellStyle name="Total 3 2 3 4 2" xfId="15147" xr:uid="{00000000-0005-0000-0000-000048590000}"/>
    <cellStyle name="Total 3 2 3 4 3" xfId="21509" xr:uid="{00000000-0005-0000-0000-000049590000}"/>
    <cellStyle name="Total 3 2 3 5" xfId="9156" xr:uid="{00000000-0005-0000-0000-00004A590000}"/>
    <cellStyle name="Total 3 2 3 5 2" xfId="15148" xr:uid="{00000000-0005-0000-0000-00004B590000}"/>
    <cellStyle name="Total 3 2 3 5 3" xfId="21510" xr:uid="{00000000-0005-0000-0000-00004C590000}"/>
    <cellStyle name="Total 3 2 3 6" xfId="15144" xr:uid="{00000000-0005-0000-0000-00004D590000}"/>
    <cellStyle name="Total 3 2 3 7" xfId="21506" xr:uid="{00000000-0005-0000-0000-00004E590000}"/>
    <cellStyle name="Total 3 2 4" xfId="9157" xr:uid="{00000000-0005-0000-0000-00004F590000}"/>
    <cellStyle name="Total 3 2 4 2" xfId="21511" xr:uid="{00000000-0005-0000-0000-000050590000}"/>
    <cellStyle name="Total 3 2 5" xfId="15138" xr:uid="{00000000-0005-0000-0000-000051590000}"/>
    <cellStyle name="Total 3 2 6" xfId="21500" xr:uid="{00000000-0005-0000-0000-000052590000}"/>
    <cellStyle name="Total 3 3" xfId="9158" xr:uid="{00000000-0005-0000-0000-000053590000}"/>
    <cellStyle name="Total 3 3 2" xfId="9159" xr:uid="{00000000-0005-0000-0000-000054590000}"/>
    <cellStyle name="Total 3 3 2 2" xfId="9160" xr:uid="{00000000-0005-0000-0000-000055590000}"/>
    <cellStyle name="Total 3 3 2 2 2" xfId="15151" xr:uid="{00000000-0005-0000-0000-000056590000}"/>
    <cellStyle name="Total 3 3 2 2 3" xfId="21514" xr:uid="{00000000-0005-0000-0000-000057590000}"/>
    <cellStyle name="Total 3 3 2 3" xfId="9161" xr:uid="{00000000-0005-0000-0000-000058590000}"/>
    <cellStyle name="Total 3 3 2 3 2" xfId="15152" xr:uid="{00000000-0005-0000-0000-000059590000}"/>
    <cellStyle name="Total 3 3 2 3 3" xfId="21515" xr:uid="{00000000-0005-0000-0000-00005A590000}"/>
    <cellStyle name="Total 3 3 2 4" xfId="9162" xr:uid="{00000000-0005-0000-0000-00005B590000}"/>
    <cellStyle name="Total 3 3 2 4 2" xfId="15153" xr:uid="{00000000-0005-0000-0000-00005C590000}"/>
    <cellStyle name="Total 3 3 2 4 3" xfId="21516" xr:uid="{00000000-0005-0000-0000-00005D590000}"/>
    <cellStyle name="Total 3 3 2 5" xfId="9163" xr:uid="{00000000-0005-0000-0000-00005E590000}"/>
    <cellStyle name="Total 3 3 2 5 2" xfId="15154" xr:uid="{00000000-0005-0000-0000-00005F590000}"/>
    <cellStyle name="Total 3 3 2 5 3" xfId="21517" xr:uid="{00000000-0005-0000-0000-000060590000}"/>
    <cellStyle name="Total 3 3 2 6" xfId="15150" xr:uid="{00000000-0005-0000-0000-000061590000}"/>
    <cellStyle name="Total 3 3 2 7" xfId="21513" xr:uid="{00000000-0005-0000-0000-000062590000}"/>
    <cellStyle name="Total 3 3 3" xfId="9164" xr:uid="{00000000-0005-0000-0000-000063590000}"/>
    <cellStyle name="Total 3 3 3 2" xfId="15155" xr:uid="{00000000-0005-0000-0000-000064590000}"/>
    <cellStyle name="Total 3 3 3 3" xfId="21518" xr:uid="{00000000-0005-0000-0000-000065590000}"/>
    <cellStyle name="Total 3 3 4" xfId="9165" xr:uid="{00000000-0005-0000-0000-000066590000}"/>
    <cellStyle name="Total 3 3 4 2" xfId="15156" xr:uid="{00000000-0005-0000-0000-000067590000}"/>
    <cellStyle name="Total 3 3 4 3" xfId="21519" xr:uid="{00000000-0005-0000-0000-000068590000}"/>
    <cellStyle name="Total 3 3 5" xfId="9166" xr:uid="{00000000-0005-0000-0000-000069590000}"/>
    <cellStyle name="Total 3 3 5 2" xfId="15157" xr:uid="{00000000-0005-0000-0000-00006A590000}"/>
    <cellStyle name="Total 3 3 5 3" xfId="21520" xr:uid="{00000000-0005-0000-0000-00006B590000}"/>
    <cellStyle name="Total 3 3 6" xfId="9167" xr:uid="{00000000-0005-0000-0000-00006C590000}"/>
    <cellStyle name="Total 3 3 6 2" xfId="15158" xr:uid="{00000000-0005-0000-0000-00006D590000}"/>
    <cellStyle name="Total 3 3 6 3" xfId="21521" xr:uid="{00000000-0005-0000-0000-00006E590000}"/>
    <cellStyle name="Total 3 3 7" xfId="9168" xr:uid="{00000000-0005-0000-0000-00006F590000}"/>
    <cellStyle name="Total 3 3 7 2" xfId="21522" xr:uid="{00000000-0005-0000-0000-000070590000}"/>
    <cellStyle name="Total 3 3 8" xfId="15149" xr:uid="{00000000-0005-0000-0000-000071590000}"/>
    <cellStyle name="Total 3 3 9" xfId="21512" xr:uid="{00000000-0005-0000-0000-000072590000}"/>
    <cellStyle name="Total 3 4" xfId="9169" xr:uid="{00000000-0005-0000-0000-000073590000}"/>
    <cellStyle name="Total 3 4 2" xfId="9170" xr:uid="{00000000-0005-0000-0000-000074590000}"/>
    <cellStyle name="Total 3 4 2 2" xfId="15160" xr:uid="{00000000-0005-0000-0000-000075590000}"/>
    <cellStyle name="Total 3 4 2 3" xfId="21524" xr:uid="{00000000-0005-0000-0000-000076590000}"/>
    <cellStyle name="Total 3 4 3" xfId="9171" xr:uid="{00000000-0005-0000-0000-000077590000}"/>
    <cellStyle name="Total 3 4 3 2" xfId="15161" xr:uid="{00000000-0005-0000-0000-000078590000}"/>
    <cellStyle name="Total 3 4 3 3" xfId="21525" xr:uid="{00000000-0005-0000-0000-000079590000}"/>
    <cellStyle name="Total 3 4 4" xfId="9172" xr:uid="{00000000-0005-0000-0000-00007A590000}"/>
    <cellStyle name="Total 3 4 4 2" xfId="15162" xr:uid="{00000000-0005-0000-0000-00007B590000}"/>
    <cellStyle name="Total 3 4 4 3" xfId="21526" xr:uid="{00000000-0005-0000-0000-00007C590000}"/>
    <cellStyle name="Total 3 4 5" xfId="9173" xr:uid="{00000000-0005-0000-0000-00007D590000}"/>
    <cellStyle name="Total 3 4 5 2" xfId="15163" xr:uid="{00000000-0005-0000-0000-00007E590000}"/>
    <cellStyle name="Total 3 4 5 3" xfId="21527" xr:uid="{00000000-0005-0000-0000-00007F590000}"/>
    <cellStyle name="Total 3 4 6" xfId="9174" xr:uid="{00000000-0005-0000-0000-000080590000}"/>
    <cellStyle name="Total 3 4 6 2" xfId="21528" xr:uid="{00000000-0005-0000-0000-000081590000}"/>
    <cellStyle name="Total 3 4 7" xfId="15159" xr:uid="{00000000-0005-0000-0000-000082590000}"/>
    <cellStyle name="Total 3 4 8" xfId="21523" xr:uid="{00000000-0005-0000-0000-000083590000}"/>
    <cellStyle name="Total 3 5" xfId="9175" xr:uid="{00000000-0005-0000-0000-000084590000}"/>
    <cellStyle name="Total 3 5 2" xfId="9176" xr:uid="{00000000-0005-0000-0000-000085590000}"/>
    <cellStyle name="Total 3 5 2 2" xfId="15165" xr:uid="{00000000-0005-0000-0000-000086590000}"/>
    <cellStyle name="Total 3 5 2 3" xfId="21530" xr:uid="{00000000-0005-0000-0000-000087590000}"/>
    <cellStyle name="Total 3 5 3" xfId="9177" xr:uid="{00000000-0005-0000-0000-000088590000}"/>
    <cellStyle name="Total 3 5 3 2" xfId="15166" xr:uid="{00000000-0005-0000-0000-000089590000}"/>
    <cellStyle name="Total 3 5 3 3" xfId="21531" xr:uid="{00000000-0005-0000-0000-00008A590000}"/>
    <cellStyle name="Total 3 5 4" xfId="9178" xr:uid="{00000000-0005-0000-0000-00008B590000}"/>
    <cellStyle name="Total 3 5 4 2" xfId="15167" xr:uid="{00000000-0005-0000-0000-00008C590000}"/>
    <cellStyle name="Total 3 5 4 3" xfId="21532" xr:uid="{00000000-0005-0000-0000-00008D590000}"/>
    <cellStyle name="Total 3 5 5" xfId="9179" xr:uid="{00000000-0005-0000-0000-00008E590000}"/>
    <cellStyle name="Total 3 5 5 2" xfId="15168" xr:uid="{00000000-0005-0000-0000-00008F590000}"/>
    <cellStyle name="Total 3 5 5 3" xfId="21533" xr:uid="{00000000-0005-0000-0000-000090590000}"/>
    <cellStyle name="Total 3 5 6" xfId="15164" xr:uid="{00000000-0005-0000-0000-000091590000}"/>
    <cellStyle name="Total 3 5 7" xfId="21529" xr:uid="{00000000-0005-0000-0000-000092590000}"/>
    <cellStyle name="Total 3 6" xfId="9180" xr:uid="{00000000-0005-0000-0000-000093590000}"/>
    <cellStyle name="Total 3 6 2" xfId="21534" xr:uid="{00000000-0005-0000-0000-000094590000}"/>
    <cellStyle name="Total 3 7" xfId="15137" xr:uid="{00000000-0005-0000-0000-000095590000}"/>
    <cellStyle name="Total 3 8" xfId="21499" xr:uid="{00000000-0005-0000-0000-000096590000}"/>
    <cellStyle name="Total 4" xfId="9181" xr:uid="{00000000-0005-0000-0000-000097590000}"/>
    <cellStyle name="Total 4 10" xfId="21535" xr:uid="{00000000-0005-0000-0000-000098590000}"/>
    <cellStyle name="Total 4 2" xfId="9182" xr:uid="{00000000-0005-0000-0000-000099590000}"/>
    <cellStyle name="Total 4 2 2" xfId="15170" xr:uid="{00000000-0005-0000-0000-00009A590000}"/>
    <cellStyle name="Total 4 2 3" xfId="21536" xr:uid="{00000000-0005-0000-0000-00009B590000}"/>
    <cellStyle name="Total 4 3" xfId="9183" xr:uid="{00000000-0005-0000-0000-00009C590000}"/>
    <cellStyle name="Total 4 3 2" xfId="9184" xr:uid="{00000000-0005-0000-0000-00009D590000}"/>
    <cellStyle name="Total 4 3 2 2" xfId="15172" xr:uid="{00000000-0005-0000-0000-00009E590000}"/>
    <cellStyle name="Total 4 3 2 3" xfId="21538" xr:uid="{00000000-0005-0000-0000-00009F590000}"/>
    <cellStyle name="Total 4 3 3" xfId="9185" xr:uid="{00000000-0005-0000-0000-0000A0590000}"/>
    <cellStyle name="Total 4 3 3 2" xfId="15173" xr:uid="{00000000-0005-0000-0000-0000A1590000}"/>
    <cellStyle name="Total 4 3 3 3" xfId="21539" xr:uid="{00000000-0005-0000-0000-0000A2590000}"/>
    <cellStyle name="Total 4 3 4" xfId="9186" xr:uid="{00000000-0005-0000-0000-0000A3590000}"/>
    <cellStyle name="Total 4 3 4 2" xfId="15174" xr:uid="{00000000-0005-0000-0000-0000A4590000}"/>
    <cellStyle name="Total 4 3 4 3" xfId="21540" xr:uid="{00000000-0005-0000-0000-0000A5590000}"/>
    <cellStyle name="Total 4 3 5" xfId="9187" xr:uid="{00000000-0005-0000-0000-0000A6590000}"/>
    <cellStyle name="Total 4 3 5 2" xfId="15175" xr:uid="{00000000-0005-0000-0000-0000A7590000}"/>
    <cellStyle name="Total 4 3 5 3" xfId="21541" xr:uid="{00000000-0005-0000-0000-0000A8590000}"/>
    <cellStyle name="Total 4 3 6" xfId="15171" xr:uid="{00000000-0005-0000-0000-0000A9590000}"/>
    <cellStyle name="Total 4 3 7" xfId="21537" xr:uid="{00000000-0005-0000-0000-0000AA590000}"/>
    <cellStyle name="Total 4 4" xfId="9188" xr:uid="{00000000-0005-0000-0000-0000AB590000}"/>
    <cellStyle name="Total 4 4 2" xfId="15176" xr:uid="{00000000-0005-0000-0000-0000AC590000}"/>
    <cellStyle name="Total 4 4 3" xfId="21542" xr:uid="{00000000-0005-0000-0000-0000AD590000}"/>
    <cellStyle name="Total 4 5" xfId="9189" xr:uid="{00000000-0005-0000-0000-0000AE590000}"/>
    <cellStyle name="Total 4 5 2" xfId="15177" xr:uid="{00000000-0005-0000-0000-0000AF590000}"/>
    <cellStyle name="Total 4 5 3" xfId="21543" xr:uid="{00000000-0005-0000-0000-0000B0590000}"/>
    <cellStyle name="Total 4 6" xfId="9190" xr:uid="{00000000-0005-0000-0000-0000B1590000}"/>
    <cellStyle name="Total 4 6 2" xfId="15178" xr:uid="{00000000-0005-0000-0000-0000B2590000}"/>
    <cellStyle name="Total 4 6 3" xfId="21544" xr:uid="{00000000-0005-0000-0000-0000B3590000}"/>
    <cellStyle name="Total 4 7" xfId="9191" xr:uid="{00000000-0005-0000-0000-0000B4590000}"/>
    <cellStyle name="Total 4 7 2" xfId="15179" xr:uid="{00000000-0005-0000-0000-0000B5590000}"/>
    <cellStyle name="Total 4 7 3" xfId="21545" xr:uid="{00000000-0005-0000-0000-0000B6590000}"/>
    <cellStyle name="Total 4 8" xfId="9192" xr:uid="{00000000-0005-0000-0000-0000B7590000}"/>
    <cellStyle name="Total 4 8 2" xfId="21546" xr:uid="{00000000-0005-0000-0000-0000B8590000}"/>
    <cellStyle name="Total 4 9" xfId="15169" xr:uid="{00000000-0005-0000-0000-0000B9590000}"/>
    <cellStyle name="Total 5" xfId="9193" xr:uid="{00000000-0005-0000-0000-0000BA590000}"/>
    <cellStyle name="Total 5 2" xfId="21547" xr:uid="{00000000-0005-0000-0000-0000BB590000}"/>
    <cellStyle name="Total 6" xfId="15098" xr:uid="{00000000-0005-0000-0000-0000BC590000}"/>
    <cellStyle name="TotCol - Style5" xfId="9194" xr:uid="{00000000-0005-0000-0000-0000BD590000}"/>
    <cellStyle name="TotCol - Style5 2" xfId="15180" xr:uid="{00000000-0005-0000-0000-0000BE590000}"/>
    <cellStyle name="TotCol - Style5 3" xfId="21548" xr:uid="{00000000-0005-0000-0000-0000BF590000}"/>
    <cellStyle name="TotCol - Style7" xfId="9195" xr:uid="{00000000-0005-0000-0000-0000C0590000}"/>
    <cellStyle name="TotCol - Style7 2" xfId="15181" xr:uid="{00000000-0005-0000-0000-0000C1590000}"/>
    <cellStyle name="TotCol - Style7 3" xfId="21549" xr:uid="{00000000-0005-0000-0000-0000C2590000}"/>
    <cellStyle name="TotRow - Style4" xfId="9196" xr:uid="{00000000-0005-0000-0000-0000C3590000}"/>
    <cellStyle name="TotRow - Style4 2" xfId="9197" xr:uid="{00000000-0005-0000-0000-0000C4590000}"/>
    <cellStyle name="TotRow - Style4 2 2" xfId="15183" xr:uid="{00000000-0005-0000-0000-0000C5590000}"/>
    <cellStyle name="TotRow - Style4 2 3" xfId="21551" xr:uid="{00000000-0005-0000-0000-0000C6590000}"/>
    <cellStyle name="TotRow - Style4 3" xfId="9198" xr:uid="{00000000-0005-0000-0000-0000C7590000}"/>
    <cellStyle name="TotRow - Style4 3 2" xfId="15184" xr:uid="{00000000-0005-0000-0000-0000C8590000}"/>
    <cellStyle name="TotRow - Style4 3 3" xfId="21552" xr:uid="{00000000-0005-0000-0000-0000C9590000}"/>
    <cellStyle name="TotRow - Style4 4" xfId="9199" xr:uid="{00000000-0005-0000-0000-0000CA590000}"/>
    <cellStyle name="TotRow - Style4 4 2" xfId="15185" xr:uid="{00000000-0005-0000-0000-0000CB590000}"/>
    <cellStyle name="TotRow - Style4 4 3" xfId="21553" xr:uid="{00000000-0005-0000-0000-0000CC590000}"/>
    <cellStyle name="TotRow - Style4 5" xfId="9200" xr:uid="{00000000-0005-0000-0000-0000CD590000}"/>
    <cellStyle name="TotRow - Style4 5 2" xfId="15186" xr:uid="{00000000-0005-0000-0000-0000CE590000}"/>
    <cellStyle name="TotRow - Style4 5 3" xfId="21554" xr:uid="{00000000-0005-0000-0000-0000CF590000}"/>
    <cellStyle name="TotRow - Style4 6" xfId="15182" xr:uid="{00000000-0005-0000-0000-0000D0590000}"/>
    <cellStyle name="TotRow - Style4 7" xfId="21550" xr:uid="{00000000-0005-0000-0000-0000D1590000}"/>
    <cellStyle name="TotRow - Style8" xfId="9201" xr:uid="{00000000-0005-0000-0000-0000D2590000}"/>
    <cellStyle name="TotRow - Style8 2" xfId="9202" xr:uid="{00000000-0005-0000-0000-0000D3590000}"/>
    <cellStyle name="TotRow - Style8 2 2" xfId="15188" xr:uid="{00000000-0005-0000-0000-0000D4590000}"/>
    <cellStyle name="TotRow - Style8 2 3" xfId="21556" xr:uid="{00000000-0005-0000-0000-0000D5590000}"/>
    <cellStyle name="TotRow - Style8 3" xfId="9203" xr:uid="{00000000-0005-0000-0000-0000D6590000}"/>
    <cellStyle name="TotRow - Style8 3 2" xfId="15189" xr:uid="{00000000-0005-0000-0000-0000D7590000}"/>
    <cellStyle name="TotRow - Style8 3 3" xfId="21557" xr:uid="{00000000-0005-0000-0000-0000D8590000}"/>
    <cellStyle name="TotRow - Style8 4" xfId="9204" xr:uid="{00000000-0005-0000-0000-0000D9590000}"/>
    <cellStyle name="TotRow - Style8 4 2" xfId="15190" xr:uid="{00000000-0005-0000-0000-0000DA590000}"/>
    <cellStyle name="TotRow - Style8 4 3" xfId="21558" xr:uid="{00000000-0005-0000-0000-0000DB590000}"/>
    <cellStyle name="TotRow - Style8 5" xfId="9205" xr:uid="{00000000-0005-0000-0000-0000DC590000}"/>
    <cellStyle name="TotRow - Style8 5 2" xfId="15191" xr:uid="{00000000-0005-0000-0000-0000DD590000}"/>
    <cellStyle name="TotRow - Style8 5 3" xfId="21559" xr:uid="{00000000-0005-0000-0000-0000DE590000}"/>
    <cellStyle name="TotRow - Style8 6" xfId="15187" xr:uid="{00000000-0005-0000-0000-0000DF590000}"/>
    <cellStyle name="TotRow - Style8 7" xfId="21555" xr:uid="{00000000-0005-0000-0000-0000E0590000}"/>
    <cellStyle name="Transcript_Date" xfId="9206" xr:uid="{00000000-0005-0000-0000-0000E1590000}"/>
    <cellStyle name="Warning Text 2" xfId="9207" xr:uid="{00000000-0005-0000-0000-0000E2590000}"/>
    <cellStyle name="Warning Text 2 2" xfId="9208" xr:uid="{00000000-0005-0000-0000-0000E3590000}"/>
    <cellStyle name="Warning Text 2 2 2" xfId="21561" xr:uid="{00000000-0005-0000-0000-0000E4590000}"/>
    <cellStyle name="Warning Text 2 3" xfId="15193" xr:uid="{00000000-0005-0000-0000-0000E5590000}"/>
    <cellStyle name="Warning Text 2 4" xfId="21560" xr:uid="{00000000-0005-0000-0000-0000E6590000}"/>
    <cellStyle name="Warning Text 3" xfId="9209" xr:uid="{00000000-0005-0000-0000-0000E7590000}"/>
    <cellStyle name="Warning Text 3 2" xfId="9210" xr:uid="{00000000-0005-0000-0000-0000E8590000}"/>
    <cellStyle name="Warning Text 3 2 2" xfId="21563" xr:uid="{00000000-0005-0000-0000-0000E9590000}"/>
    <cellStyle name="Warning Text 3 3" xfId="15194" xr:uid="{00000000-0005-0000-0000-0000EA590000}"/>
    <cellStyle name="Warning Text 3 4" xfId="21562" xr:uid="{00000000-0005-0000-0000-0000EB590000}"/>
    <cellStyle name="Warning Text 4" xfId="9211" xr:uid="{00000000-0005-0000-0000-0000EC590000}"/>
    <cellStyle name="Warning Text 4 2" xfId="15195" xr:uid="{00000000-0005-0000-0000-0000ED590000}"/>
    <cellStyle name="Warning Text 4 3" xfId="21564" xr:uid="{00000000-0005-0000-0000-0000EE590000}"/>
    <cellStyle name="Warning Text 5" xfId="9212" xr:uid="{00000000-0005-0000-0000-0000EF590000}"/>
    <cellStyle name="Warning Text 5 2" xfId="21565" xr:uid="{00000000-0005-0000-0000-0000F0590000}"/>
    <cellStyle name="Warning Text 6" xfId="15192" xr:uid="{00000000-0005-0000-0000-0000F1590000}"/>
    <cellStyle name="WM_STANDARD" xfId="9213" xr:uid="{00000000-0005-0000-0000-0000F2590000}"/>
  </cellStyles>
  <dxfs count="8"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numFmt numFmtId="170" formatCode="&quot;$&quot;#,##0"/>
    </dxf>
    <dxf>
      <numFmt numFmtId="170" formatCode="&quot;$&quot;#,##0"/>
    </dxf>
    <dxf>
      <numFmt numFmtId="178" formatCode="&quot;$&quot;#,##0.0"/>
    </dxf>
    <dxf>
      <numFmt numFmtId="178" formatCode="&quot;$&quot;#,##0.0"/>
    </dxf>
    <dxf>
      <numFmt numFmtId="179" formatCode="&quot;$&quot;#,##0.00"/>
    </dxf>
    <dxf>
      <numFmt numFmtId="179" formatCode="&quot;$&quot;#,##0.00"/>
    </dxf>
  </dxfs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pivotCacheDefinition" Target="pivotCache/pivotCacheDefinition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51546</xdr:colOff>
      <xdr:row>214</xdr:row>
      <xdr:rowOff>93976</xdr:rowOff>
    </xdr:from>
    <xdr:to>
      <xdr:col>13</xdr:col>
      <xdr:colOff>477370</xdr:colOff>
      <xdr:row>219</xdr:row>
      <xdr:rowOff>71564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5946" y="31955101"/>
          <a:ext cx="7264774" cy="69196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Note:  100% of assets shared between 2183, 2184, 2185 are included here.  They will be allocated  to the indivvidual</a:t>
          </a:r>
          <a:r>
            <a:rPr lang="en-US" sz="1100" baseline="0"/>
            <a:t> district </a:t>
          </a:r>
          <a:r>
            <a:rPr lang="en-US" sz="1100"/>
            <a:t>on the Proforma for Rate Case purposes.  See "LeMay Global Assets Depr UTC 12.31.2010" for LeMay Global assets.  For a rate case that tab will need to be added here and the correct allocation % entered into column T to allocate those assets to 2183, 2184, 2185.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WUTC\WIP%20Files\2195%20Yakima\General%20Rate%20Filings\2017%20Rate%20Filing\.Yakima%20Waste%20Pro%20forma%20YE%206.30.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file01\Distshares\Western%20Region\WUTC\WUTC-Murrey%20%202111\General%20Rate%20Filings\Rate%20Filing%201-1-2019\Fuel%20Stat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WUTC\WIP%20Files\2010%20Clark%20County-%202009%20Vancouver\12.31.2010%20Test%20Year\Proforma%20Clark%20County%20101231%20Filing-Draft-FINAL%20VERS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LeMay%20Companies\2014\Annual%20Report\District%20Schedules\North%20LeMay\N%20LeMay%20Annual%20Report%202013%20-%20with%20Heather's%20Not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2000%20Western%20Region%20Office\WUTC\WIP%20Files\2178%20PSS\General%20Rate%20Filing\03.31.2023\200987-PSS-WP-12-15-2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heatherg\AppData\Local\Microsoft\Windows\Temporary%20Internet%20Files\Content.Outlook\XS11RNOC\SolidWaste-NonPublic%20LG%202018%20V5.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vandenburg\AppData\Local\Interject\FileCache\Capital%20-%20Budget%20Input%20v1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indsaywa\AppData\Local\Interject\FileCache\Budget%20Capital%20Input%20v2.2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vandenburg\AppData\Local\Interject\FileCache\FAR_v3d_v1.0.9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WUTC\WIP%20Files\LeMay%20Companies\Depreciation%20General\12.31.2015%20Depreciation%20Schedules\2184%20UTC%20Depreciation%2012.31.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WUTC\WIP%20Files\LeMay%20Companies\Depreciation%20General\12.31.2015%20Depreciation%20Schedules\2184%20UTC%20Depreciation%2011.30.201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LeMay\2183-1%20Pacific%20Disp,%20Butlers%20Cove\Filing%20Possibly%202012\Filing\Audit\Final%20Outcome%208-14-2012\Pro%20Forma%20Pacific%20Disposal_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Mason\Rate%20Increase%201-1-2013\1%20Filing%2011-14-2012\Revised%202-21-2013\staff%20Mason%20Proforma%209-30-2012-Linked%20Cust%20Count%20Fix%2012-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ControllerDir\Brent_Blair_Kortney\PO%20Report%20by%20Division\PO%20Report_v3b%202013-08-2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akima BS"/>
      <sheetName val="Yakima IS"/>
      <sheetName val="References"/>
      <sheetName val="Yakima Consolidated IS"/>
      <sheetName val="Ratios"/>
      <sheetName val="Restating Adj's"/>
      <sheetName val="Pro-forma Adj's"/>
      <sheetName val="LG-Total Reg"/>
      <sheetName val="LG-Garbage"/>
      <sheetName val="LG-Recycle"/>
      <sheetName val="LG-Yardwaste"/>
      <sheetName val="Yakima Regulated Price Out"/>
      <sheetName val="Proposed Rates"/>
      <sheetName val="Revenue Summary"/>
      <sheetName val="Depr Summary"/>
      <sheetName val="Yakima Payroll"/>
      <sheetName val="Disposal"/>
      <sheetName val="Fuel Schedule"/>
      <sheetName val="A-Team Summary"/>
      <sheetName val="Roll Off Cust Count"/>
      <sheetName val="DivCon-DVP Alloc In"/>
      <sheetName val="Region OH Calc"/>
      <sheetName val="WCI P&amp;L"/>
      <sheetName val="WCI BS"/>
      <sheetName val="Corp OH"/>
      <sheetName val="July Fuel"/>
      <sheetName val="70149 Detail"/>
      <sheetName val="70095 Detail"/>
      <sheetName val="70195 Detail"/>
      <sheetName val="70255 Detail"/>
      <sheetName val="6.30.17 BS"/>
      <sheetName val="Yakima BS "/>
      <sheetName val="Pro-forma Adj Detail"/>
    </sheetNames>
    <sheetDataSet>
      <sheetData sheetId="0">
        <row r="30">
          <cell r="AC30">
            <v>749099.65</v>
          </cell>
        </row>
      </sheetData>
      <sheetData sheetId="1">
        <row r="60">
          <cell r="D60">
            <v>40101</v>
          </cell>
        </row>
      </sheetData>
      <sheetData sheetId="2"/>
      <sheetData sheetId="3">
        <row r="1">
          <cell r="A1" t="str">
            <v>Yakima Waste Systems, Inc G-89</v>
          </cell>
        </row>
      </sheetData>
      <sheetData sheetId="4">
        <row r="8">
          <cell r="B8">
            <v>0</v>
          </cell>
        </row>
      </sheetData>
      <sheetData sheetId="5">
        <row r="9">
          <cell r="I9">
            <v>17954.541381225681</v>
          </cell>
        </row>
      </sheetData>
      <sheetData sheetId="6"/>
      <sheetData sheetId="7"/>
      <sheetData sheetId="8">
        <row r="36">
          <cell r="E36">
            <v>8.8546485705000733E-2</v>
          </cell>
        </row>
      </sheetData>
      <sheetData sheetId="9">
        <row r="36">
          <cell r="E36">
            <v>-5.2505146465273579E-2</v>
          </cell>
        </row>
      </sheetData>
      <sheetData sheetId="10">
        <row r="6">
          <cell r="J6">
            <v>-5.3162356997751466E-2</v>
          </cell>
        </row>
      </sheetData>
      <sheetData sheetId="11"/>
      <sheetData sheetId="12"/>
      <sheetData sheetId="13">
        <row r="21">
          <cell r="F21">
            <v>1708297.48</v>
          </cell>
        </row>
      </sheetData>
      <sheetData sheetId="14"/>
      <sheetData sheetId="15">
        <row r="64">
          <cell r="Y64">
            <v>22919.914580870409</v>
          </cell>
        </row>
      </sheetData>
      <sheetData sheetId="16">
        <row r="10">
          <cell r="B10">
            <v>3635.19</v>
          </cell>
        </row>
      </sheetData>
      <sheetData sheetId="17">
        <row r="39">
          <cell r="B39">
            <v>2349.7995013614564</v>
          </cell>
        </row>
      </sheetData>
      <sheetData sheetId="18">
        <row r="13">
          <cell r="L13">
            <v>3949.02</v>
          </cell>
        </row>
      </sheetData>
      <sheetData sheetId="19"/>
      <sheetData sheetId="20">
        <row r="25">
          <cell r="C25">
            <v>22665.762188783203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73">
          <cell r="E173">
            <v>218</v>
          </cell>
        </row>
      </sheetData>
      <sheetData sheetId="28">
        <row r="64">
          <cell r="D64">
            <v>1271</v>
          </cell>
        </row>
      </sheetData>
      <sheetData sheetId="29">
        <row r="128">
          <cell r="E128">
            <v>4587.2300000000005</v>
          </cell>
        </row>
      </sheetData>
      <sheetData sheetId="30">
        <row r="35">
          <cell r="P35">
            <v>655883.93000000005</v>
          </cell>
        </row>
      </sheetData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 refreshError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  <sheetName val="PL_ActReview3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, pg 1-2"/>
      <sheetName val="OrgControl, pg 3"/>
      <sheetName val="BS-Assets, pg 4"/>
      <sheetName val="BS-Liab, pg 5"/>
      <sheetName val="FixedAssets, pg 6"/>
      <sheetName val="Income Statement, pg 7"/>
      <sheetName val="RevenuesCust, pg 8"/>
      <sheetName val="Recyc-YW, pg 9"/>
      <sheetName val="contracts, pg 10"/>
      <sheetName val="GarbageDisp, pg 11"/>
      <sheetName val="RecycleProcessing, pg 12"/>
      <sheetName val="RetainEarn, pg 13"/>
      <sheetName val="Payroll, pg 14"/>
      <sheetName val="Fuel, pg 15"/>
      <sheetName val="FeeCalc, pg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rito"/>
      <sheetName val="Balance Sheet 9-30-2020"/>
      <sheetName val="Monthly P&amp;L"/>
      <sheetName val="Pro Forma"/>
      <sheetName val="Restating Entries"/>
      <sheetName val="Restating Entry Explanation"/>
      <sheetName val="Pro Forma Entries"/>
      <sheetName val="Pro Forma Entry Explanation"/>
      <sheetName val="Disposal Cost"/>
      <sheetName val="Disposal Cost Increase"/>
      <sheetName val="Regulatory Depreciation"/>
      <sheetName val="Rents"/>
      <sheetName val="Revenue"/>
      <sheetName val="Price Out"/>
      <sheetName val="Advertising-Dues"/>
      <sheetName val="Meals-Entertainment &amp; Travel"/>
      <sheetName val="Fuel Cost"/>
      <sheetName val="Payroll 10-2019 to 9-2020"/>
      <sheetName val="Insurance Cost"/>
      <sheetName val="Rate Case Cost"/>
      <sheetName val="Affiliated Interest"/>
    </sheetNames>
    <sheetDataSet>
      <sheetData sheetId="0">
        <row r="55">
          <cell r="X55">
            <v>5.7225999999999999</v>
          </cell>
          <cell r="Z55">
            <v>5.6985000000000001</v>
          </cell>
        </row>
        <row r="56">
          <cell r="X56">
            <v>5.7082699999999997</v>
          </cell>
          <cell r="Z56">
            <v>5.6921999999999997</v>
          </cell>
        </row>
        <row r="58">
          <cell r="Y58">
            <v>0.68367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6">
          <cell r="F16" t="str">
            <v>OK!: ReportRange Formula OK [jAction{}]</v>
          </cell>
        </row>
        <row r="31">
          <cell r="C31" t="str">
            <v>Automated</v>
          </cell>
          <cell r="D31" t="str">
            <v>Automated Sideloader</v>
          </cell>
        </row>
        <row r="32">
          <cell r="C32" t="str">
            <v>Container Delivery Truck</v>
          </cell>
          <cell r="D32" t="str">
            <v>Container Delivery</v>
          </cell>
        </row>
        <row r="33">
          <cell r="C33" t="str">
            <v>Front Load</v>
          </cell>
          <cell r="D33" t="str">
            <v>Front Loader</v>
          </cell>
        </row>
        <row r="34">
          <cell r="C34" t="str">
            <v>Grapple Brush Truck</v>
          </cell>
          <cell r="D34" t="str">
            <v>Grapple Truck</v>
          </cell>
        </row>
        <row r="35">
          <cell r="C35" t="str">
            <v>Hook Lift</v>
          </cell>
          <cell r="D35" t="str">
            <v>Hook Lift</v>
          </cell>
        </row>
        <row r="36">
          <cell r="C36" t="str">
            <v>Sideloader</v>
          </cell>
          <cell r="D36" t="str">
            <v>Sideloader</v>
          </cell>
        </row>
        <row r="37">
          <cell r="C37" t="str">
            <v>Sideloader</v>
          </cell>
          <cell r="D37" t="str">
            <v>Sideloader</v>
          </cell>
        </row>
        <row r="38">
          <cell r="C38" t="str">
            <v>Other Truck</v>
          </cell>
          <cell r="D38" t="str">
            <v>Other</v>
          </cell>
        </row>
        <row r="39">
          <cell r="C39" t="str">
            <v>Passenger Car</v>
          </cell>
          <cell r="D39" t="str">
            <v>Other</v>
          </cell>
        </row>
        <row r="40">
          <cell r="C40" t="str">
            <v>Pickup</v>
          </cell>
          <cell r="D40" t="str">
            <v>Pickup</v>
          </cell>
        </row>
        <row r="41">
          <cell r="C41" t="str">
            <v>Pumper Truck</v>
          </cell>
          <cell r="D41" t="str">
            <v>Pumper Truck</v>
          </cell>
        </row>
        <row r="42">
          <cell r="C42" t="str">
            <v>Rear Load</v>
          </cell>
          <cell r="D42" t="str">
            <v>Rear Loader</v>
          </cell>
        </row>
        <row r="43">
          <cell r="C43" t="str">
            <v>Recycle Truck</v>
          </cell>
          <cell r="D43" t="str">
            <v>Recycle</v>
          </cell>
        </row>
        <row r="44">
          <cell r="C44" t="str">
            <v>Retriever</v>
          </cell>
          <cell r="D44" t="str">
            <v>Retriever</v>
          </cell>
        </row>
        <row r="45">
          <cell r="C45" t="str">
            <v>Roll Off</v>
          </cell>
          <cell r="D45" t="str">
            <v>Roll Off</v>
          </cell>
        </row>
        <row r="46">
          <cell r="C46" t="str">
            <v>Service Truck</v>
          </cell>
          <cell r="D46" t="str">
            <v>Service Truck</v>
          </cell>
        </row>
        <row r="47">
          <cell r="C47" t="str">
            <v>Service Truck</v>
          </cell>
          <cell r="D47" t="str">
            <v>Service Truck</v>
          </cell>
        </row>
        <row r="48">
          <cell r="C48" t="str">
            <v>Tipper Trailer</v>
          </cell>
          <cell r="D48" t="str">
            <v>Trailer</v>
          </cell>
        </row>
        <row r="49">
          <cell r="C49" t="str">
            <v>Walking Floor Trailer</v>
          </cell>
          <cell r="D49" t="str">
            <v>Trailer</v>
          </cell>
        </row>
        <row r="50">
          <cell r="C50" t="str">
            <v>Roll Off Pup Trailer</v>
          </cell>
          <cell r="D50" t="str">
            <v>Trailer</v>
          </cell>
        </row>
        <row r="51">
          <cell r="C51" t="str">
            <v>Other Trailer</v>
          </cell>
          <cell r="D51" t="str">
            <v>Trailer</v>
          </cell>
        </row>
        <row r="52">
          <cell r="C52" t="str">
            <v>Container Delivery Trailer</v>
          </cell>
          <cell r="D52" t="str">
            <v>Trailer</v>
          </cell>
        </row>
        <row r="53">
          <cell r="C53" t="str">
            <v>Railroad Cars</v>
          </cell>
          <cell r="D53" t="str">
            <v>Trailer</v>
          </cell>
        </row>
        <row r="54">
          <cell r="C54" t="str">
            <v>Barge</v>
          </cell>
          <cell r="D54" t="str">
            <v>Trailer</v>
          </cell>
        </row>
        <row r="55">
          <cell r="C55" t="str">
            <v>Transfer Tractor</v>
          </cell>
          <cell r="D55" t="str">
            <v>Transfer Tractor</v>
          </cell>
        </row>
        <row r="56">
          <cell r="C56" t="str">
            <v>ATV/Gator</v>
          </cell>
          <cell r="D56" t="str">
            <v>UTV</v>
          </cell>
        </row>
        <row r="57">
          <cell r="C57" t="str">
            <v>Yard Mule</v>
          </cell>
          <cell r="D57" t="str">
            <v>Yard Mule</v>
          </cell>
        </row>
        <row r="58">
          <cell r="C58" t="str">
            <v>Automated</v>
          </cell>
          <cell r="D58" t="str">
            <v>Automated Sideloader</v>
          </cell>
        </row>
        <row r="59">
          <cell r="C59" t="str">
            <v>Container Delivery Truck</v>
          </cell>
          <cell r="D59" t="str">
            <v>Container Delivery</v>
          </cell>
        </row>
        <row r="60">
          <cell r="C60" t="str">
            <v>Front Load</v>
          </cell>
          <cell r="D60" t="str">
            <v>Front Loader</v>
          </cell>
        </row>
        <row r="61">
          <cell r="C61" t="str">
            <v>Grapple Brush Truck</v>
          </cell>
          <cell r="D61" t="str">
            <v>Grapple Truck</v>
          </cell>
        </row>
        <row r="62">
          <cell r="C62" t="str">
            <v>Hook Lift</v>
          </cell>
          <cell r="D62" t="str">
            <v>Hook Lift</v>
          </cell>
        </row>
        <row r="63">
          <cell r="C63" t="str">
            <v>Sideloader</v>
          </cell>
          <cell r="D63" t="str">
            <v>Manual Sideloader</v>
          </cell>
        </row>
        <row r="64">
          <cell r="C64" t="str">
            <v>Other Truck</v>
          </cell>
          <cell r="D64" t="str">
            <v>Other</v>
          </cell>
        </row>
        <row r="65">
          <cell r="C65" t="str">
            <v>Pickup</v>
          </cell>
          <cell r="D65" t="str">
            <v>Pickup</v>
          </cell>
        </row>
        <row r="66">
          <cell r="C66" t="str">
            <v>Pumper Truck</v>
          </cell>
          <cell r="D66" t="str">
            <v>Pumper Truck</v>
          </cell>
        </row>
        <row r="67">
          <cell r="C67" t="str">
            <v>Rear Load</v>
          </cell>
          <cell r="D67" t="str">
            <v>Rear Loader</v>
          </cell>
        </row>
        <row r="68">
          <cell r="C68" t="str">
            <v>Recycle Truck</v>
          </cell>
          <cell r="D68" t="str">
            <v>Recycle</v>
          </cell>
        </row>
        <row r="69">
          <cell r="C69" t="str">
            <v>Retriever</v>
          </cell>
          <cell r="D69" t="str">
            <v>Retriever</v>
          </cell>
        </row>
        <row r="70">
          <cell r="C70" t="str">
            <v>Roll Off</v>
          </cell>
          <cell r="D70" t="str">
            <v>Roll Off</v>
          </cell>
        </row>
        <row r="71">
          <cell r="C71" t="str">
            <v>Service Truck</v>
          </cell>
          <cell r="D71" t="str">
            <v>Serv Trk-Complete</v>
          </cell>
        </row>
        <row r="72">
          <cell r="C72" t="str">
            <v>Tipper Trailer</v>
          </cell>
          <cell r="D72" t="str">
            <v>Trailer</v>
          </cell>
        </row>
        <row r="73">
          <cell r="C73" t="str">
            <v>Walking Floor Trailer</v>
          </cell>
          <cell r="D73" t="str">
            <v>Trailer</v>
          </cell>
        </row>
        <row r="74">
          <cell r="C74" t="str">
            <v>Roll Off Pup Trailer</v>
          </cell>
          <cell r="D74" t="str">
            <v>Trailer</v>
          </cell>
        </row>
        <row r="75">
          <cell r="C75" t="str">
            <v>Barge</v>
          </cell>
          <cell r="D75" t="str">
            <v>Trailer</v>
          </cell>
        </row>
        <row r="76">
          <cell r="C76" t="str">
            <v>Railroad Cars</v>
          </cell>
          <cell r="D76" t="str">
            <v>Trailer</v>
          </cell>
        </row>
        <row r="77">
          <cell r="C77" t="str">
            <v>Container Delivery Trailer</v>
          </cell>
          <cell r="D77" t="str">
            <v>Trailer</v>
          </cell>
        </row>
        <row r="78">
          <cell r="C78" t="str">
            <v>Other Trailer</v>
          </cell>
          <cell r="D78" t="str">
            <v>Trailer</v>
          </cell>
        </row>
        <row r="79">
          <cell r="C79" t="str">
            <v>Transfer Tractor</v>
          </cell>
          <cell r="D79" t="str">
            <v>Transfer Tractor</v>
          </cell>
        </row>
        <row r="80">
          <cell r="C80" t="str">
            <v>Roll Off Pup Trailer</v>
          </cell>
          <cell r="D80" t="str">
            <v>Trailer</v>
          </cell>
        </row>
        <row r="81">
          <cell r="C81" t="str">
            <v>Barge</v>
          </cell>
          <cell r="D81" t="str">
            <v>Trailer</v>
          </cell>
        </row>
      </sheetData>
      <sheetData sheetId="8">
        <row r="7">
          <cell r="C7" t="str">
            <v>OK!: ReportRange Formula OK [jAction{}]</v>
          </cell>
        </row>
      </sheetData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  <sheetName val="Bud Capital Input (2)"/>
      <sheetName val="Bud Capita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5">
          <cell r="F15" t="str">
            <v>OK!: ReportRange Formula OK [jAction{}]</v>
          </cell>
        </row>
        <row r="37">
          <cell r="C37" t="str">
            <v>Front Load</v>
          </cell>
          <cell r="D37" t="str">
            <v>Front Loader</v>
          </cell>
        </row>
        <row r="38">
          <cell r="C38" t="str">
            <v>Grapple Brush Truck</v>
          </cell>
          <cell r="D38" t="str">
            <v>Grapple Truck</v>
          </cell>
        </row>
        <row r="39">
          <cell r="C39" t="str">
            <v>Hook Lift</v>
          </cell>
          <cell r="D39" t="str">
            <v>Hook Lift</v>
          </cell>
        </row>
        <row r="40">
          <cell r="C40" t="str">
            <v>Sideloader</v>
          </cell>
          <cell r="D40" t="str">
            <v>Sideloader</v>
          </cell>
        </row>
        <row r="41">
          <cell r="C41" t="str">
            <v>Sideloader</v>
          </cell>
          <cell r="D41" t="str">
            <v>Sideloader</v>
          </cell>
        </row>
        <row r="42">
          <cell r="C42" t="str">
            <v>Other Truck</v>
          </cell>
          <cell r="D42" t="str">
            <v>Other</v>
          </cell>
        </row>
        <row r="43">
          <cell r="C43" t="str">
            <v>Passenger Car</v>
          </cell>
          <cell r="D43" t="str">
            <v>Other</v>
          </cell>
        </row>
        <row r="44">
          <cell r="C44" t="str">
            <v>Pickup</v>
          </cell>
          <cell r="D44" t="str">
            <v>Pickup</v>
          </cell>
        </row>
        <row r="45">
          <cell r="C45" t="str">
            <v>Pumper Truck</v>
          </cell>
          <cell r="D45" t="str">
            <v>Pumper Truck</v>
          </cell>
        </row>
        <row r="46">
          <cell r="C46" t="str">
            <v>Rear Load</v>
          </cell>
          <cell r="D46" t="str">
            <v>Rear Loader</v>
          </cell>
        </row>
        <row r="47">
          <cell r="C47" t="str">
            <v>Recycle Truck</v>
          </cell>
          <cell r="D47" t="str">
            <v>Recycle</v>
          </cell>
        </row>
        <row r="48">
          <cell r="C48" t="str">
            <v>Retriever</v>
          </cell>
          <cell r="D48" t="str">
            <v>Retriever</v>
          </cell>
        </row>
        <row r="49">
          <cell r="C49" t="str">
            <v>Roll Off</v>
          </cell>
          <cell r="D49" t="str">
            <v>Roll Off</v>
          </cell>
        </row>
        <row r="50">
          <cell r="C50" t="str">
            <v>Service Truck</v>
          </cell>
          <cell r="D50" t="str">
            <v>Service Truck</v>
          </cell>
        </row>
        <row r="51">
          <cell r="C51" t="str">
            <v>Service Truck</v>
          </cell>
          <cell r="D51" t="str">
            <v>Service Truck</v>
          </cell>
        </row>
        <row r="52">
          <cell r="C52" t="str">
            <v>Tipper Trailer</v>
          </cell>
          <cell r="D52" t="str">
            <v>Trailer</v>
          </cell>
        </row>
        <row r="53">
          <cell r="C53" t="str">
            <v>Walking Floor Trailer</v>
          </cell>
          <cell r="D53" t="str">
            <v>Trailer</v>
          </cell>
        </row>
        <row r="54">
          <cell r="C54" t="str">
            <v>Roll Off Pup Trailer</v>
          </cell>
          <cell r="D54" t="str">
            <v>Trailer</v>
          </cell>
        </row>
        <row r="55">
          <cell r="C55" t="str">
            <v>Other Trailer</v>
          </cell>
          <cell r="D55" t="str">
            <v>Trailer</v>
          </cell>
        </row>
        <row r="56">
          <cell r="C56" t="str">
            <v>Container Delivery Trailer</v>
          </cell>
          <cell r="D56" t="str">
            <v>Trailer</v>
          </cell>
        </row>
        <row r="57">
          <cell r="C57" t="str">
            <v>Railroad Cars</v>
          </cell>
          <cell r="D57" t="str">
            <v>Trailer</v>
          </cell>
        </row>
        <row r="58">
          <cell r="C58" t="str">
            <v>Barge</v>
          </cell>
          <cell r="D58" t="str">
            <v>Trailer</v>
          </cell>
        </row>
        <row r="59">
          <cell r="C59" t="str">
            <v>Transfer Tractor</v>
          </cell>
          <cell r="D59" t="str">
            <v>Transfer Tractor</v>
          </cell>
        </row>
        <row r="60">
          <cell r="C60" t="str">
            <v>ATV/Gator</v>
          </cell>
          <cell r="D60" t="str">
            <v>Yard Mule</v>
          </cell>
        </row>
        <row r="61">
          <cell r="C61" t="str">
            <v>Yard Mule</v>
          </cell>
          <cell r="D61" t="str">
            <v>Yard Mule</v>
          </cell>
        </row>
        <row r="62">
          <cell r="C62" t="str">
            <v>Automated</v>
          </cell>
          <cell r="D62" t="str">
            <v>Automated Sideloader</v>
          </cell>
        </row>
        <row r="63">
          <cell r="C63" t="str">
            <v>Container Delivery Truck</v>
          </cell>
          <cell r="D63" t="str">
            <v>Container Delivery</v>
          </cell>
        </row>
        <row r="64">
          <cell r="C64" t="str">
            <v>Front Load</v>
          </cell>
          <cell r="D64" t="str">
            <v>Front Loader</v>
          </cell>
        </row>
        <row r="65">
          <cell r="C65" t="str">
            <v>Grapple Brush Truck</v>
          </cell>
          <cell r="D65" t="str">
            <v>Grapple Truck</v>
          </cell>
        </row>
        <row r="66">
          <cell r="C66" t="str">
            <v>Hook Lift</v>
          </cell>
          <cell r="D66" t="str">
            <v>Hook Lift</v>
          </cell>
        </row>
        <row r="67">
          <cell r="C67" t="str">
            <v>Sideloader</v>
          </cell>
          <cell r="D67" t="str">
            <v>Manual Sideloader</v>
          </cell>
        </row>
        <row r="68">
          <cell r="C68" t="str">
            <v>Other Truck</v>
          </cell>
          <cell r="D68" t="str">
            <v>Other</v>
          </cell>
        </row>
        <row r="69">
          <cell r="C69" t="str">
            <v>Pickup</v>
          </cell>
          <cell r="D69" t="str">
            <v>Pickup</v>
          </cell>
        </row>
        <row r="70">
          <cell r="C70" t="str">
            <v>Pumper Truck</v>
          </cell>
          <cell r="D70" t="str">
            <v>Pumper Truck</v>
          </cell>
        </row>
        <row r="71">
          <cell r="C71" t="str">
            <v>Rear Load</v>
          </cell>
          <cell r="D71" t="str">
            <v>Rear Loader</v>
          </cell>
        </row>
        <row r="72">
          <cell r="C72" t="str">
            <v>Recycle Truck</v>
          </cell>
          <cell r="D72" t="str">
            <v>Recycle</v>
          </cell>
        </row>
        <row r="73">
          <cell r="C73" t="str">
            <v>Retriever</v>
          </cell>
          <cell r="D73" t="str">
            <v>Retriever</v>
          </cell>
        </row>
        <row r="74">
          <cell r="C74" t="str">
            <v>Roll Off</v>
          </cell>
          <cell r="D74" t="str">
            <v>Roll Off</v>
          </cell>
        </row>
        <row r="75">
          <cell r="C75" t="str">
            <v>Service Truck</v>
          </cell>
          <cell r="D75" t="str">
            <v>Serv Trk-Complete</v>
          </cell>
        </row>
        <row r="76">
          <cell r="C76" t="str">
            <v>Tipper Trailer</v>
          </cell>
          <cell r="D76" t="str">
            <v>Trailer</v>
          </cell>
        </row>
        <row r="77">
          <cell r="C77" t="str">
            <v>Walking Floor Trailer</v>
          </cell>
          <cell r="D77" t="str">
            <v>Trailer</v>
          </cell>
        </row>
        <row r="78">
          <cell r="C78" t="str">
            <v>Roll Off Pup Trailer</v>
          </cell>
          <cell r="D78" t="str">
            <v>Trailer</v>
          </cell>
        </row>
        <row r="79">
          <cell r="C79" t="str">
            <v>Barge</v>
          </cell>
          <cell r="D79" t="str">
            <v>Trailer</v>
          </cell>
        </row>
        <row r="80">
          <cell r="C80" t="str">
            <v>Railroad Cars</v>
          </cell>
          <cell r="D80" t="str">
            <v>Trailer</v>
          </cell>
        </row>
        <row r="81">
          <cell r="C81" t="str">
            <v>Container Delivery Trailer</v>
          </cell>
          <cell r="D81" t="str">
            <v>Trailer</v>
          </cell>
        </row>
        <row r="82">
          <cell r="C82" t="str">
            <v>Other Trailer</v>
          </cell>
          <cell r="D82" t="str">
            <v>Trailer</v>
          </cell>
        </row>
        <row r="83">
          <cell r="C83" t="str">
            <v>Transfer Tractor</v>
          </cell>
          <cell r="D83" t="str">
            <v>Transfer Tractor</v>
          </cell>
        </row>
        <row r="84">
          <cell r="C84" t="str">
            <v>Yard Mule</v>
          </cell>
          <cell r="D84" t="str">
            <v>Yard Mule</v>
          </cell>
        </row>
        <row r="85">
          <cell r="C85" t="str">
            <v>ATV/Gator</v>
          </cell>
          <cell r="D85" t="str">
            <v>Yard Mule</v>
          </cell>
        </row>
        <row r="86">
          <cell r="C86" t="str">
            <v>Yard Mule</v>
          </cell>
          <cell r="D86" t="str">
            <v>Yard Mule</v>
          </cell>
        </row>
        <row r="87">
          <cell r="C87" t="str">
            <v>ATV/Gator</v>
          </cell>
          <cell r="D87" t="str">
            <v>Yard Mule</v>
          </cell>
        </row>
      </sheetData>
      <sheetData sheetId="7">
        <row r="7">
          <cell r="C7" t="str">
            <v>OK!: ReportRange Formula OK [jAction{}]</v>
          </cell>
        </row>
      </sheetData>
      <sheetData sheetId="8"/>
      <sheetData sheetId="9" refreshError="1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ject_LastPulledValues"/>
      <sheetName val="FAR 12.2023"/>
      <sheetName val="ProjDepr"/>
      <sheetName val="District Summary"/>
      <sheetName val="Invoice"/>
    </sheetNames>
    <sheetDataSet>
      <sheetData sheetId="0"/>
      <sheetData sheetId="1"/>
      <sheetData sheetId="2">
        <row r="3">
          <cell r="D3" t="str">
            <v>OK!: ReportRange Formula OK [jAction{}]</v>
          </cell>
        </row>
        <row r="19">
          <cell r="D19" t="str">
            <v>2023-12</v>
          </cell>
        </row>
        <row r="20">
          <cell r="D20">
            <v>2010</v>
          </cell>
        </row>
        <row r="21">
          <cell r="D21">
            <v>1098</v>
          </cell>
        </row>
        <row r="22">
          <cell r="D22">
            <v>14110</v>
          </cell>
        </row>
      </sheetData>
      <sheetData sheetId="3"/>
      <sheetData sheetId="4">
        <row r="2">
          <cell r="C2" t="str">
            <v>OK!: ReportRange Formula OK [jAction{}]</v>
          </cell>
        </row>
        <row r="7">
          <cell r="E7" t="str">
            <v>x</v>
          </cell>
        </row>
        <row r="8">
          <cell r="E8" t="str">
            <v/>
          </cell>
        </row>
        <row r="9">
          <cell r="E9" t="str">
            <v>A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184"/>
      <sheetName val="Trucks 2184"/>
      <sheetName val="Containers District 2184"/>
      <sheetName val="2184 Other Equipment"/>
      <sheetName val="LeMay Global - 2184"/>
    </sheetNames>
    <sheetDataSet>
      <sheetData sheetId="0" refreshError="1"/>
      <sheetData sheetId="1" refreshError="1">
        <row r="2">
          <cell r="P2">
            <v>12</v>
          </cell>
        </row>
        <row r="3">
          <cell r="P3">
            <v>0</v>
          </cell>
        </row>
        <row r="4">
          <cell r="P4">
            <v>2012</v>
          </cell>
        </row>
        <row r="5">
          <cell r="P5">
            <v>2013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184"/>
      <sheetName val="Trucks 2184"/>
      <sheetName val="Containers District 2184"/>
      <sheetName val="2184 Other Equipment"/>
    </sheetNames>
    <sheetDataSet>
      <sheetData sheetId="0" refreshError="1"/>
      <sheetData sheetId="1" refreshError="1"/>
      <sheetData sheetId="2" refreshError="1"/>
      <sheetData sheetId="3" refreshError="1">
        <row r="3">
          <cell r="P3">
            <v>0</v>
          </cell>
        </row>
        <row r="4">
          <cell r="P4">
            <v>2014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  <sheetName val="Sch 4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 refreshError="1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 Vandenburg" refreshedDate="45429.600282870371" createdVersion="7" refreshedVersion="7" minRefreshableVersion="3" recordCount="904" xr:uid="{91328C66-936C-4E4E-850F-D2F4800F1E3C}">
  <cacheSource type="worksheet">
    <worksheetSource ref="B16:AX920" sheet="FAR 04.2024"/>
  </cacheSource>
  <cacheFields count="49">
    <cacheField name="Dist." numFmtId="0">
      <sharedItems containsSemiMixedTypes="0" containsString="0" containsNumber="1" containsInteger="1" minValue="2183" maxValue="2183"/>
    </cacheField>
    <cacheField name="Asset #" numFmtId="0">
      <sharedItems containsSemiMixedTypes="0" containsString="0" containsNumber="1" containsInteger="1" minValue="61093" maxValue="407912"/>
    </cacheField>
    <cacheField name="Parent_x000a_/ Child" numFmtId="0">
      <sharedItems containsMixedTypes="1" containsNumber="1" containsInteger="1" minValue="61085" maxValue="400330"/>
    </cacheField>
    <cacheField name="Asset Type" numFmtId="0">
      <sharedItems/>
    </cacheField>
    <cacheField name="Description" numFmtId="0">
      <sharedItems/>
    </cacheField>
    <cacheField name="Bl 1" numFmtId="0">
      <sharedItems containsNonDate="0" containsString="0" containsBlank="1"/>
    </cacheField>
    <cacheField name="Bl 2" numFmtId="0">
      <sharedItems containsNonDate="0" containsString="0" containsBlank="1"/>
    </cacheField>
    <cacheField name="Units" numFmtId="0">
      <sharedItems containsSemiMixedTypes="0" containsString="0" containsNumber="1" containsInteger="1" minValue="1" maxValue="108090"/>
    </cacheField>
    <cacheField name="Mfg. Serial #" numFmtId="0">
      <sharedItems containsBlank="1" containsMixedTypes="1" containsNumber="1" containsInteger="1" minValue="0" maxValue="200254278"/>
    </cacheField>
    <cacheField name="Model Year" numFmtId="0">
      <sharedItems containsSemiMixedTypes="0" containsString="0" containsNumber="1" containsInteger="1" minValue="0" maxValue="2024"/>
    </cacheField>
    <cacheField name="Vendor / Mfg." numFmtId="0">
      <sharedItems containsBlank="1"/>
    </cacheField>
    <cacheField name="Body Mfg" numFmtId="0">
      <sharedItems containsBlank="1"/>
    </cacheField>
    <cacheField name="Asset Category (Major)" numFmtId="0">
      <sharedItems/>
    </cacheField>
    <cacheField name="Asset Sub-Category (Minor)" numFmtId="0">
      <sharedItems/>
    </cacheField>
    <cacheField name="Ins. Category" numFmtId="0">
      <sharedItems containsBlank="1"/>
    </cacheField>
    <cacheField name="Cont. Size" numFmtId="0">
      <sharedItems containsBlank="1"/>
    </cacheField>
    <cacheField name="Cont. Type" numFmtId="0">
      <sharedItems containsBlank="1"/>
    </cacheField>
    <cacheField name="In Service Date" numFmtId="172">
      <sharedItems containsSemiMixedTypes="0" containsNonDate="0" containsDate="1" containsString="0" minDate="1997-10-01T00:00:00" maxDate="2024-04-02T00:00:00"/>
    </cacheField>
    <cacheField name="Acq. Date" numFmtId="172">
      <sharedItems containsSemiMixedTypes="0" containsNonDate="0" containsDate="1" containsString="0" minDate="1997-10-01T00:00:00" maxDate="2024-04-02T00:00:00"/>
    </cacheField>
    <cacheField name="CER #" numFmtId="0">
      <sharedItems containsBlank="1"/>
    </cacheField>
    <cacheField name="Useful Life" numFmtId="0">
      <sharedItems containsSemiMixedTypes="0" containsString="0" containsNumber="1" containsInteger="1" minValue="0" maxValue="2000"/>
    </cacheField>
    <cacheField name="Asset Account" numFmtId="0">
      <sharedItems containsSemiMixedTypes="0" containsString="0" containsNumber="1" containsInteger="1" minValue="14010" maxValue="15260"/>
    </cacheField>
    <cacheField name="Asset Cost" numFmtId="44">
      <sharedItems containsSemiMixedTypes="0" containsString="0" containsNumber="1" minValue="-1045249.13" maxValue="32885751"/>
    </cacheField>
    <cacheField name="Accum. Account" numFmtId="0">
      <sharedItems containsSemiMixedTypes="0" containsString="0" containsNumber="1" containsInteger="1" minValue="14016" maxValue="15266"/>
    </cacheField>
    <cacheField name="Accum. Life to Date" numFmtId="44">
      <sharedItems containsSemiMixedTypes="0" containsString="0" containsNumber="1" minValue="-4700.16" maxValue="2090950.01"/>
    </cacheField>
    <cacheField name="NBV" numFmtId="44">
      <sharedItems containsSemiMixedTypes="0" containsString="0" containsNumber="1" containsInteger="1" minValue="0" maxValue="0"/>
    </cacheField>
    <cacheField name="Accum. YTD" numFmtId="44">
      <sharedItems containsSemiMixedTypes="0" containsString="0" containsNumber="1" minValue="-1045249.13" maxValue="32885751"/>
    </cacheField>
    <cacheField name="Expense Account" numFmtId="44">
      <sharedItems containsSemiMixedTypes="0" containsString="0" containsNumber="1" minValue="-180.96" maxValue="46584.88"/>
    </cacheField>
    <cacheField name="Current Depr." numFmtId="0">
      <sharedItems containsSemiMixedTypes="0" containsString="0" containsNumber="1" containsInteger="1" minValue="51260" maxValue="70264"/>
    </cacheField>
    <cacheField name="Acq. Type" numFmtId="44">
      <sharedItems containsSemiMixedTypes="0" containsString="0" containsNumber="1" minValue="-64.19" maxValue="11646.22"/>
    </cacheField>
    <cacheField name="Former Company" numFmtId="44">
      <sharedItems containsSemiMixedTypes="0" containsString="0" containsNumber="1" minValue="0" maxValue="9.7799999999999994"/>
    </cacheField>
    <cacheField name="Company Asset #" numFmtId="44">
      <sharedItems containsSemiMixedTypes="0" containsString="0" containsNumber="1" minValue="-64.19" maxValue="11646.22"/>
    </cacheField>
    <cacheField name="Activity Cd" numFmtId="0">
      <sharedItems/>
    </cacheField>
    <cacheField name="Depr. Meth" numFmtId="0">
      <sharedItems containsBlank="1"/>
    </cacheField>
    <cacheField name="Depre. Y/N" numFmtId="0">
      <sharedItems containsBlank="1" containsMixedTypes="1" containsNumber="1" containsInteger="1" minValue="25" maxValue="14050"/>
    </cacheField>
    <cacheField name="Truck #" numFmtId="0">
      <sharedItems containsMixedTypes="1" containsNumber="1" containsInteger="1" minValue="0" maxValue="9997"/>
    </cacheField>
    <cacheField name="Equipment Type per Field" numFmtId="0">
      <sharedItems containsBlank="1" containsMixedTypes="1" containsNumber="1" containsInteger="1" minValue="0" maxValue="0" count="22">
        <s v="Residential Recycling Truck"/>
        <s v="Garbage"/>
        <s v="Garbage Carts"/>
        <s v="Containers (Mixed)"/>
        <s v="Yard Waste Carts"/>
        <s v="Recycling Carts"/>
        <s v="Roll Off"/>
        <s v="Shop Equipment"/>
        <s v="Office Equipment"/>
        <m/>
        <s v="Service Equipment"/>
        <s v="Drop Boxes"/>
        <s v="Building - Shop"/>
        <s v="Commercial MSW Truck"/>
        <s v="MSW Carts"/>
        <s v="Service Equip"/>
        <s v="Res/Comm MSW Truck"/>
        <s v="MSW/Recycle Containers"/>
        <s v="Building"/>
        <s v="Old"/>
        <s v="STL"/>
        <n v="0" u="1"/>
      </sharedItems>
    </cacheField>
    <cacheField name="Equipment Type for Lookup" numFmtId="0">
      <sharedItems containsBlank="1"/>
    </cacheField>
    <cacheField name="Month" numFmtId="0">
      <sharedItems containsString="0" containsBlank="1" containsNumber="1" containsInteger="1" minValue="1" maxValue="12"/>
    </cacheField>
    <cacheField name="YearPIS" numFmtId="0">
      <sharedItems containsString="0" containsBlank="1" containsNumber="1" containsInteger="1" minValue="1997" maxValue="2024"/>
    </cacheField>
    <cacheField name="Year Fully Dep" numFmtId="0">
      <sharedItems containsString="0" containsBlank="1" containsNumber="1" minValue="2002" maxValue="2041"/>
    </cacheField>
    <cacheField name="Year/Mo Fully Dep" numFmtId="0">
      <sharedItems containsString="0" containsBlank="1" containsNumber="1" minValue="2002.8333333333333" maxValue="2042"/>
    </cacheField>
    <cacheField name="Monthly Dep" numFmtId="0">
      <sharedItems containsString="0" containsBlank="1" containsNumber="1" minValue="-64.192222222222227" maxValue="11646.216166666665"/>
    </cacheField>
    <cacheField name="Annual Dep" numFmtId="0">
      <sharedItems containsString="0" containsBlank="1" containsNumber="1" minValue="-770.30666666666673" maxValue="139754.59399999998"/>
    </cacheField>
    <cacheField name="Test Year Dep" numFmtId="0">
      <sharedItems containsString="0" containsBlank="1" containsNumber="1" minValue="-770.30666666666673" maxValue="139754.59399999998"/>
    </cacheField>
    <cacheField name="BOY Accum" numFmtId="0">
      <sharedItems containsString="0" containsBlank="1" containsNumber="1" minValue="-769.02900000004115" maxValue="244570.53950000042"/>
    </cacheField>
    <cacheField name="EOY Accum" numFmtId="0">
      <sharedItems containsString="0" containsBlank="1" containsNumber="1" minValue="-1311.873000000041" maxValue="384325.1335000004"/>
    </cacheField>
    <cacheField name="EOY Average Investment" numFmtId="0">
      <sharedItems containsString="0" containsBlank="1" containsNumber="1" minValue="-1540.6133333333332" maxValue="2410766.7464999994"/>
    </cacheField>
    <cacheField name="Pre 8/1/21 Add?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4">
  <r>
    <n v="2183"/>
    <n v="407912"/>
    <s v="P"/>
    <s v="Capitalized"/>
    <s v="Truck Rebates "/>
    <m/>
    <m/>
    <n v="1"/>
    <s v="3BPDLK0X9PF114141"/>
    <n v="2003"/>
    <m/>
    <m/>
    <s v="TRUCKS AND TRAILERS"/>
    <s v="TBA"/>
    <s v="Hooklift"/>
    <m/>
    <m/>
    <d v="2024-04-01T00:00:00"/>
    <d v="2024-04-01T00:00:00"/>
    <m/>
    <n v="300"/>
    <n v="14040"/>
    <n v="-171.58"/>
    <n v="14046"/>
    <n v="-4.7699999999999996"/>
    <n v="0"/>
    <n v="-166.81"/>
    <n v="-4.7699999999999996"/>
    <n v="51260"/>
    <n v="-4.7699999999999996"/>
    <n v="0"/>
    <n v="-4.7699999999999996"/>
    <s v="P"/>
    <m/>
    <m/>
    <s v="1094"/>
    <x v="0"/>
    <s v="Residential Recycling Truck"/>
    <n v="4"/>
    <n v="2024"/>
    <n v="2027"/>
    <n v="2027.3333333333333"/>
    <n v="-4.766111111111111"/>
    <n v="-57.193333333333328"/>
    <n v="-57.193333333333328"/>
    <n v="0"/>
    <n v="-57.193333333333328"/>
    <n v="-114.38666666666668"/>
    <s v="No"/>
  </r>
  <r>
    <n v="2183"/>
    <n v="407911"/>
    <s v="P"/>
    <s v="Capitalized"/>
    <s v="Truck Rebates "/>
    <m/>
    <m/>
    <n v="1"/>
    <s v="3BPDLK0X3NF113158"/>
    <n v="2001"/>
    <m/>
    <m/>
    <s v="TRUCKS AND TRAILERS"/>
    <s v="TBA"/>
    <s v="Wheel Loader"/>
    <m/>
    <m/>
    <d v="2024-04-01T00:00:00"/>
    <d v="2024-04-01T00:00:00"/>
    <m/>
    <n v="300"/>
    <n v="14040"/>
    <n v="-955.78"/>
    <n v="14046"/>
    <n v="-26.55"/>
    <n v="0"/>
    <n v="-929.23"/>
    <n v="-26.55"/>
    <n v="51260"/>
    <n v="-26.55"/>
    <n v="0"/>
    <n v="-26.55"/>
    <s v="P"/>
    <m/>
    <m/>
    <s v="3720"/>
    <x v="1"/>
    <s v="Res/Comm MSW Truck"/>
    <n v="4"/>
    <n v="2024"/>
    <n v="2027"/>
    <n v="2027.3333333333333"/>
    <n v="-26.549444444444443"/>
    <n v="-318.59333333333331"/>
    <n v="-318.59333333333331"/>
    <n v="0"/>
    <n v="-318.59333333333331"/>
    <n v="-637.18666666666672"/>
    <s v="No"/>
  </r>
  <r>
    <n v="2183"/>
    <n v="407910"/>
    <s v="P"/>
    <s v="Capitalized"/>
    <s v="Truck Rebates "/>
    <m/>
    <m/>
    <n v="1"/>
    <s v="3BPDLK0X8PF114129"/>
    <n v="2001"/>
    <m/>
    <m/>
    <s v="TRUCKS AND TRAILERS"/>
    <s v="TBA"/>
    <s v="Roll Off"/>
    <m/>
    <m/>
    <d v="2024-04-01T00:00:00"/>
    <d v="2024-04-01T00:00:00"/>
    <m/>
    <n v="300"/>
    <n v="14040"/>
    <n v="-159.47"/>
    <n v="14046"/>
    <n v="-4.43"/>
    <n v="0"/>
    <n v="-155.04"/>
    <n v="-4.43"/>
    <n v="51260"/>
    <n v="-4.43"/>
    <n v="0"/>
    <n v="-4.43"/>
    <s v="P"/>
    <m/>
    <m/>
    <s v="3728"/>
    <x v="1"/>
    <s v="Res/Comm MSW Truck"/>
    <n v="4"/>
    <n v="2024"/>
    <n v="2027"/>
    <n v="2027.3333333333333"/>
    <n v="-4.4297222222222219"/>
    <n v="-53.156666666666666"/>
    <n v="-53.156666666666666"/>
    <n v="0"/>
    <n v="-53.156666666666666"/>
    <n v="-106.31333333333333"/>
    <s v="No"/>
  </r>
  <r>
    <n v="2183"/>
    <n v="407909"/>
    <s v="P"/>
    <s v="Capitalized"/>
    <s v="Truck Rebates "/>
    <m/>
    <m/>
    <n v="1"/>
    <s v="3BPDLK0X7PF113165"/>
    <n v="1963"/>
    <m/>
    <m/>
    <s v="TRUCKS AND TRAILERS"/>
    <s v="TBA"/>
    <s v="Service Truck"/>
    <m/>
    <m/>
    <d v="2024-04-01T00:00:00"/>
    <d v="2024-04-01T00:00:00"/>
    <m/>
    <n v="300"/>
    <n v="14040"/>
    <n v="-2310.92"/>
    <n v="14046"/>
    <n v="-64.19"/>
    <n v="0"/>
    <n v="-2246.73"/>
    <n v="-64.19"/>
    <n v="51260"/>
    <n v="-64.19"/>
    <n v="0"/>
    <n v="-64.19"/>
    <s v="P"/>
    <m/>
    <m/>
    <s v="3727"/>
    <x v="1"/>
    <s v="Res/Comm MSW Truck"/>
    <n v="4"/>
    <n v="2024"/>
    <n v="2027"/>
    <n v="2027.3333333333333"/>
    <n v="-64.192222222222227"/>
    <n v="-770.30666666666673"/>
    <n v="-770.30666666666673"/>
    <n v="0"/>
    <n v="-770.30666666666673"/>
    <n v="-1540.6133333333332"/>
    <s v="No"/>
  </r>
  <r>
    <n v="2183"/>
    <n v="407364"/>
    <n v="400327"/>
    <s v="Capitalized"/>
    <s v="Drive cam for truck 1099"/>
    <m/>
    <m/>
    <n v="1"/>
    <s v="3BPDLK0X6RF116299"/>
    <n v="0"/>
    <m/>
    <m/>
    <s v="TRUCKS AND TRAILERS"/>
    <s v="REAR LOADER"/>
    <s v="Rear Loader"/>
    <m/>
    <m/>
    <d v="2024-03-05T00:00:00"/>
    <d v="2024-03-05T00:00:00"/>
    <s v="2183-24-0010-1"/>
    <n v="500"/>
    <n v="14040"/>
    <n v="586.94000000000005"/>
    <n v="14046"/>
    <n v="19.559999999999999"/>
    <n v="0"/>
    <n v="567.38000000000011"/>
    <n v="19.559999999999999"/>
    <n v="51260"/>
    <n v="9.7799999999999994"/>
    <n v="9.7799999999999994"/>
    <n v="19.559999999999999"/>
    <s v="P"/>
    <m/>
    <m/>
    <n v="1099"/>
    <x v="1"/>
    <s v="Res/Comm MSW Truck"/>
    <n v="3"/>
    <n v="2024"/>
    <n v="2029"/>
    <n v="2029.25"/>
    <n v="9.7823333333333338"/>
    <n v="117.38800000000001"/>
    <n v="117.38800000000001"/>
    <n v="0"/>
    <n v="117.38800000000001"/>
    <n v="469.55200000000002"/>
    <s v="No"/>
  </r>
  <r>
    <n v="2183"/>
    <n v="407353"/>
    <n v="400327"/>
    <s v="Capitalized"/>
    <s v="Overweight Permit Truck #1099"/>
    <m/>
    <m/>
    <n v="1"/>
    <s v="3BPDLK0X6RF116299"/>
    <n v="0"/>
    <m/>
    <m/>
    <s v="TRUCKS AND TRAILERS"/>
    <s v="REAR LOADER"/>
    <s v="Rear Loader"/>
    <m/>
    <m/>
    <d v="2024-01-25T00:00:00"/>
    <d v="2024-01-25T00:00:00"/>
    <s v="2183-24-0010-1"/>
    <n v="1000"/>
    <n v="14040"/>
    <n v="346.08"/>
    <n v="14046"/>
    <n v="8.64"/>
    <n v="0"/>
    <n v="337.44"/>
    <n v="8.64"/>
    <n v="51260"/>
    <n v="2.88"/>
    <n v="5.76"/>
    <n v="8.64"/>
    <s v="P"/>
    <m/>
    <m/>
    <n v="1099"/>
    <x v="1"/>
    <s v="Res/Comm MSW Truck"/>
    <n v="1"/>
    <n v="2024"/>
    <n v="2034"/>
    <n v="2034.0833333333333"/>
    <n v="2.8839999999999999"/>
    <n v="34.607999999999997"/>
    <n v="34.607999999999997"/>
    <n v="0"/>
    <n v="34.607999999999997"/>
    <n v="311.47199999999998"/>
    <s v="No"/>
  </r>
  <r>
    <n v="2183"/>
    <n v="404935"/>
    <n v="400327"/>
    <s v="Capitalized"/>
    <s v="License for truck #1099"/>
    <m/>
    <m/>
    <n v="1"/>
    <m/>
    <n v="0"/>
    <m/>
    <m/>
    <s v="TRUCKS AND TRAILERS"/>
    <s v="REAR LOADER"/>
    <s v="Rear Loader"/>
    <m/>
    <m/>
    <d v="2024-01-25T00:00:00"/>
    <d v="2024-01-25T00:00:00"/>
    <s v="2183-24-0010-1"/>
    <n v="1000"/>
    <n v="14040"/>
    <n v="930.86"/>
    <n v="14046"/>
    <n v="23.28"/>
    <n v="0"/>
    <n v="907.58"/>
    <n v="23.28"/>
    <n v="51260"/>
    <n v="7.76"/>
    <n v="0"/>
    <n v="7.76"/>
    <s v="P"/>
    <m/>
    <m/>
    <n v="1099"/>
    <x v="1"/>
    <s v="Res/Comm MSW Truck"/>
    <n v="1"/>
    <n v="2024"/>
    <n v="2034"/>
    <n v="2034.0833333333333"/>
    <n v="7.7571666666666665"/>
    <n v="93.085999999999999"/>
    <n v="93.085999999999999"/>
    <n v="0"/>
    <n v="93.085999999999999"/>
    <n v="837.774"/>
    <s v="No"/>
  </r>
  <r>
    <n v="2183"/>
    <n v="407171"/>
    <s v="P"/>
    <s v="Capitalized"/>
    <s v="95 Gallon Refuse Carts"/>
    <m/>
    <m/>
    <n v="702"/>
    <m/>
    <n v="0"/>
    <m/>
    <m/>
    <s v="CONTAINERS"/>
    <s v="CARTS PLASTIC"/>
    <m/>
    <s v="95 Gal"/>
    <s v="Carts/Toters"/>
    <d v="2024-03-25T00:00:00"/>
    <d v="2024-03-25T00:00:00"/>
    <s v="2183-24-0014-2"/>
    <n v="700"/>
    <n v="14050"/>
    <n v="38196.21"/>
    <n v="14056"/>
    <n v="454.72"/>
    <n v="0"/>
    <n v="37741.49"/>
    <n v="454.72"/>
    <n v="54260"/>
    <n v="454.72"/>
    <n v="0"/>
    <n v="454.72"/>
    <s v="P"/>
    <m/>
    <m/>
    <n v="0"/>
    <x v="2"/>
    <s v="MSW Carts"/>
    <n v="3"/>
    <n v="2024"/>
    <n v="2031"/>
    <n v="2031.25"/>
    <n v="454.71678571428566"/>
    <n v="5456.6014285714282"/>
    <n v="5456.6014285714282"/>
    <n v="0"/>
    <n v="5456.6014285714282"/>
    <n v="32739.608571428573"/>
    <s v="No"/>
  </r>
  <r>
    <n v="2183"/>
    <n v="405970"/>
    <s v="P"/>
    <s v="Capitalized"/>
    <s v="65 Gal Refuse Carts"/>
    <m/>
    <m/>
    <n v="936"/>
    <m/>
    <n v="0"/>
    <m/>
    <m/>
    <s v="CONTAINERS"/>
    <s v="CARTS PLASTIC"/>
    <m/>
    <s v="65 Gal"/>
    <s v="Carts/Toters"/>
    <d v="2024-04-01T00:00:00"/>
    <d v="2024-04-01T00:00:00"/>
    <s v="2183-24-0014-1"/>
    <n v="700"/>
    <n v="14050"/>
    <n v="47940.92"/>
    <n v="14056"/>
    <n v="570.73"/>
    <n v="0"/>
    <n v="47370.189999999995"/>
    <n v="570.73"/>
    <n v="54260"/>
    <n v="570.73"/>
    <n v="0"/>
    <n v="570.73"/>
    <s v="P"/>
    <m/>
    <m/>
    <n v="0"/>
    <x v="2"/>
    <s v="MSW Carts"/>
    <n v="4"/>
    <n v="2024"/>
    <n v="2031"/>
    <n v="2031.3333333333333"/>
    <n v="570.72523809523807"/>
    <n v="6848.7028571428564"/>
    <n v="6848.7028571428564"/>
    <n v="0"/>
    <n v="6848.7028571428564"/>
    <n v="41092.217142857146"/>
    <s v="No"/>
  </r>
  <r>
    <n v="2183"/>
    <n v="404222"/>
    <n v="400327"/>
    <s v="Capitalized"/>
    <s v="Decals for truck # 1099"/>
    <m/>
    <m/>
    <n v="1"/>
    <m/>
    <n v="0"/>
    <m/>
    <m/>
    <s v="TRUCKS AND TRAILERS"/>
    <s v="REAR LOADER"/>
    <s v="Rear Loader"/>
    <m/>
    <m/>
    <d v="2024-01-25T00:00:00"/>
    <d v="2024-01-25T00:00:00"/>
    <s v="2183-24-0010-1"/>
    <n v="1000"/>
    <n v="14040"/>
    <n v="818.51"/>
    <n v="14046"/>
    <n v="20.46"/>
    <n v="0"/>
    <n v="798.05"/>
    <n v="20.46"/>
    <n v="51260"/>
    <n v="6.82"/>
    <n v="0"/>
    <n v="6.82"/>
    <s v="P"/>
    <m/>
    <m/>
    <n v="1099"/>
    <x v="1"/>
    <s v="Res/Comm MSW Truck"/>
    <n v="1"/>
    <n v="2024"/>
    <n v="2034"/>
    <n v="2034.0833333333333"/>
    <n v="6.8209166666666663"/>
    <n v="81.850999999999999"/>
    <n v="81.850999999999999"/>
    <n v="0"/>
    <n v="81.850999999999999"/>
    <n v="736.65899999999999"/>
    <s v="No"/>
  </r>
  <r>
    <n v="2183"/>
    <n v="402704"/>
    <n v="400327"/>
    <s v="Capitalized"/>
    <s v="Radio for truck #1099"/>
    <m/>
    <m/>
    <n v="1"/>
    <m/>
    <n v="0"/>
    <m/>
    <s v="N/A"/>
    <s v="TRUCKS AND TRAILERS"/>
    <s v="REAR LOADER"/>
    <m/>
    <m/>
    <m/>
    <d v="2024-01-25T00:00:00"/>
    <d v="2024-01-25T00:00:00"/>
    <s v="2183-24-0010-1"/>
    <n v="500"/>
    <n v="14040"/>
    <n v="793.88"/>
    <n v="14046"/>
    <n v="39.69"/>
    <n v="0"/>
    <n v="754.19"/>
    <n v="39.69"/>
    <n v="51260"/>
    <n v="13.23"/>
    <n v="0"/>
    <n v="13.23"/>
    <s v="P"/>
    <m/>
    <m/>
    <n v="1099"/>
    <x v="1"/>
    <s v="Res/Comm MSW Truck"/>
    <n v="1"/>
    <n v="2024"/>
    <n v="2029"/>
    <n v="2029.0833333333333"/>
    <n v="13.231333333333334"/>
    <n v="158.77600000000001"/>
    <n v="158.77600000000001"/>
    <n v="0"/>
    <n v="158.77600000000001"/>
    <n v="635.10400000000004"/>
    <s v="No"/>
  </r>
  <r>
    <n v="2183"/>
    <n v="402006"/>
    <n v="400327"/>
    <s v="Capitalized"/>
    <s v="2024 Peterbilt REL Truck - Body - Rollover 2183-23-0005"/>
    <m/>
    <m/>
    <n v="1"/>
    <s v="3BPDLK0X6RF116299"/>
    <n v="2024"/>
    <m/>
    <s v="N/A"/>
    <s v="TRUCKS AND TRAILERS"/>
    <s v="REAR LOADER"/>
    <s v="Rear Loader"/>
    <m/>
    <m/>
    <d v="2024-01-25T00:00:00"/>
    <d v="2024-01-25T00:00:00"/>
    <s v="2183-24-0010-1"/>
    <n v="1000"/>
    <n v="14040"/>
    <n v="135907.01999999999"/>
    <n v="14046"/>
    <n v="3397.68"/>
    <n v="0"/>
    <n v="132509.34"/>
    <n v="3397.68"/>
    <n v="51260"/>
    <n v="1132.56"/>
    <n v="0"/>
    <n v="1132.56"/>
    <s v="P"/>
    <m/>
    <m/>
    <n v="1099"/>
    <x v="1"/>
    <s v="Res/Comm MSW Truck"/>
    <n v="1"/>
    <n v="2024"/>
    <n v="2034"/>
    <n v="2034.0833333333333"/>
    <n v="1132.5584999999999"/>
    <n v="13590.701999999997"/>
    <n v="13590.701999999997"/>
    <n v="0"/>
    <n v="13590.701999999997"/>
    <n v="122316.318"/>
    <s v="No"/>
  </r>
  <r>
    <n v="2183"/>
    <n v="400327"/>
    <s v="P"/>
    <s v="Capitalized"/>
    <s v="2024 Peterbilt REL Truck"/>
    <m/>
    <m/>
    <n v="1"/>
    <s v="3BPDLK0X6RF116299"/>
    <n v="0"/>
    <s v="PO BOX 24065"/>
    <m/>
    <s v="TRUCKS AND TRAILERS"/>
    <s v="TBA"/>
    <m/>
    <m/>
    <m/>
    <d v="2024-01-25T00:00:00"/>
    <d v="2023-09-08T00:00:00"/>
    <s v="2183-23-0005-1"/>
    <n v="1000"/>
    <n v="14040"/>
    <n v="232796.23"/>
    <n v="14046"/>
    <n v="5819.91"/>
    <n v="0"/>
    <n v="226976.32"/>
    <n v="5819.91"/>
    <n v="51260"/>
    <n v="1939.97"/>
    <n v="0"/>
    <n v="1939.97"/>
    <s v="P"/>
    <m/>
    <m/>
    <n v="1099"/>
    <x v="1"/>
    <s v="Res/Comm MSW Truck"/>
    <n v="1"/>
    <n v="2024"/>
    <n v="2034"/>
    <n v="2034.0833333333333"/>
    <n v="1939.9685833333333"/>
    <n v="23279.623"/>
    <n v="23279.623"/>
    <n v="0"/>
    <n v="23279.623"/>
    <n v="209516.60700000002"/>
    <s v="No"/>
  </r>
  <r>
    <n v="2183"/>
    <n v="403557"/>
    <s v="P"/>
    <s v="Capitalized"/>
    <s v="2 YD REL Container"/>
    <m/>
    <m/>
    <n v="2"/>
    <m/>
    <n v="0"/>
    <m/>
    <m/>
    <s v="CONTAINERS"/>
    <s v="REL METAL"/>
    <m/>
    <m/>
    <m/>
    <d v="2024-01-02T00:00:00"/>
    <d v="2024-01-02T00:00:00"/>
    <s v="2183-23-0024-3"/>
    <n v="1200"/>
    <n v="14050"/>
    <n v="1730.1"/>
    <n v="14056"/>
    <n v="48.04"/>
    <n v="0"/>
    <n v="1682.06"/>
    <n v="48.04"/>
    <n v="54260"/>
    <n v="12.01"/>
    <n v="0"/>
    <n v="12.01"/>
    <s v="P"/>
    <m/>
    <m/>
    <n v="0"/>
    <x v="3"/>
    <s v="Containers"/>
    <n v="1"/>
    <n v="2024"/>
    <n v="2036"/>
    <n v="2036.0833333333333"/>
    <n v="12.014583333333333"/>
    <n v="144.17499999999998"/>
    <n v="144.17499999999998"/>
    <n v="0"/>
    <n v="144.17499999999998"/>
    <n v="1585.925"/>
    <s v="No"/>
  </r>
  <r>
    <n v="2183"/>
    <n v="403550"/>
    <s v="P"/>
    <s v="Capitalized"/>
    <s v="95 Gal Carts"/>
    <m/>
    <m/>
    <n v="702"/>
    <m/>
    <n v="0"/>
    <m/>
    <m/>
    <s v="CONTAINERS"/>
    <s v="CARTS PLASTIC"/>
    <m/>
    <m/>
    <m/>
    <d v="2024-03-05T00:00:00"/>
    <d v="2024-03-05T00:00:00"/>
    <s v="2183-24-0014-4"/>
    <n v="700"/>
    <n v="14050"/>
    <n v="38196.21"/>
    <n v="14056"/>
    <n v="909.44"/>
    <n v="0"/>
    <n v="37286.769999999997"/>
    <n v="909.44"/>
    <n v="54260"/>
    <n v="454.72"/>
    <n v="0"/>
    <n v="454.72"/>
    <s v="P"/>
    <m/>
    <m/>
    <n v="0"/>
    <x v="4"/>
    <s v="YW Carts"/>
    <n v="3"/>
    <n v="2024"/>
    <n v="2031"/>
    <n v="2031.25"/>
    <n v="454.71678571428566"/>
    <n v="5456.6014285714282"/>
    <n v="5456.6014285714282"/>
    <n v="0"/>
    <n v="5456.6014285714282"/>
    <n v="32739.608571428573"/>
    <s v="No"/>
  </r>
  <r>
    <n v="2183"/>
    <n v="403497"/>
    <s v="P"/>
    <s v="Capitalized"/>
    <s v="65 Gal Carts"/>
    <m/>
    <m/>
    <n v="702"/>
    <m/>
    <n v="0"/>
    <m/>
    <m/>
    <s v="CONTAINERS"/>
    <s v="CARTS PLASTIC"/>
    <m/>
    <m/>
    <m/>
    <d v="2024-03-04T00:00:00"/>
    <d v="2024-03-04T00:00:00"/>
    <s v="2183-24-0014-3"/>
    <n v="700"/>
    <n v="14050"/>
    <n v="38196.21"/>
    <n v="14056"/>
    <n v="909.44"/>
    <n v="0"/>
    <n v="37286.769999999997"/>
    <n v="909.44"/>
    <n v="54260"/>
    <n v="454.72"/>
    <n v="0"/>
    <n v="454.72"/>
    <s v="P"/>
    <m/>
    <m/>
    <n v="0"/>
    <x v="5"/>
    <s v="Recycling Carts"/>
    <n v="3"/>
    <n v="2024"/>
    <n v="2031"/>
    <n v="2031.25"/>
    <n v="454.71678571428566"/>
    <n v="5456.6014285714282"/>
    <n v="5456.6014285714282"/>
    <n v="0"/>
    <n v="5456.6014285714282"/>
    <n v="32739.608571428573"/>
    <s v="No"/>
  </r>
  <r>
    <n v="2183"/>
    <n v="407354"/>
    <n v="400330"/>
    <s v="Capitalized"/>
    <s v="Overweight Permit for Truck #1100"/>
    <m/>
    <m/>
    <n v="1"/>
    <s v="3BPDLK0X9RF116300"/>
    <n v="0"/>
    <m/>
    <m/>
    <s v="TRUCKS AND TRAILERS"/>
    <s v="REAR LOADER"/>
    <s v="Rear Loader"/>
    <m/>
    <m/>
    <d v="2024-01-25T00:00:00"/>
    <d v="2024-01-25T00:00:00"/>
    <s v="2183-24-0011-1"/>
    <n v="1000"/>
    <n v="14040"/>
    <n v="346.08"/>
    <n v="14046"/>
    <n v="8.64"/>
    <n v="0"/>
    <n v="337.44"/>
    <n v="8.64"/>
    <n v="51260"/>
    <n v="2.88"/>
    <n v="5.76"/>
    <n v="8.64"/>
    <s v="P"/>
    <m/>
    <m/>
    <n v="1100"/>
    <x v="1"/>
    <s v="Res/Comm MSW Truck"/>
    <n v="1"/>
    <n v="2024"/>
    <n v="2034"/>
    <n v="2034.0833333333333"/>
    <n v="2.8839999999999999"/>
    <n v="34.607999999999997"/>
    <n v="34.607999999999997"/>
    <n v="0"/>
    <n v="34.607999999999997"/>
    <n v="311.47199999999998"/>
    <s v="No"/>
  </r>
  <r>
    <n v="2183"/>
    <n v="404921"/>
    <n v="400330"/>
    <s v="Capitalized"/>
    <s v="License for truck #1100"/>
    <m/>
    <m/>
    <n v="1"/>
    <s v="3BPDLK0X9RF116300"/>
    <n v="0"/>
    <m/>
    <m/>
    <s v="TRUCKS AND TRAILERS"/>
    <s v="REAR LOADER"/>
    <s v="Rear Loader"/>
    <m/>
    <m/>
    <d v="2024-01-25T00:00:00"/>
    <d v="2024-01-25T00:00:00"/>
    <s v="2183-24-0011-1"/>
    <n v="1000"/>
    <n v="14040"/>
    <n v="930.86"/>
    <n v="14046"/>
    <n v="23.28"/>
    <n v="0"/>
    <n v="907.58"/>
    <n v="23.28"/>
    <n v="51260"/>
    <n v="7.76"/>
    <n v="0"/>
    <n v="7.76"/>
    <s v="P"/>
    <m/>
    <m/>
    <n v="1100"/>
    <x v="1"/>
    <s v="Res/Comm MSW Truck"/>
    <n v="1"/>
    <n v="2024"/>
    <n v="2034"/>
    <n v="2034.0833333333333"/>
    <n v="7.7571666666666665"/>
    <n v="93.085999999999999"/>
    <n v="93.085999999999999"/>
    <n v="0"/>
    <n v="93.085999999999999"/>
    <n v="837.774"/>
    <s v="No"/>
  </r>
  <r>
    <n v="2183"/>
    <n v="404253"/>
    <n v="400330"/>
    <s v="Capitalized"/>
    <s v="Decals for truck # 1100"/>
    <m/>
    <m/>
    <n v="1"/>
    <m/>
    <n v="0"/>
    <m/>
    <m/>
    <s v="TRUCKS AND TRAILERS"/>
    <s v="REAR LOADER"/>
    <s v="Rear Loader"/>
    <m/>
    <m/>
    <d v="2024-01-25T00:00:00"/>
    <d v="2024-01-25T00:00:00"/>
    <s v="2183-24-0011-1"/>
    <n v="1000"/>
    <n v="14040"/>
    <n v="818.52"/>
    <n v="14046"/>
    <n v="20.46"/>
    <n v="0"/>
    <n v="798.06"/>
    <n v="20.46"/>
    <n v="51260"/>
    <n v="6.82"/>
    <n v="0"/>
    <n v="6.82"/>
    <s v="P"/>
    <m/>
    <m/>
    <n v="1100"/>
    <x v="1"/>
    <s v="Res/Comm MSW Truck"/>
    <n v="1"/>
    <n v="2024"/>
    <n v="2034"/>
    <n v="2034.0833333333333"/>
    <n v="6.8210000000000006"/>
    <n v="81.852000000000004"/>
    <n v="81.852000000000004"/>
    <n v="0"/>
    <n v="81.852000000000004"/>
    <n v="736.66800000000001"/>
    <s v="No"/>
  </r>
  <r>
    <n v="2183"/>
    <n v="402700"/>
    <n v="400330"/>
    <s v="Capitalized"/>
    <s v="Radio for truck #1100"/>
    <m/>
    <m/>
    <n v="1"/>
    <m/>
    <n v="0"/>
    <m/>
    <s v="N/A"/>
    <s v="TRUCKS AND TRAILERS"/>
    <s v="REAR LOADER"/>
    <s v="Rear Loader"/>
    <m/>
    <m/>
    <d v="2024-01-25T00:00:00"/>
    <d v="2024-01-25T00:00:00"/>
    <s v="2183-24-0011-1"/>
    <n v="500"/>
    <n v="14040"/>
    <n v="793.87"/>
    <n v="14046"/>
    <n v="39.69"/>
    <n v="0"/>
    <n v="754.18000000000006"/>
    <n v="39.69"/>
    <n v="51260"/>
    <n v="13.23"/>
    <n v="0"/>
    <n v="13.23"/>
    <s v="P"/>
    <m/>
    <m/>
    <n v="1100"/>
    <x v="1"/>
    <s v="Res/Comm MSW Truck"/>
    <n v="1"/>
    <n v="2024"/>
    <n v="2029"/>
    <n v="2029.0833333333333"/>
    <n v="13.231166666666667"/>
    <n v="158.774"/>
    <n v="158.774"/>
    <n v="0"/>
    <n v="158.774"/>
    <n v="635.096"/>
    <s v="No"/>
  </r>
  <r>
    <n v="2183"/>
    <n v="401993"/>
    <n v="318746"/>
    <s v="Capitalized"/>
    <s v="2024 Peterbilt Hook Lift Truck - Body"/>
    <m/>
    <m/>
    <n v="1"/>
    <s v="2NPMHJ7X4RM604937"/>
    <n v="2024"/>
    <m/>
    <s v="N/A"/>
    <s v="TRUCKS AND TRAILERS"/>
    <s v="HOOKLIFT"/>
    <s v="Hooklift"/>
    <m/>
    <m/>
    <d v="2024-01-02T00:00:00"/>
    <d v="2024-01-02T00:00:00"/>
    <s v="2183-23-0011-1"/>
    <n v="1000"/>
    <n v="14040"/>
    <n v="62300.03"/>
    <n v="14046"/>
    <n v="2076.6799999999998"/>
    <n v="0"/>
    <n v="60223.35"/>
    <n v="2076.6799999999998"/>
    <n v="51260"/>
    <n v="519.16999999999996"/>
    <n v="0"/>
    <n v="519.16999999999996"/>
    <s v="P"/>
    <m/>
    <m/>
    <s v="4524"/>
    <x v="6"/>
    <s v="Roll Off Truck"/>
    <n v="1"/>
    <n v="2024"/>
    <n v="2034"/>
    <n v="2034.0833333333333"/>
    <n v="519.16691666666668"/>
    <n v="6230.0030000000006"/>
    <n v="6230.0030000000006"/>
    <n v="0"/>
    <n v="6230.0030000000006"/>
    <n v="56070.027000000002"/>
    <s v="No"/>
  </r>
  <r>
    <n v="2183"/>
    <n v="401006"/>
    <s v="P"/>
    <s v="Capitalized"/>
    <s v="Pressure Washer"/>
    <m/>
    <m/>
    <n v="1"/>
    <m/>
    <n v="0"/>
    <s v="AMB Tools"/>
    <m/>
    <s v="SHOP EQUIPMENT"/>
    <s v="TBA"/>
    <s v="Power Washer"/>
    <m/>
    <m/>
    <d v="2024-01-02T00:00:00"/>
    <d v="2024-01-02T00:00:00"/>
    <s v="2183-23-0028-1"/>
    <n v="500"/>
    <n v="14070"/>
    <n v="12826.51"/>
    <n v="14076"/>
    <n v="855.12"/>
    <n v="0"/>
    <n v="11971.39"/>
    <n v="855.12"/>
    <n v="51260"/>
    <n v="213.78"/>
    <n v="0"/>
    <n v="213.78"/>
    <s v="P"/>
    <m/>
    <m/>
    <n v="0"/>
    <x v="7"/>
    <s v="Shop Equipment"/>
    <n v="1"/>
    <n v="2024"/>
    <n v="2029"/>
    <n v="2029.0833333333333"/>
    <n v="213.77516666666668"/>
    <n v="2565.3020000000001"/>
    <n v="2565.3020000000001"/>
    <n v="0"/>
    <n v="2565.3020000000001"/>
    <n v="10261.208000000001"/>
    <s v="No"/>
  </r>
  <r>
    <n v="2183"/>
    <n v="400963"/>
    <n v="318746"/>
    <s v="Capitalized"/>
    <s v="License Truck #4524"/>
    <m/>
    <m/>
    <n v="1"/>
    <m/>
    <n v="0"/>
    <s v="WA DOL"/>
    <m/>
    <s v="TRUCKS AND TRAILERS"/>
    <s v="HOOKLIFT"/>
    <s v="Uninsured"/>
    <m/>
    <m/>
    <d v="2024-01-02T00:00:00"/>
    <d v="2024-01-02T00:00:00"/>
    <s v="2183-23-0011-1"/>
    <n v="1000"/>
    <n v="14040"/>
    <n v="545.13"/>
    <n v="14046"/>
    <n v="18.16"/>
    <n v="0"/>
    <n v="526.97"/>
    <n v="18.16"/>
    <n v="51260"/>
    <n v="4.54"/>
    <n v="0"/>
    <n v="4.54"/>
    <s v="P"/>
    <m/>
    <m/>
    <n v="4524"/>
    <x v="6"/>
    <s v="Roll Off Truck"/>
    <n v="1"/>
    <n v="2024"/>
    <n v="2034"/>
    <n v="2034.0833333333333"/>
    <n v="4.5427499999999998"/>
    <n v="54.512999999999998"/>
    <n v="54.512999999999998"/>
    <n v="0"/>
    <n v="54.512999999999998"/>
    <n v="490.61700000000002"/>
    <s v="No"/>
  </r>
  <r>
    <n v="2183"/>
    <n v="400957"/>
    <n v="318746"/>
    <s v="Capitalized"/>
    <s v="Decals for Truck #4524"/>
    <m/>
    <m/>
    <n v="1"/>
    <m/>
    <n v="0"/>
    <s v="LARSEN SIGN"/>
    <m/>
    <s v="TRUCKS AND TRAILERS"/>
    <s v="HOOKLIFT"/>
    <s v="Uninsured"/>
    <m/>
    <m/>
    <d v="2024-01-02T00:00:00"/>
    <d v="2024-01-02T00:00:00"/>
    <s v="2183-23-0011-1"/>
    <n v="1000"/>
    <n v="14040"/>
    <n v="312.08"/>
    <n v="14046"/>
    <n v="10.4"/>
    <n v="0"/>
    <n v="301.68"/>
    <n v="10.4"/>
    <n v="51260"/>
    <n v="2.6"/>
    <n v="0"/>
    <n v="2.6"/>
    <s v="P"/>
    <m/>
    <m/>
    <n v="4524"/>
    <x v="6"/>
    <s v="Roll Off Truck"/>
    <n v="1"/>
    <n v="2024"/>
    <n v="2034"/>
    <n v="2034.0833333333333"/>
    <n v="2.6006666666666667"/>
    <n v="31.207999999999998"/>
    <n v="31.207999999999998"/>
    <n v="0"/>
    <n v="31.207999999999998"/>
    <n v="280.87199999999996"/>
    <s v="No"/>
  </r>
  <r>
    <n v="2183"/>
    <n v="400571"/>
    <s v="P"/>
    <s v="Capitalized"/>
    <s v="6 YD FEL Container"/>
    <m/>
    <m/>
    <n v="10"/>
    <m/>
    <n v="0"/>
    <s v="2525 TARPON RD"/>
    <m/>
    <s v="CONTAINERS"/>
    <s v="FEL METAL"/>
    <m/>
    <s v="6 YD"/>
    <s v="FEL/REL/SL Metal"/>
    <d v="2024-01-02T00:00:00"/>
    <d v="2024-01-02T00:00:00"/>
    <s v="2183-23-0025-1"/>
    <n v="1200"/>
    <n v="14050"/>
    <n v="14541.6"/>
    <n v="14056"/>
    <n v="403.92"/>
    <n v="0"/>
    <n v="14137.68"/>
    <n v="403.92"/>
    <n v="54260"/>
    <n v="100.98"/>
    <n v="0"/>
    <n v="100.98"/>
    <s v="P"/>
    <m/>
    <m/>
    <n v="0"/>
    <x v="3"/>
    <s v="Containers"/>
    <n v="1"/>
    <n v="2024"/>
    <n v="2036"/>
    <n v="2036.0833333333333"/>
    <n v="100.98333333333333"/>
    <n v="1211.8"/>
    <n v="1211.8"/>
    <n v="0"/>
    <n v="1211.8"/>
    <n v="13329.800000000001"/>
    <s v="No"/>
  </r>
  <r>
    <n v="2183"/>
    <n v="400570"/>
    <s v="P"/>
    <s v="Capitalized"/>
    <s v="1.5 YD REL Container"/>
    <m/>
    <m/>
    <n v="5"/>
    <m/>
    <n v="0"/>
    <s v="PO BOX 80983"/>
    <m/>
    <s v="CONTAINERS"/>
    <s v="REL METAL"/>
    <m/>
    <s v="1.5 YD"/>
    <s v="FEL/REL/SL Metal"/>
    <d v="2024-01-02T00:00:00"/>
    <d v="2024-01-02T00:00:00"/>
    <s v="2183-23-0024-2"/>
    <n v="1200"/>
    <n v="14050"/>
    <n v="4188.38"/>
    <n v="14056"/>
    <n v="116.36"/>
    <n v="0"/>
    <n v="4072.02"/>
    <n v="116.36"/>
    <n v="54260"/>
    <n v="29.09"/>
    <n v="0"/>
    <n v="29.09"/>
    <s v="P"/>
    <m/>
    <m/>
    <n v="0"/>
    <x v="3"/>
    <s v="Containers"/>
    <n v="1"/>
    <n v="2024"/>
    <n v="2036"/>
    <n v="2036.0833333333333"/>
    <n v="29.085972222222225"/>
    <n v="349.03166666666669"/>
    <n v="349.03166666666669"/>
    <n v="0"/>
    <n v="349.03166666666669"/>
    <n v="3839.3483333333334"/>
    <s v="No"/>
  </r>
  <r>
    <n v="2183"/>
    <n v="400569"/>
    <s v="P"/>
    <s v="Capitalized"/>
    <s v="1.5 YD REL Container"/>
    <m/>
    <m/>
    <n v="5"/>
    <m/>
    <n v="0"/>
    <s v="PO BOX 80983"/>
    <m/>
    <s v="CONTAINERS"/>
    <s v="REL METAL"/>
    <m/>
    <s v="1.5 YD"/>
    <s v="FEL/REL/SL Metal"/>
    <d v="2024-01-02T00:00:00"/>
    <d v="2024-01-02T00:00:00"/>
    <s v="2183-23-0024-2"/>
    <n v="1200"/>
    <n v="14050"/>
    <n v="4188.38"/>
    <n v="14056"/>
    <n v="116.36"/>
    <n v="0"/>
    <n v="4072.02"/>
    <n v="116.36"/>
    <n v="54260"/>
    <n v="29.09"/>
    <n v="0"/>
    <n v="29.09"/>
    <s v="P"/>
    <m/>
    <m/>
    <n v="0"/>
    <x v="3"/>
    <s v="Containers"/>
    <n v="1"/>
    <n v="2024"/>
    <n v="2036"/>
    <n v="2036.0833333333333"/>
    <n v="29.085972222222225"/>
    <n v="349.03166666666669"/>
    <n v="349.03166666666669"/>
    <n v="0"/>
    <n v="349.03166666666669"/>
    <n v="3839.3483333333334"/>
    <s v="No"/>
  </r>
  <r>
    <n v="2183"/>
    <n v="400568"/>
    <s v="P"/>
    <s v="Capitalized"/>
    <s v="4 YD FEL Container"/>
    <m/>
    <m/>
    <n v="5"/>
    <m/>
    <n v="0"/>
    <s v="PO BOX 80983"/>
    <m/>
    <s v="CONTAINERS"/>
    <s v="FEL METAL"/>
    <m/>
    <s v="4 YD"/>
    <s v="FEL/REL/SL Metal"/>
    <d v="2024-01-02T00:00:00"/>
    <d v="2024-01-02T00:00:00"/>
    <s v="2183-23-0024-4"/>
    <n v="1200"/>
    <n v="14050"/>
    <n v="6077.25"/>
    <n v="14056"/>
    <n v="168.8"/>
    <n v="0"/>
    <n v="5908.45"/>
    <n v="168.8"/>
    <n v="54260"/>
    <n v="42.2"/>
    <n v="0"/>
    <n v="42.2"/>
    <s v="P"/>
    <m/>
    <m/>
    <n v="0"/>
    <x v="3"/>
    <s v="Containers"/>
    <n v="1"/>
    <n v="2024"/>
    <n v="2036"/>
    <n v="2036.0833333333333"/>
    <n v="42.203125"/>
    <n v="506.4375"/>
    <n v="506.4375"/>
    <n v="0"/>
    <n v="506.4375"/>
    <n v="5570.8125"/>
    <s v="No"/>
  </r>
  <r>
    <n v="2183"/>
    <n v="400567"/>
    <s v="P"/>
    <s v="Capitalized"/>
    <s v="2 YD REL Container"/>
    <m/>
    <m/>
    <n v="8"/>
    <m/>
    <n v="0"/>
    <s v="PO BOX 80983"/>
    <m/>
    <s v="CONTAINERS"/>
    <s v="REL METAL"/>
    <m/>
    <s v="2 YD"/>
    <s v="FEL/REL/SL Metal"/>
    <d v="2024-01-02T00:00:00"/>
    <d v="2024-01-02T00:00:00"/>
    <s v="2183-23-0024-3"/>
    <n v="1200"/>
    <n v="14050"/>
    <n v="6920.4"/>
    <n v="14056"/>
    <n v="192.24"/>
    <n v="0"/>
    <n v="6728.16"/>
    <n v="192.24"/>
    <n v="54260"/>
    <n v="48.06"/>
    <n v="0"/>
    <n v="48.06"/>
    <s v="P"/>
    <m/>
    <m/>
    <n v="0"/>
    <x v="3"/>
    <s v="Containers"/>
    <n v="1"/>
    <n v="2024"/>
    <n v="2036"/>
    <n v="2036.0833333333333"/>
    <n v="48.05833333333333"/>
    <n v="576.69999999999993"/>
    <n v="576.69999999999993"/>
    <n v="0"/>
    <n v="576.69999999999993"/>
    <n v="6343.7"/>
    <s v="No"/>
  </r>
  <r>
    <n v="2183"/>
    <n v="400566"/>
    <s v="P"/>
    <s v="Capitalized"/>
    <s v="2 YD REL Container"/>
    <m/>
    <m/>
    <n v="5"/>
    <m/>
    <n v="0"/>
    <s v="PO BOX 80983"/>
    <m/>
    <s v="CONTAINERS"/>
    <s v="REL METAL"/>
    <m/>
    <s v="2 YD"/>
    <s v="FEL/REL/SL Metal"/>
    <d v="2024-01-02T00:00:00"/>
    <d v="2024-01-02T00:00:00"/>
    <s v="2183-23-0024-3"/>
    <n v="1200"/>
    <n v="14050"/>
    <n v="4325.25"/>
    <n v="14056"/>
    <n v="120.16"/>
    <n v="0"/>
    <n v="4205.09"/>
    <n v="120.16"/>
    <n v="54260"/>
    <n v="30.04"/>
    <n v="0"/>
    <n v="30.04"/>
    <s v="P"/>
    <m/>
    <m/>
    <n v="0"/>
    <x v="3"/>
    <s v="Containers"/>
    <n v="1"/>
    <n v="2024"/>
    <n v="2036"/>
    <n v="2036.0833333333333"/>
    <n v="30.036458333333332"/>
    <n v="360.4375"/>
    <n v="360.4375"/>
    <n v="0"/>
    <n v="360.4375"/>
    <n v="3964.8125"/>
    <s v="No"/>
  </r>
  <r>
    <n v="2183"/>
    <n v="400565"/>
    <s v="P"/>
    <s v="Capitalized"/>
    <s v="4 YD FEL Container"/>
    <m/>
    <m/>
    <n v="10"/>
    <m/>
    <n v="0"/>
    <s v="PO BOX 80983"/>
    <m/>
    <s v="CONTAINERS"/>
    <s v="FEL METAL"/>
    <m/>
    <s v="4 YD"/>
    <s v="FEL/REL/SL Metal"/>
    <d v="2024-01-02T00:00:00"/>
    <d v="2024-01-02T00:00:00"/>
    <s v="2183-23-0024-4"/>
    <n v="1200"/>
    <n v="14050"/>
    <n v="12154.5"/>
    <n v="14056"/>
    <n v="337.64"/>
    <n v="0"/>
    <n v="11816.86"/>
    <n v="337.64"/>
    <n v="54260"/>
    <n v="84.41"/>
    <n v="0"/>
    <n v="84.41"/>
    <s v="P"/>
    <m/>
    <m/>
    <n v="0"/>
    <x v="3"/>
    <s v="Containers"/>
    <n v="1"/>
    <n v="2024"/>
    <n v="2036"/>
    <n v="2036.0833333333333"/>
    <n v="84.40625"/>
    <n v="1012.875"/>
    <n v="1012.875"/>
    <n v="0"/>
    <n v="1012.875"/>
    <n v="11141.625"/>
    <s v="No"/>
  </r>
  <r>
    <n v="2183"/>
    <n v="400564"/>
    <s v="P"/>
    <s v="Capitalized"/>
    <s v="5 YD FEL Container"/>
    <m/>
    <m/>
    <n v="10"/>
    <m/>
    <n v="0"/>
    <s v="PO BOX 80983"/>
    <m/>
    <s v="CONTAINERS"/>
    <s v="FEL METAL"/>
    <m/>
    <s v="5 YD"/>
    <s v="FEL/REL/SL Metal"/>
    <d v="2024-01-02T00:00:00"/>
    <d v="2024-01-02T00:00:00"/>
    <s v="2183-23-0024-5"/>
    <n v="1200"/>
    <n v="14050"/>
    <n v="15330"/>
    <n v="14056"/>
    <n v="425.84"/>
    <n v="0"/>
    <n v="14904.16"/>
    <n v="425.84"/>
    <n v="54260"/>
    <n v="106.46"/>
    <n v="0"/>
    <n v="106.46"/>
    <s v="P"/>
    <m/>
    <m/>
    <n v="0"/>
    <x v="3"/>
    <s v="Containers"/>
    <n v="1"/>
    <n v="2024"/>
    <n v="2036"/>
    <n v="2036.0833333333333"/>
    <n v="106.45833333333333"/>
    <n v="1277.5"/>
    <n v="1277.5"/>
    <n v="0"/>
    <n v="1277.5"/>
    <n v="14052.5"/>
    <s v="No"/>
  </r>
  <r>
    <n v="2183"/>
    <n v="400563"/>
    <s v="P"/>
    <s v="Capitalized"/>
    <s v="1 YD REL Container"/>
    <m/>
    <m/>
    <n v="10"/>
    <m/>
    <n v="0"/>
    <s v="PO BOX 80983"/>
    <m/>
    <s v="CONTAINERS"/>
    <s v="REL METAL"/>
    <m/>
    <s v="1 YD"/>
    <s v="FEL/REL/SL Metal"/>
    <d v="2024-01-02T00:00:00"/>
    <d v="2024-01-02T00:00:00"/>
    <s v="2183-23-0024-1"/>
    <n v="1200"/>
    <n v="14050"/>
    <n v="8103"/>
    <n v="14056"/>
    <n v="225.08"/>
    <n v="0"/>
    <n v="7877.92"/>
    <n v="225.08"/>
    <n v="54260"/>
    <n v="56.27"/>
    <n v="0"/>
    <n v="56.27"/>
    <s v="P"/>
    <m/>
    <m/>
    <n v="0"/>
    <x v="3"/>
    <s v="Containers"/>
    <n v="1"/>
    <n v="2024"/>
    <n v="2036"/>
    <n v="2036.0833333333333"/>
    <n v="56.270833333333336"/>
    <n v="675.25"/>
    <n v="675.25"/>
    <n v="0"/>
    <n v="675.25"/>
    <n v="7427.75"/>
    <s v="No"/>
  </r>
  <r>
    <n v="2183"/>
    <n v="400562"/>
    <s v="P"/>
    <s v="Capitalized"/>
    <s v="5 YD FEL Container"/>
    <m/>
    <m/>
    <n v="5"/>
    <m/>
    <n v="0"/>
    <s v="PO BOX 80983"/>
    <m/>
    <s v="CONTAINERS"/>
    <s v="FEL METAL"/>
    <m/>
    <s v="5 YD"/>
    <s v="FEL/REL/SL Metal"/>
    <d v="2024-01-02T00:00:00"/>
    <d v="2024-01-02T00:00:00"/>
    <s v="2183-23-0024-5"/>
    <n v="1200"/>
    <n v="14050"/>
    <n v="7665"/>
    <n v="14056"/>
    <n v="212.92"/>
    <n v="0"/>
    <n v="7452.08"/>
    <n v="212.92"/>
    <n v="54260"/>
    <n v="53.23"/>
    <n v="0"/>
    <n v="53.23"/>
    <s v="P"/>
    <m/>
    <m/>
    <n v="0"/>
    <x v="3"/>
    <s v="Containers"/>
    <n v="1"/>
    <n v="2024"/>
    <n v="2036"/>
    <n v="2036.0833333333333"/>
    <n v="53.229166666666664"/>
    <n v="638.75"/>
    <n v="638.75"/>
    <n v="0"/>
    <n v="638.75"/>
    <n v="7026.25"/>
    <s v="No"/>
  </r>
  <r>
    <n v="2183"/>
    <n v="402007"/>
    <n v="400330"/>
    <s v="Capitalized"/>
    <s v="2024 Peterbilt REL Truck - Body - Rollover 2183-23-0006"/>
    <m/>
    <m/>
    <n v="1"/>
    <s v="3BPDLK0X9RF116300"/>
    <n v="2024"/>
    <m/>
    <s v="N/A"/>
    <s v="TRUCKS AND TRAILERS"/>
    <s v="REAR LOADER"/>
    <s v="Rear Loader"/>
    <m/>
    <m/>
    <d v="2024-01-25T00:00:00"/>
    <d v="2024-01-25T00:00:00"/>
    <s v="2183-24-0011-1"/>
    <n v="1000"/>
    <n v="14040"/>
    <n v="135907.01999999999"/>
    <n v="14046"/>
    <n v="3397.68"/>
    <n v="0"/>
    <n v="132509.34"/>
    <n v="3397.68"/>
    <n v="51260"/>
    <n v="1132.56"/>
    <n v="0"/>
    <n v="1132.56"/>
    <s v="P"/>
    <m/>
    <m/>
    <n v="1100"/>
    <x v="1"/>
    <s v="Res/Comm MSW Truck"/>
    <n v="1"/>
    <n v="2024"/>
    <n v="2034"/>
    <n v="2034.0833333333333"/>
    <n v="1132.5584999999999"/>
    <n v="13590.701999999997"/>
    <n v="13590.701999999997"/>
    <n v="0"/>
    <n v="13590.701999999997"/>
    <n v="122316.318"/>
    <s v="No"/>
  </r>
  <r>
    <n v="2183"/>
    <n v="400330"/>
    <s v="P"/>
    <s v="Capitalized"/>
    <s v="2024 Peterbilt REL Truck"/>
    <m/>
    <m/>
    <n v="1"/>
    <s v="3BPDLK0X9RF116300"/>
    <n v="0"/>
    <s v="PO BOX 24065"/>
    <m/>
    <s v="TRUCKS AND TRAILERS"/>
    <s v="TBA"/>
    <m/>
    <m/>
    <m/>
    <d v="2024-01-25T00:00:00"/>
    <d v="2023-09-08T00:00:00"/>
    <s v="2183-23-0006-1"/>
    <n v="1000"/>
    <n v="14040"/>
    <n v="232796.23"/>
    <n v="14046"/>
    <n v="5819.91"/>
    <n v="0"/>
    <n v="226976.32"/>
    <n v="5819.91"/>
    <n v="51260"/>
    <n v="1939.97"/>
    <n v="0"/>
    <n v="1939.97"/>
    <s v="P"/>
    <m/>
    <m/>
    <n v="1100"/>
    <x v="1"/>
    <s v="Res/Comm MSW Truck"/>
    <n v="1"/>
    <n v="2024"/>
    <n v="2034"/>
    <n v="2034.0833333333333"/>
    <n v="1939.9685833333333"/>
    <n v="23279.623"/>
    <n v="23279.623"/>
    <n v="0"/>
    <n v="23279.623"/>
    <n v="209516.60700000002"/>
    <s v="No"/>
  </r>
  <r>
    <n v="2183"/>
    <n v="321365"/>
    <s v="P"/>
    <s v="Capitalized"/>
    <s v="35 Gal Carts"/>
    <m/>
    <m/>
    <n v="885"/>
    <m/>
    <n v="0"/>
    <s v="FILE 2524"/>
    <m/>
    <s v="CONTAINERS"/>
    <s v="TBA"/>
    <m/>
    <m/>
    <m/>
    <d v="2023-12-14T00:00:00"/>
    <d v="2023-12-14T00:00:00"/>
    <s v="2183-23-0023-1"/>
    <n v="700"/>
    <n v="14050"/>
    <n v="39984.04"/>
    <n v="14056"/>
    <n v="2380"/>
    <n v="0"/>
    <n v="37604.04"/>
    <n v="1904"/>
    <n v="54260"/>
    <n v="476"/>
    <n v="0"/>
    <n v="476"/>
    <s v="P"/>
    <m/>
    <m/>
    <n v="0"/>
    <x v="2"/>
    <s v="MSW Carts"/>
    <n v="12"/>
    <n v="2023"/>
    <n v="2030"/>
    <n v="2031"/>
    <n v="476.00047619047615"/>
    <n v="5712.005714285714"/>
    <n v="5712.005714285714"/>
    <n v="0"/>
    <n v="5712.005714285714"/>
    <n v="34272.03428571429"/>
    <s v="No"/>
  </r>
  <r>
    <n v="2183"/>
    <n v="320949"/>
    <s v="P"/>
    <s v="Capitalized"/>
    <s v="New Fuel System"/>
    <m/>
    <m/>
    <n v="1"/>
    <m/>
    <n v="0"/>
    <m/>
    <m/>
    <s v="SHOP EQUIPMENT"/>
    <s v="TBA"/>
    <m/>
    <m/>
    <m/>
    <d v="2023-08-18T00:00:00"/>
    <d v="2023-08-18T00:00:00"/>
    <s v="2183-23-0017-1"/>
    <n v="500"/>
    <n v="14070"/>
    <n v="11742.55"/>
    <n v="14076"/>
    <n v="1565.68"/>
    <n v="0"/>
    <n v="10176.869999999999"/>
    <n v="782.84"/>
    <n v="51260"/>
    <n v="195.71"/>
    <n v="0"/>
    <n v="195.71"/>
    <s v="P"/>
    <m/>
    <m/>
    <n v="0"/>
    <x v="7"/>
    <s v="Shop Equipment"/>
    <n v="8"/>
    <n v="2023"/>
    <n v="2028"/>
    <n v="2028.6666666666667"/>
    <n v="195.70916666666665"/>
    <n v="2348.5099999999998"/>
    <n v="2348.5099999999998"/>
    <n v="0"/>
    <n v="2348.5099999999998"/>
    <n v="9394.0399999999991"/>
    <s v="No"/>
  </r>
  <r>
    <n v="2183"/>
    <n v="320863"/>
    <s v="P"/>
    <s v="Capitalized"/>
    <s v="HP USB-C G5 Essential Dock"/>
    <m/>
    <m/>
    <n v="1"/>
    <m/>
    <n v="0"/>
    <s v="CDW DIR #NF20250"/>
    <m/>
    <s v="HARDWARE AND SOFTWARE"/>
    <s v="TBA"/>
    <m/>
    <m/>
    <m/>
    <d v="2023-11-20T00:00:00"/>
    <d v="2023-11-20T00:00:00"/>
    <s v="2183-23-0030-1"/>
    <n v="300"/>
    <n v="14110"/>
    <n v="247.57"/>
    <n v="14116"/>
    <n v="34.4"/>
    <n v="0"/>
    <n v="213.17"/>
    <n v="27.52"/>
    <n v="70260"/>
    <n v="6.88"/>
    <n v="0"/>
    <n v="6.88"/>
    <s v="P"/>
    <m/>
    <m/>
    <n v="0"/>
    <x v="8"/>
    <s v="Office Equipment"/>
    <n v="11"/>
    <n v="2023"/>
    <n v="2026"/>
    <n v="2026.9166666666667"/>
    <n v="6.8769444444444439"/>
    <n v="82.523333333333326"/>
    <n v="82.523333333333326"/>
    <n v="0"/>
    <n v="82.523333333333326"/>
    <n v="165.04666666666668"/>
    <s v="No"/>
  </r>
  <r>
    <n v="2183"/>
    <n v="320862"/>
    <s v="P"/>
    <s v="Capitalized"/>
    <s v="HP ProBook 450 G10 15.6 Notebook - SN: 5CD337H630"/>
    <m/>
    <m/>
    <n v="1"/>
    <m/>
    <n v="0"/>
    <s v="CDW DIR #NF20250"/>
    <m/>
    <s v="HARDWARE AND SOFTWARE"/>
    <s v="TBA"/>
    <m/>
    <m/>
    <m/>
    <d v="2023-11-20T00:00:00"/>
    <d v="2023-11-20T00:00:00"/>
    <s v="2183-23-0030-1"/>
    <n v="300"/>
    <n v="14110"/>
    <n v="1055.3399999999999"/>
    <n v="14116"/>
    <n v="146.6"/>
    <n v="0"/>
    <n v="908.7399999999999"/>
    <n v="117.28"/>
    <n v="70260"/>
    <n v="29.32"/>
    <n v="0"/>
    <n v="29.32"/>
    <s v="P"/>
    <m/>
    <m/>
    <n v="0"/>
    <x v="8"/>
    <s v="Office Equipment"/>
    <n v="11"/>
    <n v="2023"/>
    <n v="2026"/>
    <n v="2026.9166666666667"/>
    <n v="29.314999999999998"/>
    <n v="351.78"/>
    <n v="351.78"/>
    <n v="0"/>
    <n v="351.78"/>
    <n v="703.56"/>
    <s v="No"/>
  </r>
  <r>
    <n v="2183"/>
    <n v="320834"/>
    <n v="315531"/>
    <s v="Capitalized"/>
    <s v="Decals for Truck #3737"/>
    <m/>
    <m/>
    <n v="1"/>
    <m/>
    <n v="0"/>
    <s v="LARSEN SIGN"/>
    <m/>
    <s v="TRUCKS AND TRAILERS"/>
    <s v="TBA"/>
    <s v="Non-Rolling Stock"/>
    <m/>
    <m/>
    <d v="2023-10-05T00:00:00"/>
    <d v="2023-10-05T00:00:00"/>
    <s v="2183-23-0009-1"/>
    <n v="1000"/>
    <n v="14040"/>
    <n v="977.29"/>
    <n v="14046"/>
    <n v="56.99"/>
    <n v="0"/>
    <n v="920.3"/>
    <n v="32.56"/>
    <n v="51260"/>
    <n v="8.14"/>
    <n v="0"/>
    <n v="8.14"/>
    <s v="P"/>
    <m/>
    <m/>
    <n v="3737"/>
    <x v="1"/>
    <s v="Res/Comm MSW Truck"/>
    <n v="10"/>
    <n v="2023"/>
    <n v="2033"/>
    <n v="2033.8333333333333"/>
    <n v="8.1440833333333327"/>
    <n v="97.728999999999985"/>
    <n v="97.728999999999985"/>
    <n v="0"/>
    <n v="97.728999999999985"/>
    <n v="879.56099999999992"/>
    <s v="No"/>
  </r>
  <r>
    <n v="2183"/>
    <n v="320833"/>
    <n v="316048"/>
    <s v="Capitalized"/>
    <s v="Decals Truck # 3738"/>
    <m/>
    <m/>
    <n v="1"/>
    <m/>
    <n v="0"/>
    <s v="LARSEN SIGN"/>
    <m/>
    <s v="TRUCKS AND TRAILERS"/>
    <s v="TBA"/>
    <s v="Non-Rolling Stock"/>
    <m/>
    <m/>
    <d v="2023-10-20T00:00:00"/>
    <d v="2023-10-20T00:00:00"/>
    <s v="2183-23-0002-1"/>
    <n v="1000"/>
    <n v="14040"/>
    <n v="977.29"/>
    <n v="14046"/>
    <n v="48.85"/>
    <n v="0"/>
    <n v="928.43999999999994"/>
    <n v="32.56"/>
    <n v="51260"/>
    <n v="8.14"/>
    <n v="0"/>
    <n v="8.14"/>
    <s v="P"/>
    <m/>
    <m/>
    <n v="3738"/>
    <x v="1"/>
    <s v="Res/Comm MSW Truck"/>
    <n v="10"/>
    <n v="2023"/>
    <n v="2033"/>
    <n v="2033.8333333333333"/>
    <n v="8.1440833333333327"/>
    <n v="97.728999999999985"/>
    <n v="97.728999999999985"/>
    <n v="0"/>
    <n v="97.728999999999985"/>
    <n v="879.56099999999992"/>
    <s v="No"/>
  </r>
  <r>
    <n v="2183"/>
    <n v="319319"/>
    <n v="316048"/>
    <s v="Capitalized"/>
    <s v="Radio for truck #3738"/>
    <m/>
    <m/>
    <n v="1"/>
    <m/>
    <n v="0"/>
    <m/>
    <m/>
    <s v="TRUCKS AND TRAILERS"/>
    <s v="TBA"/>
    <s v="Non-Rolling Stock"/>
    <m/>
    <m/>
    <d v="2023-10-20T00:00:00"/>
    <d v="2023-10-20T00:00:00"/>
    <s v="2183-23-0002-1"/>
    <n v="500"/>
    <n v="14040"/>
    <n v="766.5"/>
    <n v="14046"/>
    <n v="76.67"/>
    <n v="0"/>
    <n v="689.83"/>
    <n v="51.12"/>
    <n v="51260"/>
    <n v="12.78"/>
    <n v="0"/>
    <n v="12.78"/>
    <s v="P"/>
    <m/>
    <m/>
    <n v="3738"/>
    <x v="1"/>
    <s v="Res/Comm MSW Truck"/>
    <n v="10"/>
    <n v="2023"/>
    <n v="2028"/>
    <n v="2028.8333333333333"/>
    <n v="12.775"/>
    <n v="153.30000000000001"/>
    <n v="153.30000000000001"/>
    <n v="0"/>
    <n v="153.30000000000001"/>
    <n v="613.20000000000005"/>
    <s v="No"/>
  </r>
  <r>
    <n v="2183"/>
    <n v="319000"/>
    <n v="315531"/>
    <s v="Capitalized"/>
    <s v="License Truck #3737"/>
    <m/>
    <m/>
    <n v="1"/>
    <m/>
    <n v="0"/>
    <s v="WA DOL"/>
    <m/>
    <s v="TRUCKS AND TRAILERS"/>
    <s v="TBA"/>
    <s v="Non-Rolling Stock"/>
    <m/>
    <m/>
    <d v="2023-10-05T00:00:00"/>
    <d v="2023-10-05T00:00:00"/>
    <s v="2183-23-0009-1"/>
    <n v="1000"/>
    <n v="14040"/>
    <n v="165.96"/>
    <n v="14046"/>
    <n v="9.67"/>
    <n v="0"/>
    <n v="156.29000000000002"/>
    <n v="5.52"/>
    <n v="51260"/>
    <n v="1.38"/>
    <n v="0"/>
    <n v="1.38"/>
    <s v="P"/>
    <m/>
    <m/>
    <n v="3737"/>
    <x v="1"/>
    <s v="Res/Comm MSW Truck"/>
    <n v="10"/>
    <n v="2023"/>
    <n v="2033"/>
    <n v="2033.8333333333333"/>
    <n v="1.383"/>
    <n v="16.596"/>
    <n v="16.596"/>
    <n v="0"/>
    <n v="16.596"/>
    <n v="149.364"/>
    <s v="No"/>
  </r>
  <r>
    <n v="2183"/>
    <n v="318999"/>
    <n v="316048"/>
    <s v="Capitalized"/>
    <s v="License Truck #3738"/>
    <m/>
    <m/>
    <n v="1"/>
    <m/>
    <n v="0"/>
    <s v="WA DOL"/>
    <m/>
    <s v="TRUCKS AND TRAILERS"/>
    <s v="TBA"/>
    <s v="Non-Rolling Stock"/>
    <m/>
    <m/>
    <d v="2023-10-20T00:00:00"/>
    <d v="2023-10-20T00:00:00"/>
    <s v="2183-23-0002-1"/>
    <n v="1000"/>
    <n v="14040"/>
    <n v="165.96"/>
    <n v="14046"/>
    <n v="8.2899999999999991"/>
    <n v="0"/>
    <n v="157.67000000000002"/>
    <n v="5.52"/>
    <n v="51260"/>
    <n v="1.38"/>
    <n v="0"/>
    <n v="1.38"/>
    <s v="P"/>
    <m/>
    <m/>
    <n v="3738"/>
    <x v="1"/>
    <s v="Res/Comm MSW Truck"/>
    <n v="10"/>
    <n v="2023"/>
    <n v="2033"/>
    <n v="2033.8333333333333"/>
    <n v="1.383"/>
    <n v="16.596"/>
    <n v="16.596"/>
    <n v="0"/>
    <n v="16.596"/>
    <n v="149.364"/>
    <s v="No"/>
  </r>
  <r>
    <n v="2183"/>
    <n v="318875"/>
    <s v="P"/>
    <s v="Capitalized"/>
    <s v="65 Gal Carts"/>
    <m/>
    <m/>
    <n v="936"/>
    <m/>
    <n v="0"/>
    <s v="FILE 2524"/>
    <m/>
    <s v="CONTAINERS"/>
    <s v="TBA"/>
    <m/>
    <m/>
    <m/>
    <d v="2023-11-27T00:00:00"/>
    <d v="2023-11-27T00:00:00"/>
    <s v="2183-23-0023-2"/>
    <n v="700"/>
    <n v="14050"/>
    <n v="51102.51"/>
    <n v="14056"/>
    <n v="3041.8"/>
    <n v="0"/>
    <n v="48060.71"/>
    <n v="2433.44"/>
    <n v="54260"/>
    <n v="608.36"/>
    <n v="0"/>
    <n v="608.36"/>
    <s v="P"/>
    <m/>
    <m/>
    <n v="0"/>
    <x v="2"/>
    <s v="MSW Carts"/>
    <n v="11"/>
    <n v="2023"/>
    <n v="2030"/>
    <n v="2030.9166666666667"/>
    <n v="608.36321428571432"/>
    <n v="7300.3585714285718"/>
    <n v="7300.3585714285718"/>
    <n v="0"/>
    <n v="7300.3585714285718"/>
    <n v="43802.151428571429"/>
    <s v="No"/>
  </r>
  <r>
    <n v="2183"/>
    <n v="318746"/>
    <s v="P"/>
    <s v="Capitalized"/>
    <s v="2024 Peterbilt Hook Lift Truck"/>
    <m/>
    <m/>
    <n v="1"/>
    <s v="2NPMHJ7X4RM604937"/>
    <n v="2024"/>
    <m/>
    <m/>
    <s v="TRUCKS AND TRAILERS"/>
    <s v="TBA"/>
    <s v="Hooklift"/>
    <m/>
    <m/>
    <d v="2023-11-22T00:00:00"/>
    <d v="2023-11-22T00:00:00"/>
    <s v="2183-23-0011-1"/>
    <n v="1000"/>
    <n v="14040"/>
    <n v="142449.25"/>
    <n v="14046"/>
    <n v="5935.4"/>
    <n v="0"/>
    <n v="136513.85"/>
    <n v="4748.32"/>
    <n v="51260"/>
    <n v="1187.08"/>
    <n v="0"/>
    <n v="1187.08"/>
    <s v="P"/>
    <m/>
    <m/>
    <s v="4524"/>
    <x v="6"/>
    <s v="Roll Off Truck"/>
    <n v="11"/>
    <n v="2023"/>
    <n v="2033"/>
    <n v="2033.9166666666667"/>
    <n v="1187.0770833333333"/>
    <n v="14244.924999999999"/>
    <n v="14244.924999999999"/>
    <n v="0"/>
    <n v="14244.924999999999"/>
    <n v="128204.325"/>
    <s v="No"/>
  </r>
  <r>
    <n v="2183"/>
    <n v="317960"/>
    <s v="P"/>
    <s v="Capitalized"/>
    <s v="HP USB-C G5 Essential Dock - SN: 2TK331Z7DL"/>
    <m/>
    <m/>
    <n v="1"/>
    <m/>
    <n v="0"/>
    <s v="CDW DIR #MP03670"/>
    <m/>
    <s v="HARDWARE AND SOFTWARE"/>
    <s v="TBA"/>
    <m/>
    <m/>
    <m/>
    <d v="2023-10-17T00:00:00"/>
    <d v="2023-10-17T00:00:00"/>
    <s v="2183-23-0026-1"/>
    <n v="300"/>
    <n v="14110"/>
    <n v="203.62"/>
    <n v="14116"/>
    <n v="33.950000000000003"/>
    <n v="0"/>
    <n v="169.67000000000002"/>
    <n v="22.64"/>
    <n v="70260"/>
    <n v="5.66"/>
    <n v="0"/>
    <n v="5.66"/>
    <s v="P"/>
    <m/>
    <m/>
    <n v="0"/>
    <x v="8"/>
    <s v="Office Equipment"/>
    <n v="10"/>
    <n v="2023"/>
    <n v="2026"/>
    <n v="2026.8333333333333"/>
    <n v="5.6561111111111115"/>
    <n v="67.873333333333335"/>
    <n v="67.873333333333335"/>
    <n v="0"/>
    <n v="67.873333333333335"/>
    <n v="135.74666666666667"/>
    <s v="No"/>
  </r>
  <r>
    <n v="2183"/>
    <n v="317959"/>
    <s v="P"/>
    <s v="Capitalized"/>
    <s v="HP ProBook 450 G10 15.6 Notebook - SN: 5CED338628X"/>
    <m/>
    <m/>
    <n v="1"/>
    <m/>
    <n v="0"/>
    <s v="CDW DIR #MP03670"/>
    <m/>
    <s v="HARDWARE AND SOFTWARE"/>
    <s v="TBA"/>
    <m/>
    <m/>
    <m/>
    <d v="2023-10-17T00:00:00"/>
    <d v="2023-10-17T00:00:00"/>
    <s v="2183-23-0026-1"/>
    <n v="300"/>
    <n v="14110"/>
    <n v="1061.48"/>
    <n v="14116"/>
    <n v="176.93"/>
    <n v="0"/>
    <n v="884.55"/>
    <n v="117.96"/>
    <n v="70260"/>
    <n v="29.49"/>
    <n v="0"/>
    <n v="29.49"/>
    <s v="P"/>
    <m/>
    <m/>
    <n v="0"/>
    <x v="8"/>
    <s v="Office Equipment"/>
    <n v="10"/>
    <n v="2023"/>
    <n v="2026"/>
    <n v="2026.8333333333333"/>
    <n v="29.485555555555553"/>
    <n v="353.82666666666665"/>
    <n v="353.82666666666665"/>
    <n v="0"/>
    <n v="353.82666666666665"/>
    <n v="707.65333333333342"/>
    <s v="No"/>
  </r>
  <r>
    <n v="2183"/>
    <n v="317813"/>
    <n v="311268"/>
    <s v="Capitalized"/>
    <s v="Decals for Truck #3735"/>
    <m/>
    <m/>
    <n v="1"/>
    <m/>
    <n v="0"/>
    <s v="LARSEN SIGN"/>
    <m/>
    <s v="TRUCKS AND TRAILERS"/>
    <s v="TBA"/>
    <s v="Non-Rolling Stock"/>
    <m/>
    <m/>
    <d v="2023-07-25T00:00:00"/>
    <d v="2023-07-25T00:00:00"/>
    <s v="2183-23-0007-1"/>
    <n v="1000"/>
    <n v="14040"/>
    <n v="793.88"/>
    <n v="14046"/>
    <n v="59.56"/>
    <n v="0"/>
    <n v="734.31999999999994"/>
    <n v="26.48"/>
    <n v="51260"/>
    <n v="6.62"/>
    <n v="0"/>
    <n v="6.62"/>
    <s v="P"/>
    <m/>
    <m/>
    <n v="3735"/>
    <x v="1"/>
    <s v="Res/Comm MSW Truck"/>
    <n v="7"/>
    <n v="2023"/>
    <n v="2033"/>
    <n v="2033.5833333333333"/>
    <n v="6.6156666666666668"/>
    <n v="79.388000000000005"/>
    <n v="79.388000000000005"/>
    <n v="0"/>
    <n v="79.388000000000005"/>
    <n v="714.49199999999996"/>
    <s v="No"/>
  </r>
  <r>
    <n v="2183"/>
    <n v="317722"/>
    <s v="P"/>
    <s v="Capitalized"/>
    <s v="95 Gal Carts"/>
    <m/>
    <m/>
    <n v="702"/>
    <s v="Non-Container Audit"/>
    <n v="0"/>
    <s v="FILE 2524"/>
    <m/>
    <s v="CONTAINERS"/>
    <s v="TBA"/>
    <m/>
    <m/>
    <m/>
    <d v="2023-11-06T00:00:00"/>
    <d v="2023-11-06T00:00:00"/>
    <s v="2183-23-0023-5"/>
    <n v="700"/>
    <n v="14050"/>
    <n v="42677.66"/>
    <n v="14056"/>
    <n v="3048.42"/>
    <n v="0"/>
    <n v="39629.240000000005"/>
    <n v="2032.28"/>
    <n v="54260"/>
    <n v="508.07"/>
    <n v="0"/>
    <n v="508.07"/>
    <s v="P"/>
    <m/>
    <m/>
    <n v="0"/>
    <x v="2"/>
    <s v="MSW Carts"/>
    <n v="11"/>
    <n v="2023"/>
    <n v="2030"/>
    <n v="2030.9166666666667"/>
    <n v="508.06738095238097"/>
    <n v="6096.8085714285717"/>
    <n v="6096.8085714285717"/>
    <n v="0"/>
    <n v="6096.8085714285717"/>
    <n v="36580.851428571434"/>
    <s v="No"/>
  </r>
  <r>
    <n v="2183"/>
    <n v="317581"/>
    <s v="P"/>
    <s v="Capitalized"/>
    <s v="95 Gal Carts"/>
    <m/>
    <m/>
    <n v="702"/>
    <m/>
    <n v="0"/>
    <s v="FILE 2524"/>
    <m/>
    <s v="CONTAINERS"/>
    <s v="TBA"/>
    <m/>
    <m/>
    <m/>
    <d v="2023-09-22T00:00:00"/>
    <d v="2023-09-22T00:00:00"/>
    <s v="2183-23-0023-3"/>
    <n v="700"/>
    <n v="14050"/>
    <n v="42677.67"/>
    <n v="14056"/>
    <n v="3556.48"/>
    <n v="0"/>
    <n v="39121.189999999995"/>
    <n v="2032.28"/>
    <n v="54260"/>
    <n v="508.07"/>
    <n v="0"/>
    <n v="508.07"/>
    <s v="P"/>
    <m/>
    <m/>
    <n v="0"/>
    <x v="2"/>
    <s v="MSW Carts"/>
    <n v="9"/>
    <n v="2023"/>
    <n v="2030"/>
    <n v="2030.75"/>
    <n v="508.06749999999994"/>
    <n v="6096.8099999999995"/>
    <n v="6096.8099999999995"/>
    <n v="0"/>
    <n v="6096.8099999999995"/>
    <n v="36580.86"/>
    <s v="No"/>
  </r>
  <r>
    <n v="2183"/>
    <n v="317580"/>
    <s v="P"/>
    <s v="Capitalized"/>
    <s v="95 Gal Carts"/>
    <m/>
    <m/>
    <n v="702"/>
    <m/>
    <n v="0"/>
    <s v="FILE 2524"/>
    <m/>
    <s v="CONTAINERS"/>
    <s v="TBA"/>
    <m/>
    <m/>
    <m/>
    <d v="2023-09-22T00:00:00"/>
    <d v="2023-09-22T00:00:00"/>
    <s v="2183-23-0023-4"/>
    <n v="700"/>
    <n v="14050"/>
    <n v="42677.66"/>
    <n v="14056"/>
    <n v="3556.48"/>
    <n v="0"/>
    <n v="39121.18"/>
    <n v="2032.28"/>
    <n v="54260"/>
    <n v="508.07"/>
    <n v="0"/>
    <n v="508.07"/>
    <s v="P"/>
    <m/>
    <m/>
    <n v="0"/>
    <x v="4"/>
    <s v="YW Carts"/>
    <n v="9"/>
    <n v="2023"/>
    <n v="2030"/>
    <n v="2030.75"/>
    <n v="508.06738095238097"/>
    <n v="6096.8085714285717"/>
    <n v="6096.8085714285717"/>
    <n v="0"/>
    <n v="6096.8085714285717"/>
    <n v="36580.851428571434"/>
    <s v="No"/>
  </r>
  <r>
    <n v="2183"/>
    <n v="317144"/>
    <n v="315531"/>
    <s v="Capitalized"/>
    <s v="2024 Peterbilt ASL Radio for truck # 3737"/>
    <m/>
    <m/>
    <n v="1"/>
    <s v="3BPDLK0X6RF116254"/>
    <n v="2024"/>
    <s v="2875 R.W. JOHNSON BLVD"/>
    <m/>
    <s v="TRUCKS AND TRAILERS"/>
    <s v="TBA"/>
    <s v="Non-Rolling Stock"/>
    <m/>
    <m/>
    <d v="2023-10-05T00:00:00"/>
    <d v="2023-10-05T00:00:00"/>
    <s v="2183-23-0009"/>
    <n v="500"/>
    <n v="14040"/>
    <n v="766.5"/>
    <n v="14046"/>
    <n v="89.45"/>
    <n v="0"/>
    <n v="677.05"/>
    <n v="51.12"/>
    <n v="51260"/>
    <n v="12.78"/>
    <n v="0"/>
    <n v="12.78"/>
    <s v="P"/>
    <m/>
    <m/>
    <n v="3737"/>
    <x v="1"/>
    <s v="Res/Comm MSW Truck"/>
    <n v="10"/>
    <n v="2023"/>
    <n v="2028"/>
    <n v="2028.8333333333333"/>
    <n v="12.775"/>
    <n v="153.30000000000001"/>
    <n v="153.30000000000001"/>
    <n v="0"/>
    <n v="153.30000000000001"/>
    <n v="613.20000000000005"/>
    <s v="No"/>
  </r>
  <r>
    <n v="2183"/>
    <n v="317026"/>
    <n v="316048"/>
    <s v="Capitalized"/>
    <s v="2024 Peterbilt ASL Truck- Body"/>
    <m/>
    <m/>
    <n v="1"/>
    <s v="3BPDLK0X8RF116255"/>
    <n v="0"/>
    <s v="PO BOX 13040"/>
    <m/>
    <s v="TRUCKS AND TRAILERS"/>
    <s v="TBA"/>
    <s v="Side Loader"/>
    <m/>
    <m/>
    <d v="2023-10-12T00:00:00"/>
    <d v="2023-10-12T00:00:00"/>
    <s v="2183-23-0002-1"/>
    <n v="1000"/>
    <n v="14040"/>
    <n v="214851.99"/>
    <n v="14046"/>
    <n v="12533.01"/>
    <n v="0"/>
    <n v="202318.97999999998"/>
    <n v="7161.72"/>
    <n v="51260"/>
    <n v="1790.43"/>
    <n v="0"/>
    <n v="1790.43"/>
    <s v="P"/>
    <m/>
    <m/>
    <n v="3738"/>
    <x v="1"/>
    <s v="Res/Comm MSW Truck"/>
    <n v="10"/>
    <n v="2023"/>
    <n v="2033"/>
    <n v="2033.8333333333333"/>
    <n v="1790.43325"/>
    <n v="21485.199000000001"/>
    <n v="21485.199000000001"/>
    <n v="0"/>
    <n v="21485.199000000001"/>
    <n v="193366.791"/>
    <s v="No"/>
  </r>
  <r>
    <n v="2183"/>
    <n v="316048"/>
    <s v="P"/>
    <s v="Capitalized"/>
    <s v="2024 Peterbilt ASL Truck"/>
    <m/>
    <m/>
    <n v="1"/>
    <s v="3BPDLK0X8RF116255"/>
    <n v="2024"/>
    <m/>
    <m/>
    <s v="TRUCKS AND TRAILERS"/>
    <s v="TBA"/>
    <s v="Automated Side Loader"/>
    <m/>
    <m/>
    <d v="2023-10-20T00:00:00"/>
    <d v="2023-10-20T00:00:00"/>
    <s v="2183-23-0002-1"/>
    <n v="1000"/>
    <n v="14040"/>
    <n v="225461.72"/>
    <n v="14046"/>
    <n v="11273.1"/>
    <n v="0"/>
    <n v="214188.62"/>
    <n v="7515.4"/>
    <n v="51260"/>
    <n v="1878.85"/>
    <n v="0"/>
    <n v="1878.85"/>
    <s v="P"/>
    <m/>
    <m/>
    <s v="3738"/>
    <x v="1"/>
    <s v="Res/Comm MSW Truck"/>
    <n v="10"/>
    <n v="2023"/>
    <n v="2033"/>
    <n v="2033.8333333333333"/>
    <n v="1878.8476666666666"/>
    <n v="22546.171999999999"/>
    <n v="22546.171999999999"/>
    <n v="0"/>
    <n v="22546.171999999999"/>
    <n v="202915.54800000001"/>
    <s v="No"/>
  </r>
  <r>
    <n v="2183"/>
    <n v="315920"/>
    <n v="315531"/>
    <s v="Capitalized"/>
    <s v="2024 Peterbilt ASL Truck- Body"/>
    <m/>
    <m/>
    <n v="1"/>
    <s v="3BPDLK0X6RF116254"/>
    <n v="2024"/>
    <s v="PO BOX 13040"/>
    <m/>
    <s v="TRUCKS AND TRAILERS"/>
    <s v="TBA"/>
    <s v="Non-Rolling Stock"/>
    <m/>
    <m/>
    <d v="2023-10-05T00:00:00"/>
    <d v="2023-10-05T00:00:00"/>
    <s v="2183-23-0009-1"/>
    <n v="1000"/>
    <n v="14040"/>
    <n v="214851.99"/>
    <n v="14046"/>
    <n v="12533.01"/>
    <n v="0"/>
    <n v="202318.97999999998"/>
    <n v="7161.72"/>
    <n v="51260"/>
    <n v="1790.43"/>
    <n v="0"/>
    <n v="1790.43"/>
    <s v="P"/>
    <m/>
    <m/>
    <n v="3737"/>
    <x v="1"/>
    <s v="Res/Comm MSW Truck"/>
    <n v="10"/>
    <n v="2023"/>
    <n v="2033"/>
    <n v="2033.8333333333333"/>
    <n v="1790.43325"/>
    <n v="21485.199000000001"/>
    <n v="21485.199000000001"/>
    <n v="0"/>
    <n v="21485.199000000001"/>
    <n v="193366.791"/>
    <s v="No"/>
  </r>
  <r>
    <n v="2183"/>
    <n v="315531"/>
    <s v="P"/>
    <s v="Capitalized"/>
    <s v="2024 Peterbilt ASL Truck"/>
    <m/>
    <m/>
    <n v="1"/>
    <s v="3BPDLK0X6RF116254"/>
    <n v="2024"/>
    <m/>
    <m/>
    <s v="TRUCKS AND TRAILERS"/>
    <s v="TBA"/>
    <s v="Automated Side Loader"/>
    <m/>
    <m/>
    <d v="2023-10-05T00:00:00"/>
    <d v="2023-10-05T00:00:00"/>
    <s v="2183-23-0009-1"/>
    <n v="1000"/>
    <n v="14040"/>
    <n v="225461.72"/>
    <n v="14046"/>
    <n v="13151.94"/>
    <n v="0"/>
    <n v="212309.78"/>
    <n v="7515.4"/>
    <n v="51260"/>
    <n v="1878.85"/>
    <n v="0"/>
    <n v="1878.85"/>
    <s v="P"/>
    <m/>
    <m/>
    <s v="3737"/>
    <x v="1"/>
    <s v="Res/Comm MSW Truck"/>
    <n v="10"/>
    <n v="2023"/>
    <n v="2033"/>
    <n v="2033.8333333333333"/>
    <n v="1878.8476666666666"/>
    <n v="22546.171999999999"/>
    <n v="22546.171999999999"/>
    <n v="0"/>
    <n v="22546.171999999999"/>
    <n v="202915.54800000001"/>
    <s v="No"/>
  </r>
  <r>
    <n v="2183"/>
    <n v="314606"/>
    <s v="P"/>
    <s v="Capitalized"/>
    <s v="2006 Ford F550 4x4 Service Truck"/>
    <m/>
    <m/>
    <n v="1"/>
    <s v="1FDAF57PX6EC86353"/>
    <n v="2006"/>
    <s v="Ford"/>
    <s v="Royal"/>
    <s v="TRUCKS AND TRAILERS"/>
    <s v="TBA"/>
    <s v="Service Truck"/>
    <m/>
    <m/>
    <d v="2014-01-14T00:00:00"/>
    <d v="2014-01-14T00:00:00"/>
    <s v="2183-14-0020-1"/>
    <n v="300"/>
    <n v="14040"/>
    <n v="50193"/>
    <n v="14046"/>
    <n v="50193"/>
    <n v="0"/>
    <n v="0"/>
    <n v="0"/>
    <n v="51260"/>
    <n v="0"/>
    <n v="0"/>
    <n v="0"/>
    <s v="P"/>
    <m/>
    <n v="9226"/>
    <n v="9226"/>
    <x v="9"/>
    <m/>
    <n v="1"/>
    <n v="2014"/>
    <n v="2017"/>
    <n v="2017.0833333333333"/>
    <n v="1394.25"/>
    <n v="16731"/>
    <n v="0"/>
    <n v="50193"/>
    <n v="50193"/>
    <n v="0"/>
    <s v="No"/>
  </r>
  <r>
    <n v="2183"/>
    <n v="314605"/>
    <s v="P"/>
    <s v="Capitalized"/>
    <s v="2017 Service Truck Ford F-350"/>
    <m/>
    <m/>
    <n v="1"/>
    <s v="1FTBW3XG5HKB21361"/>
    <n v="2017"/>
    <s v="Ford"/>
    <m/>
    <s v="TRUCKS AND TRAILERS"/>
    <s v="TBA"/>
    <s v="Service Truck"/>
    <m/>
    <m/>
    <d v="2017-12-31T00:00:00"/>
    <d v="2017-12-31T00:00:00"/>
    <s v="2184-17-0003-1"/>
    <n v="900"/>
    <n v="14040"/>
    <n v="83306.64"/>
    <n v="14046"/>
    <n v="58623.18"/>
    <n v="0"/>
    <n v="24683.46"/>
    <n v="3085.44"/>
    <n v="51260"/>
    <n v="771.36"/>
    <n v="0"/>
    <n v="771.36"/>
    <s v="P"/>
    <m/>
    <n v="9230"/>
    <n v="9230"/>
    <x v="10"/>
    <s v="Service Equip"/>
    <n v="12"/>
    <n v="2017"/>
    <n v="2026"/>
    <n v="2027"/>
    <n v="771.35777777777776"/>
    <n v="9256.2933333333331"/>
    <n v="9256.2933333333331"/>
    <n v="50138.255555556258"/>
    <n v="59394.548888889592"/>
    <n v="23912.091111110407"/>
    <s v="No"/>
  </r>
  <r>
    <n v="2183"/>
    <n v="314543"/>
    <n v="311267"/>
    <s v="Capitalized"/>
    <s v="2024 Peterbilt ASL Truck Graphics"/>
    <m/>
    <m/>
    <n v="1"/>
    <s v="3BPDLK0XXRF116256"/>
    <n v="0"/>
    <s v="LARSEN SIGN"/>
    <m/>
    <s v="TRUCKS AND TRAILERS"/>
    <s v="TBA"/>
    <s v="Non-Rolling Stock"/>
    <m/>
    <m/>
    <d v="2023-07-25T00:00:00"/>
    <d v="2023-07-25T00:00:00"/>
    <s v="2183-23-0003-1"/>
    <n v="1000"/>
    <n v="14040"/>
    <n v="886.95"/>
    <n v="14046"/>
    <n v="66.52"/>
    <n v="0"/>
    <n v="820.43000000000006"/>
    <n v="29.56"/>
    <n v="51260"/>
    <n v="7.39"/>
    <n v="0"/>
    <n v="7.39"/>
    <s v="P"/>
    <m/>
    <m/>
    <n v="3734"/>
    <x v="1"/>
    <s v="Res/Comm MSW Truck"/>
    <n v="7"/>
    <n v="2023"/>
    <n v="2033"/>
    <n v="2033.5833333333333"/>
    <n v="7.3912500000000003"/>
    <n v="88.695000000000007"/>
    <n v="88.695000000000007"/>
    <n v="0"/>
    <n v="88.695000000000007"/>
    <n v="798.255"/>
    <s v="No"/>
  </r>
  <r>
    <n v="2183"/>
    <n v="314542"/>
    <n v="311269"/>
    <s v="Capitalized"/>
    <s v="2024 Peterbilt FEL Truck Graphics"/>
    <m/>
    <m/>
    <n v="1"/>
    <s v="3BPDLK0X7RF115386"/>
    <n v="0"/>
    <s v="LARSEN SIGN"/>
    <m/>
    <s v="TRUCKS AND TRAILERS"/>
    <s v="TBA"/>
    <s v="Non-Rolling Stock"/>
    <m/>
    <m/>
    <d v="2023-07-26T00:00:00"/>
    <d v="2023-07-26T00:00:00"/>
    <s v="2183-23-0008-1"/>
    <n v="1000"/>
    <n v="14040"/>
    <n v="941.7"/>
    <n v="14046"/>
    <n v="70.64"/>
    <n v="0"/>
    <n v="871.06000000000006"/>
    <n v="31.4"/>
    <n v="51260"/>
    <n v="7.85"/>
    <n v="0"/>
    <n v="7.85"/>
    <s v="P"/>
    <m/>
    <m/>
    <n v="2066"/>
    <x v="1"/>
    <s v="Commercial MSW Truck"/>
    <n v="7"/>
    <n v="2023"/>
    <n v="2033"/>
    <n v="2033.5833333333333"/>
    <n v="7.8475000000000001"/>
    <n v="94.17"/>
    <n v="94.17"/>
    <n v="0"/>
    <n v="94.17"/>
    <n v="847.53000000000009"/>
    <s v="No"/>
  </r>
  <r>
    <n v="2183"/>
    <n v="313265"/>
    <s v="P"/>
    <s v="Capitalized"/>
    <s v="1 Yard FEL Containers"/>
    <m/>
    <m/>
    <n v="17"/>
    <m/>
    <n v="0"/>
    <m/>
    <m/>
    <s v="CONTAINERS"/>
    <s v="TBA"/>
    <m/>
    <s v="1 YD"/>
    <s v="FEL/REL/SL Metal"/>
    <d v="1997-10-01T00:00:00"/>
    <d v="1997-10-01T00:00:00"/>
    <m/>
    <n v="500"/>
    <n v="14050"/>
    <n v="2149.27"/>
    <n v="14056"/>
    <n v="2149.27"/>
    <n v="0"/>
    <n v="0"/>
    <n v="0"/>
    <n v="54260"/>
    <n v="0"/>
    <n v="0"/>
    <n v="0"/>
    <s v="A"/>
    <s v="Vancouver"/>
    <s v="NA"/>
    <n v="0"/>
    <x v="3"/>
    <s v="Containers"/>
    <n v="10"/>
    <n v="1997"/>
    <n v="2002"/>
    <n v="2002.8333333333333"/>
    <n v="35.821166666666663"/>
    <n v="429.85399999999993"/>
    <n v="0"/>
    <n v="2149.27"/>
    <n v="2149.27"/>
    <n v="0"/>
    <s v="No"/>
  </r>
  <r>
    <n v="2183"/>
    <n v="313264"/>
    <s v="P"/>
    <s v="Capitalized"/>
    <s v="2 YD FL/RL Containers w/ Lids"/>
    <m/>
    <m/>
    <n v="6"/>
    <m/>
    <n v="0"/>
    <s v="Cascade"/>
    <m/>
    <s v="CONTAINERS"/>
    <s v="TBA"/>
    <m/>
    <s v="2 YD"/>
    <s v="FEL/REL/SL Metal"/>
    <d v="2000-04-13T00:00:00"/>
    <d v="2000-04-12T00:00:00"/>
    <s v="2000-2010-0100"/>
    <n v="1200"/>
    <n v="14050"/>
    <n v="2186.98"/>
    <n v="14056"/>
    <n v="2186.98"/>
    <n v="0"/>
    <n v="0"/>
    <n v="0"/>
    <n v="54260"/>
    <n v="0"/>
    <n v="0"/>
    <n v="0"/>
    <s v="P"/>
    <m/>
    <m/>
    <n v="0"/>
    <x v="3"/>
    <s v="Containers"/>
    <n v="4"/>
    <n v="2000"/>
    <n v="2012"/>
    <n v="2012.3333333333333"/>
    <n v="15.187361111111111"/>
    <n v="182.24833333333333"/>
    <n v="0"/>
    <n v="2186.98"/>
    <n v="2186.98"/>
    <n v="0"/>
    <s v="No"/>
  </r>
  <r>
    <n v="2183"/>
    <n v="313126"/>
    <n v="311269"/>
    <s v="Capitalized"/>
    <s v="Drive Cam for truck 2066"/>
    <m/>
    <m/>
    <n v="1"/>
    <s v="3BPDLK0X7RF115386"/>
    <n v="0"/>
    <s v="Lytx"/>
    <m/>
    <s v="TRUCKS AND TRAILERS"/>
    <s v="TBA"/>
    <s v="Non-Rolling Stock"/>
    <m/>
    <m/>
    <d v="2023-07-26T00:00:00"/>
    <d v="2023-07-26T00:00:00"/>
    <s v="2183-23-0008-1"/>
    <n v="500"/>
    <n v="14040"/>
    <n v="330.15"/>
    <n v="14046"/>
    <n v="49.51"/>
    <n v="0"/>
    <n v="280.64"/>
    <n v="22"/>
    <n v="51260"/>
    <n v="5.5"/>
    <n v="0"/>
    <n v="5.5"/>
    <s v="P"/>
    <m/>
    <m/>
    <n v="2066"/>
    <x v="1"/>
    <s v="Commercial MSW Truck"/>
    <n v="7"/>
    <n v="2023"/>
    <n v="2028"/>
    <n v="2028.5833333333333"/>
    <n v="5.5025000000000004"/>
    <n v="66.03"/>
    <n v="66.03"/>
    <n v="0"/>
    <n v="66.03"/>
    <n v="264.12"/>
    <s v="No"/>
  </r>
  <r>
    <n v="2183"/>
    <n v="313125"/>
    <n v="311268"/>
    <s v="Capitalized"/>
    <s v="Drive Cam for truck 3735"/>
    <m/>
    <m/>
    <n v="1"/>
    <s v="3BPDLK0X1RF116257"/>
    <n v="0"/>
    <s v="Lytx"/>
    <m/>
    <s v="TRUCKS AND TRAILERS"/>
    <s v="TBA"/>
    <s v="Non-Rolling Stock"/>
    <m/>
    <m/>
    <d v="2023-07-25T00:00:00"/>
    <d v="2023-07-25T00:00:00"/>
    <s v="2183-23-0007-1"/>
    <n v="500"/>
    <n v="14040"/>
    <n v="330.14"/>
    <n v="14046"/>
    <n v="49.51"/>
    <n v="0"/>
    <n v="280.63"/>
    <n v="22"/>
    <n v="51260"/>
    <n v="5.5"/>
    <n v="0"/>
    <n v="5.5"/>
    <s v="P"/>
    <m/>
    <m/>
    <n v="3735"/>
    <x v="1"/>
    <s v="Res/Comm MSW Truck"/>
    <n v="7"/>
    <n v="2023"/>
    <n v="2028"/>
    <n v="2028.5833333333333"/>
    <n v="5.5023333333333326"/>
    <n v="66.027999999999992"/>
    <n v="66.027999999999992"/>
    <n v="0"/>
    <n v="66.027999999999992"/>
    <n v="264.11199999999997"/>
    <s v="No"/>
  </r>
  <r>
    <n v="2183"/>
    <n v="313124"/>
    <n v="311267"/>
    <s v="Capitalized"/>
    <s v="Drive Cam for truck 3734"/>
    <m/>
    <m/>
    <n v="1"/>
    <s v="3BPDLK0XXRF116256"/>
    <n v="0"/>
    <s v="Lytx"/>
    <m/>
    <s v="TRUCKS AND TRAILERS"/>
    <s v="TBA"/>
    <s v="Non-Rolling Stock"/>
    <m/>
    <m/>
    <d v="2023-07-25T00:00:00"/>
    <d v="2023-07-25T00:00:00"/>
    <s v="2183-23-0003-1"/>
    <n v="500"/>
    <n v="14040"/>
    <n v="330.14"/>
    <n v="14046"/>
    <n v="49.51"/>
    <n v="0"/>
    <n v="280.63"/>
    <n v="22"/>
    <n v="51260"/>
    <n v="5.5"/>
    <n v="0"/>
    <n v="5.5"/>
    <s v="P"/>
    <m/>
    <m/>
    <n v="3734"/>
    <x v="1"/>
    <s v="Res/Comm MSW Truck"/>
    <n v="7"/>
    <n v="2023"/>
    <n v="2028"/>
    <n v="2028.5833333333333"/>
    <n v="5.5023333333333326"/>
    <n v="66.027999999999992"/>
    <n v="66.027999999999992"/>
    <n v="0"/>
    <n v="66.027999999999992"/>
    <n v="264.11199999999997"/>
    <s v="No"/>
  </r>
  <r>
    <n v="2183"/>
    <n v="313030"/>
    <s v="P"/>
    <s v="Capitalized"/>
    <s v="65G Refuse Carts"/>
    <m/>
    <m/>
    <n v="798"/>
    <m/>
    <n v="0"/>
    <s v="FILE 2524"/>
    <m/>
    <s v="CONTAINERS"/>
    <s v="TBA"/>
    <m/>
    <m/>
    <m/>
    <d v="2023-08-11T00:00:00"/>
    <d v="2023-08-11T00:00:00"/>
    <s v="2183-23-0020-2"/>
    <n v="700"/>
    <n v="14050"/>
    <n v="44529.36"/>
    <n v="14056"/>
    <n v="4771"/>
    <n v="0"/>
    <n v="39758.36"/>
    <n v="2120.44"/>
    <n v="54260"/>
    <n v="530.11"/>
    <n v="0"/>
    <n v="530.11"/>
    <s v="P"/>
    <m/>
    <m/>
    <n v="0"/>
    <x v="2"/>
    <s v="MSW Carts"/>
    <n v="8"/>
    <n v="2023"/>
    <n v="2030"/>
    <n v="2030.6666666666667"/>
    <n v="530.11142857142852"/>
    <n v="6361.3371428571427"/>
    <n v="6361.3371428571427"/>
    <n v="0"/>
    <n v="6361.3371428571427"/>
    <n v="38168.02285714286"/>
    <s v="No"/>
  </r>
  <r>
    <n v="2183"/>
    <n v="312962"/>
    <s v="P"/>
    <s v="Capitalized"/>
    <s v="1.5YD REL"/>
    <m/>
    <m/>
    <n v="5"/>
    <n v="0"/>
    <n v="0"/>
    <s v="ENTERPRISE SALES, INC"/>
    <m/>
    <s v="CONTAINERS"/>
    <s v="TBA"/>
    <m/>
    <s v="1.5 YD"/>
    <s v="FEL/REL/SL Metal"/>
    <d v="2007-11-27T00:00:00"/>
    <d v="2007-11-27T00:00:00"/>
    <s v="07-2010-450"/>
    <n v="1200"/>
    <n v="14050"/>
    <n v="2210"/>
    <n v="14056"/>
    <n v="2210"/>
    <n v="0"/>
    <n v="0"/>
    <n v="0"/>
    <n v="54260"/>
    <n v="0"/>
    <n v="0"/>
    <n v="0"/>
    <s v="P"/>
    <m/>
    <m/>
    <n v="0"/>
    <x v="3"/>
    <s v="Containers"/>
    <n v="11"/>
    <n v="2007"/>
    <n v="2019"/>
    <n v="2019.9166666666667"/>
    <n v="15.347222222222221"/>
    <n v="184.16666666666666"/>
    <n v="0"/>
    <n v="2210"/>
    <n v="2210"/>
    <n v="0"/>
    <s v="No"/>
  </r>
  <r>
    <n v="2183"/>
    <n v="312930"/>
    <s v="P"/>
    <s v="Capitalized"/>
    <s v="3Yd FEL Container"/>
    <m/>
    <m/>
    <n v="10"/>
    <m/>
    <n v="0"/>
    <s v="PO BOX 80983"/>
    <m/>
    <s v="CONTAINERS"/>
    <s v="TBA"/>
    <m/>
    <s v="3 YD"/>
    <s v="FEL/REL/SL Metal"/>
    <d v="2023-07-26T00:00:00"/>
    <d v="2023-07-26T00:00:00"/>
    <s v="2183-23-0021-3"/>
    <n v="1200"/>
    <n v="14050"/>
    <n v="10895.25"/>
    <n v="14056"/>
    <n v="680.95"/>
    <n v="0"/>
    <n v="10214.299999999999"/>
    <n v="302.64"/>
    <n v="54260"/>
    <n v="75.66"/>
    <n v="0"/>
    <n v="75.66"/>
    <s v="P"/>
    <m/>
    <m/>
    <n v="0"/>
    <x v="3"/>
    <s v="Containers"/>
    <n v="7"/>
    <n v="2023"/>
    <n v="2035"/>
    <n v="2035.5833333333333"/>
    <n v="75.661458333333329"/>
    <n v="907.9375"/>
    <n v="907.9375"/>
    <n v="0"/>
    <n v="907.9375"/>
    <n v="9987.3125"/>
    <s v="No"/>
  </r>
  <r>
    <n v="2183"/>
    <n v="312928"/>
    <s v="P"/>
    <s v="Capitalized"/>
    <s v="35 Gal Refuse Carts"/>
    <m/>
    <m/>
    <n v="1035"/>
    <m/>
    <n v="0"/>
    <s v="FILE 2524"/>
    <m/>
    <s v="CONTAINERS"/>
    <s v="TBA"/>
    <m/>
    <m/>
    <m/>
    <d v="2023-07-06T00:00:00"/>
    <d v="2023-07-06T00:00:00"/>
    <s v="2183-23-0020-1"/>
    <n v="700"/>
    <n v="14050"/>
    <n v="49084.31"/>
    <n v="14056"/>
    <n v="5843.38"/>
    <n v="0"/>
    <n v="43240.93"/>
    <n v="2337.36"/>
    <n v="54260"/>
    <n v="584.34"/>
    <n v="0"/>
    <n v="584.34"/>
    <s v="P"/>
    <m/>
    <m/>
    <n v="0"/>
    <x v="2"/>
    <s v="MSW Carts"/>
    <n v="7"/>
    <n v="2023"/>
    <n v="2030"/>
    <n v="2030.5833333333333"/>
    <n v="584.33702380952377"/>
    <n v="7012.0442857142853"/>
    <n v="7012.0442857142853"/>
    <n v="0"/>
    <n v="7012.0442857142853"/>
    <n v="42072.265714285713"/>
    <s v="No"/>
  </r>
  <r>
    <n v="2183"/>
    <n v="312920"/>
    <s v="P"/>
    <s v="Capitalized"/>
    <s v="1Yd REL Container"/>
    <m/>
    <m/>
    <n v="10"/>
    <m/>
    <n v="0"/>
    <s v="PO BOX 80983"/>
    <m/>
    <s v="CONTAINERS"/>
    <s v="TBA"/>
    <m/>
    <s v="1 YD"/>
    <s v="FEL/REL/SL Metal"/>
    <d v="2023-07-26T00:00:00"/>
    <d v="2023-07-26T00:00:00"/>
    <s v="2183-23-0021-1"/>
    <n v="1200"/>
    <n v="14050"/>
    <n v="8322"/>
    <n v="14056"/>
    <n v="520.12"/>
    <n v="0"/>
    <n v="7801.88"/>
    <n v="231.16"/>
    <n v="54260"/>
    <n v="57.79"/>
    <n v="0"/>
    <n v="57.79"/>
    <s v="P"/>
    <m/>
    <m/>
    <n v="0"/>
    <x v="3"/>
    <s v="Containers"/>
    <n v="7"/>
    <n v="2023"/>
    <n v="2035"/>
    <n v="2035.5833333333333"/>
    <n v="57.791666666666664"/>
    <n v="693.5"/>
    <n v="693.5"/>
    <n v="0"/>
    <n v="693.5"/>
    <n v="7628.5"/>
    <s v="No"/>
  </r>
  <r>
    <n v="2183"/>
    <n v="312919"/>
    <s v="P"/>
    <s v="Capitalized"/>
    <s v="1.5Yd REL Container"/>
    <m/>
    <m/>
    <n v="10"/>
    <m/>
    <n v="0"/>
    <s v="PO BOX 80983"/>
    <m/>
    <s v="CONTAINERS"/>
    <s v="TBA"/>
    <m/>
    <s v="1.5 YD"/>
    <s v="FEL/REL/SL Metal"/>
    <d v="2023-07-26T00:00:00"/>
    <d v="2023-07-26T00:00:00"/>
    <s v="2183-23-0021-2"/>
    <n v="1200"/>
    <n v="14050"/>
    <n v="8595.75"/>
    <n v="14056"/>
    <n v="537.22"/>
    <n v="0"/>
    <n v="8058.53"/>
    <n v="238.76"/>
    <n v="54260"/>
    <n v="59.69"/>
    <n v="0"/>
    <n v="59.69"/>
    <s v="P"/>
    <m/>
    <m/>
    <n v="0"/>
    <x v="3"/>
    <s v="Containers"/>
    <n v="7"/>
    <n v="2023"/>
    <n v="2035"/>
    <n v="2035.5833333333333"/>
    <n v="59.692708333333336"/>
    <n v="716.3125"/>
    <n v="716.3125"/>
    <n v="0"/>
    <n v="716.3125"/>
    <n v="7879.4375"/>
    <s v="No"/>
  </r>
  <r>
    <n v="2183"/>
    <n v="312644"/>
    <n v="312643"/>
    <s v="Capitalized"/>
    <s v="HP USB-C G5 Essential Docking Station - SN: 5CG252P61S"/>
    <m/>
    <m/>
    <n v="1"/>
    <m/>
    <n v="0"/>
    <s v="CDW DIR #KX18668"/>
    <m/>
    <s v="HARDWARE AND SOFTWARE"/>
    <s v="TBA"/>
    <m/>
    <m/>
    <m/>
    <d v="2023-07-26T00:00:00"/>
    <d v="2023-07-26T00:00:00"/>
    <s v="2183-23-0022-1"/>
    <n v="300"/>
    <n v="14110"/>
    <n v="212.7"/>
    <n v="14116"/>
    <n v="53.18"/>
    <n v="0"/>
    <n v="159.51999999999998"/>
    <n v="23.64"/>
    <n v="70260"/>
    <n v="5.91"/>
    <n v="0"/>
    <n v="5.91"/>
    <s v="P"/>
    <m/>
    <m/>
    <n v="0"/>
    <x v="8"/>
    <s v="Office Equipment"/>
    <n v="7"/>
    <n v="2023"/>
    <n v="2026"/>
    <n v="2026.5833333333333"/>
    <n v="5.9083333333333323"/>
    <n v="70.899999999999991"/>
    <n v="70.899999999999991"/>
    <n v="0"/>
    <n v="70.899999999999991"/>
    <n v="141.80000000000001"/>
    <s v="No"/>
  </r>
  <r>
    <n v="2183"/>
    <n v="312643"/>
    <s v="P"/>
    <s v="Capitalized"/>
    <s v="HP ProBook 450 G9 Notebook - SN: 5CD3221Q6D"/>
    <m/>
    <m/>
    <n v="1"/>
    <m/>
    <n v="0"/>
    <s v="CDW DIR #KX18668"/>
    <m/>
    <s v="HARDWARE AND SOFTWARE"/>
    <s v="TBA"/>
    <m/>
    <m/>
    <m/>
    <d v="2023-07-26T00:00:00"/>
    <d v="2023-07-26T00:00:00"/>
    <s v="2183-23-0022-1"/>
    <n v="300"/>
    <n v="14110"/>
    <n v="1115"/>
    <n v="14116"/>
    <n v="278.74"/>
    <n v="0"/>
    <n v="836.26"/>
    <n v="123.88"/>
    <n v="70260"/>
    <n v="30.97"/>
    <n v="0"/>
    <n v="30.97"/>
    <s v="P"/>
    <m/>
    <m/>
    <n v="0"/>
    <x v="8"/>
    <s v="Office Equipment"/>
    <n v="7"/>
    <n v="2023"/>
    <n v="2026"/>
    <n v="2026.5833333333333"/>
    <n v="30.972222222222225"/>
    <n v="371.66666666666669"/>
    <n v="371.66666666666669"/>
    <n v="0"/>
    <n v="371.66666666666669"/>
    <n v="743.33333333333326"/>
    <s v="No"/>
  </r>
  <r>
    <n v="2183"/>
    <n v="312601"/>
    <n v="311269"/>
    <s v="Capitalized"/>
    <s v="License for Truck 2066"/>
    <m/>
    <m/>
    <n v="1"/>
    <s v="3BPDLK0X7RF115386"/>
    <n v="0"/>
    <s v="WA DOL"/>
    <m/>
    <s v="TRUCKS AND TRAILERS"/>
    <s v="TBA"/>
    <s v="Non-Rolling Stock"/>
    <m/>
    <m/>
    <d v="2023-07-26T00:00:00"/>
    <d v="2023-07-26T00:00:00"/>
    <s v="2183-23-0008-1"/>
    <n v="1000"/>
    <n v="14040"/>
    <n v="471.99"/>
    <n v="14046"/>
    <n v="35.39"/>
    <n v="0"/>
    <n v="436.6"/>
    <n v="15.72"/>
    <n v="51260"/>
    <n v="3.93"/>
    <n v="0"/>
    <n v="3.93"/>
    <s v="P"/>
    <m/>
    <m/>
    <n v="2066"/>
    <x v="1"/>
    <s v="Commercial MSW Truck"/>
    <n v="7"/>
    <n v="2023"/>
    <n v="2033"/>
    <n v="2033.5833333333333"/>
    <n v="3.9332499999999997"/>
    <n v="47.198999999999998"/>
    <n v="47.198999999999998"/>
    <n v="0"/>
    <n v="47.198999999999998"/>
    <n v="424.791"/>
    <s v="No"/>
  </r>
  <r>
    <n v="2183"/>
    <n v="312600"/>
    <n v="311268"/>
    <s v="Capitalized"/>
    <s v="License for Truck 3735"/>
    <m/>
    <m/>
    <n v="1"/>
    <s v="3BPDLK0X1RF116257"/>
    <n v="0"/>
    <s v="WA DOL"/>
    <m/>
    <s v="TRUCKS AND TRAILERS"/>
    <s v="TBA"/>
    <s v="Non-Rolling Stock"/>
    <m/>
    <m/>
    <d v="2023-07-25T00:00:00"/>
    <d v="2023-07-25T00:00:00"/>
    <s v="2183-23-0007-1"/>
    <n v="1000"/>
    <n v="14040"/>
    <n v="472"/>
    <n v="14046"/>
    <n v="35.39"/>
    <n v="0"/>
    <n v="436.61"/>
    <n v="15.72"/>
    <n v="51260"/>
    <n v="3.93"/>
    <n v="0"/>
    <n v="3.93"/>
    <s v="P"/>
    <m/>
    <m/>
    <n v="3735"/>
    <x v="1"/>
    <s v="Res/Comm MSW Truck"/>
    <n v="7"/>
    <n v="2023"/>
    <n v="2033"/>
    <n v="2033.5833333333333"/>
    <n v="3.9333333333333336"/>
    <n v="47.2"/>
    <n v="47.2"/>
    <n v="0"/>
    <n v="47.2"/>
    <n v="424.8"/>
    <s v="No"/>
  </r>
  <r>
    <n v="2183"/>
    <n v="312599"/>
    <n v="311267"/>
    <s v="Capitalized"/>
    <s v="License for Truck 3734"/>
    <m/>
    <m/>
    <n v="1"/>
    <s v="3BPDLK0XXRF116256"/>
    <n v="0"/>
    <s v="WA DOL"/>
    <m/>
    <s v="TRUCKS AND TRAILERS"/>
    <s v="TBA"/>
    <s v="Non-Rolling Stock"/>
    <m/>
    <m/>
    <d v="2023-07-25T00:00:00"/>
    <d v="2023-07-25T00:00:00"/>
    <s v="2183-23-0003-1"/>
    <n v="1000"/>
    <n v="14040"/>
    <n v="472"/>
    <n v="14046"/>
    <n v="35.39"/>
    <n v="0"/>
    <n v="436.61"/>
    <n v="15.72"/>
    <n v="51260"/>
    <n v="3.93"/>
    <n v="0"/>
    <n v="3.93"/>
    <s v="P"/>
    <m/>
    <m/>
    <n v="3734"/>
    <x v="1"/>
    <s v="Res/Comm MSW Truck"/>
    <n v="7"/>
    <n v="2023"/>
    <n v="2033"/>
    <n v="2033.5833333333333"/>
    <n v="3.9333333333333336"/>
    <n v="47.2"/>
    <n v="47.2"/>
    <n v="0"/>
    <n v="47.2"/>
    <n v="424.8"/>
    <s v="No"/>
  </r>
  <r>
    <n v="2183"/>
    <n v="311964"/>
    <s v="P"/>
    <s v="Capitalized"/>
    <s v="10Yd Roll Off Container and Lids"/>
    <m/>
    <m/>
    <n v="2"/>
    <m/>
    <n v="0"/>
    <s v="PO BOX 80983"/>
    <m/>
    <s v="CONTAINERS"/>
    <s v="TBA"/>
    <m/>
    <s v="10 YD"/>
    <s v="RO Box"/>
    <d v="2023-05-17T00:00:00"/>
    <d v="2023-05-17T00:00:00"/>
    <s v="2183-23-0015-1"/>
    <n v="1200"/>
    <n v="14050"/>
    <n v="15000"/>
    <n v="14056"/>
    <n v="1145.8499999999999"/>
    <n v="0"/>
    <n v="13854.15"/>
    <n v="416.68"/>
    <n v="54260"/>
    <n v="104.17"/>
    <n v="0"/>
    <n v="104.17"/>
    <s v="P"/>
    <m/>
    <m/>
    <n v="0"/>
    <x v="11"/>
    <s v="Drop Boxes"/>
    <n v="5"/>
    <n v="2023"/>
    <n v="2035"/>
    <n v="2035.4166666666667"/>
    <n v="104.16666666666667"/>
    <n v="1250"/>
    <n v="1250"/>
    <n v="0"/>
    <n v="1250"/>
    <n v="13750"/>
    <s v="No"/>
  </r>
  <r>
    <n v="2183"/>
    <n v="311683"/>
    <n v="311268"/>
    <s v="Capitalized"/>
    <s v="2024 Peterbilt ASL Truck"/>
    <m/>
    <m/>
    <n v="1"/>
    <s v="3BPDLK0X1RF116257"/>
    <n v="0"/>
    <s v="SCRANTON MFG CO INC"/>
    <m/>
    <s v="TRUCKS AND TRAILERS"/>
    <s v="TBA"/>
    <s v="Non-Rolling Stock"/>
    <m/>
    <m/>
    <d v="2023-07-25T00:00:00"/>
    <d v="2023-07-25T00:00:00"/>
    <s v="2183-23-0007-1"/>
    <n v="1000"/>
    <n v="14040"/>
    <n v="174229.9"/>
    <n v="14046"/>
    <n v="13067.26"/>
    <n v="0"/>
    <n v="161162.63999999998"/>
    <n v="5807.68"/>
    <n v="51260"/>
    <n v="1451.92"/>
    <n v="0"/>
    <n v="1451.92"/>
    <s v="P"/>
    <m/>
    <m/>
    <n v="3735"/>
    <x v="1"/>
    <s v="Res/Comm MSW Truck"/>
    <n v="7"/>
    <n v="2023"/>
    <n v="2033"/>
    <n v="2033.5833333333333"/>
    <n v="1451.9158333333332"/>
    <n v="17422.989999999998"/>
    <n v="17422.989999999998"/>
    <n v="0"/>
    <n v="17422.989999999998"/>
    <n v="156806.91"/>
    <s v="No"/>
  </r>
  <r>
    <n v="2183"/>
    <n v="311682"/>
    <n v="311267"/>
    <s v="Capitalized"/>
    <s v="2024 Peterbilt ASL Truck"/>
    <m/>
    <m/>
    <n v="1"/>
    <s v="3BPDLK0XXRF116256"/>
    <n v="0"/>
    <s v="SCRANTON MFG CO INC"/>
    <m/>
    <s v="TRUCKS AND TRAILERS"/>
    <s v="TBA"/>
    <s v="Non-Rolling Stock"/>
    <m/>
    <m/>
    <d v="2023-07-25T00:00:00"/>
    <d v="2023-07-25T00:00:00"/>
    <s v="2183-23-0003-1"/>
    <n v="1000"/>
    <n v="14040"/>
    <n v="174229.9"/>
    <n v="14046"/>
    <n v="13067.26"/>
    <n v="0"/>
    <n v="161162.63999999998"/>
    <n v="5807.68"/>
    <n v="51260"/>
    <n v="1451.92"/>
    <n v="0"/>
    <n v="1451.92"/>
    <s v="P"/>
    <m/>
    <m/>
    <n v="3734"/>
    <x v="1"/>
    <s v="Res/Comm MSW Truck"/>
    <n v="7"/>
    <n v="2023"/>
    <n v="2033"/>
    <n v="2033.5833333333333"/>
    <n v="1451.9158333333332"/>
    <n v="17422.989999999998"/>
    <n v="17422.989999999998"/>
    <n v="0"/>
    <n v="17422.989999999998"/>
    <n v="156806.91"/>
    <s v="No"/>
  </r>
  <r>
    <n v="2183"/>
    <n v="311679"/>
    <n v="311269"/>
    <s v="Capitalized"/>
    <s v="2024 Peterbilt FEL Truck"/>
    <m/>
    <m/>
    <n v="1"/>
    <s v="3BPDLK0X7RF115386"/>
    <n v="0"/>
    <s v="PO BOX 13040"/>
    <m/>
    <s v="TRUCKS AND TRAILERS"/>
    <s v="TBA"/>
    <s v="Non-Rolling Stock"/>
    <m/>
    <m/>
    <d v="2023-07-26T00:00:00"/>
    <d v="2023-07-26T00:00:00"/>
    <s v="2183-23-0008-1"/>
    <n v="1000"/>
    <n v="14040"/>
    <n v="197657.94"/>
    <n v="14046"/>
    <n v="14824.35"/>
    <n v="0"/>
    <n v="182833.59"/>
    <n v="6588.6"/>
    <n v="51260"/>
    <n v="1647.15"/>
    <n v="0"/>
    <n v="1647.15"/>
    <s v="P"/>
    <m/>
    <m/>
    <n v="2066"/>
    <x v="1"/>
    <s v="Commercial MSW Truck"/>
    <n v="7"/>
    <n v="2023"/>
    <n v="2033"/>
    <n v="2033.5833333333333"/>
    <n v="1647.1495000000002"/>
    <n v="19765.794000000002"/>
    <n v="19765.794000000002"/>
    <n v="0"/>
    <n v="19765.794000000002"/>
    <n v="177892.14600000001"/>
    <s v="No"/>
  </r>
  <r>
    <n v="2183"/>
    <n v="311269"/>
    <s v="P"/>
    <s v="Capitalized"/>
    <s v="2024 Peterbilt FEL Truck"/>
    <m/>
    <m/>
    <n v="1"/>
    <s v="3BPDLK0X7RF115386"/>
    <n v="2024"/>
    <m/>
    <m/>
    <s v="TRUCKS AND TRAILERS"/>
    <s v="TBA"/>
    <s v="Front Loader"/>
    <m/>
    <m/>
    <d v="2023-07-26T00:00:00"/>
    <d v="2023-07-26T00:00:00"/>
    <s v="2183-23-0008-1"/>
    <n v="1000"/>
    <n v="14040"/>
    <n v="221733.38"/>
    <n v="14046"/>
    <n v="16630.009999999998"/>
    <n v="0"/>
    <n v="205103.37"/>
    <n v="7391.12"/>
    <n v="51260"/>
    <n v="1847.78"/>
    <n v="0"/>
    <n v="1847.78"/>
    <s v="P"/>
    <m/>
    <m/>
    <s v="2066"/>
    <x v="1"/>
    <s v="Res/Comm MSW Truck"/>
    <n v="7"/>
    <n v="2023"/>
    <n v="2033"/>
    <n v="2033.5833333333333"/>
    <n v="1847.7781666666667"/>
    <n v="22173.338"/>
    <n v="22173.338"/>
    <n v="0"/>
    <n v="22173.338"/>
    <n v="199560.04200000002"/>
    <s v="No"/>
  </r>
  <r>
    <n v="2183"/>
    <n v="311268"/>
    <s v="P"/>
    <s v="Capitalized"/>
    <s v="2024 Peterbilt ASL Truck"/>
    <m/>
    <m/>
    <n v="1"/>
    <s v="3BPDLK0X1RF116257"/>
    <n v="2024"/>
    <m/>
    <m/>
    <s v="TRUCKS AND TRAILERS"/>
    <s v="TBA"/>
    <s v="Automated Side Loader"/>
    <m/>
    <m/>
    <d v="2023-07-25T00:00:00"/>
    <d v="2023-07-25T00:00:00"/>
    <s v="2183-23-0007-1"/>
    <n v="1000"/>
    <n v="14040"/>
    <n v="224628.4"/>
    <n v="14046"/>
    <n v="16847.12"/>
    <n v="0"/>
    <n v="207781.28"/>
    <n v="7487.6"/>
    <n v="51260"/>
    <n v="1871.9"/>
    <n v="0"/>
    <n v="1871.9"/>
    <s v="P"/>
    <m/>
    <m/>
    <s v="3735"/>
    <x v="1"/>
    <s v="Res/Comm MSW Truck"/>
    <n v="7"/>
    <n v="2023"/>
    <n v="2033"/>
    <n v="2033.5833333333333"/>
    <n v="1871.9033333333334"/>
    <n v="22462.84"/>
    <n v="22462.84"/>
    <n v="0"/>
    <n v="22462.84"/>
    <n v="202165.56"/>
    <s v="No"/>
  </r>
  <r>
    <n v="2183"/>
    <n v="311267"/>
    <s v="P"/>
    <s v="Capitalized"/>
    <s v="2024 Peterbilt ASL Truck"/>
    <m/>
    <m/>
    <n v="1"/>
    <s v="3BPDLK0XXRF116256"/>
    <n v="2024"/>
    <m/>
    <m/>
    <s v="TRUCKS AND TRAILERS"/>
    <s v="TBA"/>
    <s v="Automated Side Loader"/>
    <m/>
    <m/>
    <d v="2023-07-25T00:00:00"/>
    <d v="2023-07-25T00:00:00"/>
    <s v="2183-23-0003-1"/>
    <n v="1000"/>
    <n v="14040"/>
    <n v="224628.4"/>
    <n v="14046"/>
    <n v="16847.12"/>
    <n v="0"/>
    <n v="207781.28"/>
    <n v="7487.6"/>
    <n v="51260"/>
    <n v="1871.9"/>
    <n v="0"/>
    <n v="1871.9"/>
    <s v="P"/>
    <m/>
    <m/>
    <s v="3734"/>
    <x v="1"/>
    <s v="Res/Comm MSW Truck"/>
    <n v="7"/>
    <n v="2023"/>
    <n v="2033"/>
    <n v="2033.5833333333333"/>
    <n v="1871.9033333333334"/>
    <n v="22462.84"/>
    <n v="22462.84"/>
    <n v="0"/>
    <n v="22462.84"/>
    <n v="202165.56"/>
    <s v="No"/>
  </r>
  <r>
    <n v="2183"/>
    <n v="310662"/>
    <s v="P"/>
    <s v="Capitalized"/>
    <s v="2002 Type H Drop R/O"/>
    <m/>
    <m/>
    <n v="1"/>
    <s v="3HTCEAMR32N033908"/>
    <n v="2002"/>
    <s v="International"/>
    <s v="AA Welding"/>
    <s v="TRUCKS AND TRAILERS"/>
    <s v="TBA"/>
    <s v="Roll Off"/>
    <m/>
    <m/>
    <d v="2008-11-03T00:00:00"/>
    <d v="2008-11-03T00:00:00"/>
    <m/>
    <n v="300"/>
    <n v="14040"/>
    <n v="51500"/>
    <n v="14046"/>
    <n v="51500"/>
    <n v="0"/>
    <n v="0"/>
    <n v="0"/>
    <n v="51260"/>
    <n v="0"/>
    <n v="0"/>
    <n v="0"/>
    <s v="A"/>
    <s v="LeMay Enterprises"/>
    <n v="4030"/>
    <s v="4030"/>
    <x v="1"/>
    <s v="Res/Comm MSW Truck"/>
    <n v="11"/>
    <n v="2008"/>
    <n v="2011"/>
    <n v="2011.9166666666667"/>
    <n v="1430.5555555555557"/>
    <n v="17166.666666666668"/>
    <n v="0"/>
    <n v="51500"/>
    <n v="51500"/>
    <n v="0"/>
    <s v="No"/>
  </r>
  <r>
    <n v="2183"/>
    <n v="310661"/>
    <s v="P"/>
    <s v="Capitalized"/>
    <s v="2007  Sterling  4000 Qallon water truck"/>
    <m/>
    <m/>
    <n v="1"/>
    <s v="2FZHAWDC27AX84836"/>
    <n v="2007"/>
    <s v="Sterling"/>
    <s v="Other"/>
    <s v="TRUCKS AND TRAILERS"/>
    <s v="TBA"/>
    <s v="Water Truck"/>
    <m/>
    <m/>
    <d v="2009-04-01T00:00:00"/>
    <d v="2009-04-01T00:00:00"/>
    <m/>
    <n v="800"/>
    <n v="14040"/>
    <n v="46500"/>
    <n v="14046"/>
    <n v="46500"/>
    <n v="0"/>
    <n v="0"/>
    <n v="0"/>
    <n v="51260"/>
    <n v="0"/>
    <n v="0"/>
    <n v="0"/>
    <s v="A"/>
    <s v="Chiquita Landfill"/>
    <n v="9997"/>
    <n v="9997"/>
    <x v="7"/>
    <s v="Shop Equipment"/>
    <n v="4"/>
    <n v="2009"/>
    <n v="2017"/>
    <n v="2017.3333333333333"/>
    <n v="484.375"/>
    <n v="5812.5"/>
    <n v="0"/>
    <n v="46500"/>
    <n v="46500"/>
    <n v="0"/>
    <s v="No"/>
  </r>
  <r>
    <n v="2183"/>
    <n v="310660"/>
    <n v="310651"/>
    <s v="Capitalized"/>
    <s v="Improvement-Auto Tarper Truck 4039"/>
    <m/>
    <m/>
    <n v="1"/>
    <m/>
    <n v="0"/>
    <s v="SOLID WASTE SYSTEMS INC"/>
    <m/>
    <s v="TRUCKS AND TRAILERS"/>
    <s v="TBA"/>
    <s v="Non-Rolling Stock"/>
    <m/>
    <m/>
    <d v="2014-11-26T00:00:00"/>
    <d v="2014-11-26T00:00:00"/>
    <s v="2183-14-0028-3"/>
    <n v="300"/>
    <n v="14040"/>
    <n v="7331.82"/>
    <n v="14046"/>
    <n v="7331.82"/>
    <n v="0"/>
    <n v="0"/>
    <n v="0"/>
    <n v="51260"/>
    <n v="0"/>
    <n v="0"/>
    <n v="0"/>
    <s v="P"/>
    <m/>
    <m/>
    <n v="4039"/>
    <x v="6"/>
    <s v="Roll Off Truck"/>
    <n v="11"/>
    <n v="2014"/>
    <n v="2017"/>
    <n v="2017.9166666666667"/>
    <n v="203.66166666666666"/>
    <n v="2443.94"/>
    <n v="0"/>
    <n v="7331.82"/>
    <n v="7331.82"/>
    <n v="0"/>
    <s v="No"/>
  </r>
  <r>
    <n v="2183"/>
    <n v="310659"/>
    <n v="310650"/>
    <s v="Capitalized"/>
    <s v="Chain for Unit# 4026"/>
    <m/>
    <m/>
    <n v="1"/>
    <m/>
    <n v="0"/>
    <s v="SOLID WASTE SYSTEMS INC"/>
    <m/>
    <s v="TRUCKS AND TRAILERS"/>
    <s v="TBA"/>
    <s v="Non-Rolling Stock"/>
    <m/>
    <m/>
    <d v="2012-10-01T00:00:00"/>
    <d v="2012-10-01T00:00:00"/>
    <s v="2184-12-0006-1"/>
    <n v="300"/>
    <n v="14040"/>
    <n v="43245.21"/>
    <n v="14046"/>
    <n v="43245.21"/>
    <n v="0"/>
    <n v="0"/>
    <n v="0"/>
    <n v="51260"/>
    <n v="0"/>
    <n v="0"/>
    <n v="0"/>
    <s v="P"/>
    <m/>
    <m/>
    <n v="4026"/>
    <x v="6"/>
    <s v="Roll Off Truck"/>
    <n v="10"/>
    <n v="2012"/>
    <n v="2015"/>
    <n v="2015.8333333333333"/>
    <n v="1201.2558333333334"/>
    <n v="14415.07"/>
    <n v="0"/>
    <n v="43245.21"/>
    <n v="43245.21"/>
    <n v="0"/>
    <s v="No"/>
  </r>
  <r>
    <n v="2183"/>
    <n v="310657"/>
    <n v="310649"/>
    <s v="Capitalized"/>
    <s v="Body Replacement for Unit# 4021"/>
    <m/>
    <m/>
    <n v="1"/>
    <m/>
    <n v="0"/>
    <s v="SOLID WASTE SYSTEMS INC"/>
    <m/>
    <s v="TRUCKS AND TRAILERS"/>
    <s v="TBA"/>
    <s v="Non-Rolling Stock"/>
    <m/>
    <m/>
    <d v="2012-04-02T00:00:00"/>
    <d v="2012-04-02T00:00:00"/>
    <s v="2184-12-0005-1"/>
    <n v="300"/>
    <n v="14040"/>
    <n v="45310.51"/>
    <n v="14046"/>
    <n v="45310.51"/>
    <n v="0"/>
    <n v="0"/>
    <n v="0"/>
    <n v="51260"/>
    <n v="0"/>
    <n v="0"/>
    <n v="0"/>
    <s v="P"/>
    <m/>
    <m/>
    <n v="4021"/>
    <x v="6"/>
    <s v="Roll Off Truck"/>
    <n v="4"/>
    <n v="2012"/>
    <n v="2015"/>
    <n v="2015.3333333333333"/>
    <n v="1258.6252777777779"/>
    <n v="15103.503333333334"/>
    <n v="0"/>
    <n v="45310.51"/>
    <n v="45310.51"/>
    <n v="0"/>
    <s v="No"/>
  </r>
  <r>
    <n v="2183"/>
    <n v="310655"/>
    <n v="310649"/>
    <s v="Capitalized"/>
    <s v="FLUP - Truck 4021"/>
    <m/>
    <m/>
    <n v="1"/>
    <n v="73583"/>
    <n v="2000"/>
    <m/>
    <m/>
    <s v="TRUCKS AND TRAILERS"/>
    <s v="TBA"/>
    <s v="Non-Rolling Stock"/>
    <m/>
    <m/>
    <d v="2009-06-01T00:00:00"/>
    <d v="2009-06-01T00:00:00"/>
    <s v="2184-9-0007-1"/>
    <n v="300"/>
    <n v="14040"/>
    <n v="2544.1999999999998"/>
    <n v="14046"/>
    <n v="2544.1999999999998"/>
    <n v="0"/>
    <n v="0"/>
    <n v="0"/>
    <n v="51260"/>
    <n v="0"/>
    <n v="0"/>
    <n v="0"/>
    <s v="P"/>
    <m/>
    <n v="4021"/>
    <n v="4021"/>
    <x v="6"/>
    <s v="Roll Off Truck"/>
    <n v="6"/>
    <n v="2009"/>
    <n v="2012"/>
    <n v="2012.5"/>
    <n v="70.672222222222217"/>
    <n v="848.06666666666661"/>
    <n v="0"/>
    <n v="2544.1999999999998"/>
    <n v="2544.1999999999998"/>
    <n v="0"/>
    <s v="No"/>
  </r>
  <r>
    <n v="2183"/>
    <n v="310654"/>
    <n v="310650"/>
    <s v="Capitalized"/>
    <s v="FLUP - Truck 4026"/>
    <m/>
    <m/>
    <n v="1"/>
    <n v="18477"/>
    <n v="2001"/>
    <m/>
    <m/>
    <s v="TRUCKS AND TRAILERS"/>
    <s v="TBA"/>
    <s v="Non-Rolling Stock"/>
    <m/>
    <m/>
    <d v="2009-05-03T00:00:00"/>
    <d v="2009-05-03T00:00:00"/>
    <s v="2184-8-0001-1"/>
    <n v="300"/>
    <n v="14040"/>
    <n v="2837.2"/>
    <n v="14046"/>
    <n v="2837.2"/>
    <n v="0"/>
    <n v="0"/>
    <n v="0"/>
    <n v="51260"/>
    <n v="0"/>
    <n v="0"/>
    <n v="0"/>
    <s v="P"/>
    <m/>
    <n v="4026"/>
    <n v="4026"/>
    <x v="6"/>
    <s v="Roll Off Truck"/>
    <n v="5"/>
    <n v="2009"/>
    <n v="2012"/>
    <n v="2012.4166666666667"/>
    <n v="78.811111111111103"/>
    <n v="945.73333333333323"/>
    <n v="0"/>
    <n v="2837.2"/>
    <n v="2837.2"/>
    <n v="0"/>
    <s v="No"/>
  </r>
  <r>
    <n v="2183"/>
    <n v="310651"/>
    <s v="P"/>
    <s v="Capitalized"/>
    <s v="2004 Type H Drop R/O"/>
    <m/>
    <m/>
    <n v="1"/>
    <s v="2FZHAZCK64AN42816"/>
    <n v="2004"/>
    <s v="Sterling"/>
    <s v="Helm"/>
    <s v="TRUCKS AND TRAILERS"/>
    <s v="TBA"/>
    <s v="Roll Off"/>
    <m/>
    <m/>
    <d v="2008-11-03T00:00:00"/>
    <d v="2008-11-03T00:00:00"/>
    <m/>
    <n v="500"/>
    <n v="14040"/>
    <n v="61500"/>
    <n v="14046"/>
    <n v="61500"/>
    <n v="0"/>
    <n v="0"/>
    <n v="0"/>
    <n v="51260"/>
    <n v="0"/>
    <n v="0"/>
    <n v="0"/>
    <s v="A"/>
    <s v="LeMay Enterprises"/>
    <n v="4039"/>
    <s v="4039"/>
    <x v="6"/>
    <s v="Roll Off Truck"/>
    <n v="11"/>
    <n v="2008"/>
    <n v="2013"/>
    <n v="2013.9166666666667"/>
    <n v="1025"/>
    <n v="12300"/>
    <n v="0"/>
    <n v="61500"/>
    <n v="61500"/>
    <n v="0"/>
    <s v="No"/>
  </r>
  <r>
    <n v="2183"/>
    <n v="310650"/>
    <s v="P"/>
    <s v="Capitalized"/>
    <s v="2001 Type H Drop R/O"/>
    <m/>
    <m/>
    <n v="1"/>
    <s v="2HTCEAMR41C018477"/>
    <n v="2001"/>
    <s v="International"/>
    <s v="AA Welding"/>
    <s v="TRUCKS AND TRAILERS"/>
    <s v="TBA"/>
    <s v="Roll Off"/>
    <m/>
    <m/>
    <d v="2008-11-03T00:00:00"/>
    <d v="2008-11-03T00:00:00"/>
    <m/>
    <n v="300"/>
    <n v="14040"/>
    <n v="46500"/>
    <n v="14046"/>
    <n v="46500"/>
    <n v="0"/>
    <n v="0"/>
    <n v="0"/>
    <n v="51260"/>
    <n v="0"/>
    <n v="0"/>
    <n v="0"/>
    <s v="A"/>
    <s v="LeMay Enterprises"/>
    <n v="4026"/>
    <s v="4026"/>
    <x v="6"/>
    <s v="Roll Off Truck"/>
    <n v="11"/>
    <n v="2008"/>
    <n v="2011"/>
    <n v="2011.9166666666667"/>
    <n v="1291.6666666666667"/>
    <n v="15500"/>
    <n v="0"/>
    <n v="46500"/>
    <n v="46500"/>
    <n v="0"/>
    <s v="No"/>
  </r>
  <r>
    <n v="2183"/>
    <n v="310649"/>
    <s v="P"/>
    <s v="Capitalized"/>
    <s v="2000 Type H Drop R/O"/>
    <m/>
    <m/>
    <n v="1"/>
    <s v="2HTCEAMR0YC073583"/>
    <n v="2000"/>
    <s v="International"/>
    <s v="AA Welding"/>
    <s v="TRUCKS AND TRAILERS"/>
    <s v="TBA"/>
    <s v="Roll Off"/>
    <m/>
    <m/>
    <d v="2008-11-03T00:00:00"/>
    <d v="2008-11-03T00:00:00"/>
    <m/>
    <n v="300"/>
    <n v="14040"/>
    <n v="41500"/>
    <n v="14046"/>
    <n v="41500"/>
    <n v="0"/>
    <n v="0"/>
    <n v="0"/>
    <n v="51260"/>
    <n v="0"/>
    <n v="0"/>
    <n v="0"/>
    <s v="A"/>
    <s v="LeMay Enterprises"/>
    <n v="4021"/>
    <s v="4021"/>
    <x v="6"/>
    <s v="Roll Off Truck"/>
    <n v="11"/>
    <n v="2008"/>
    <n v="2011"/>
    <n v="2011.9166666666667"/>
    <n v="1152.7777777777778"/>
    <n v="13833.333333333334"/>
    <n v="0"/>
    <n v="41500"/>
    <n v="41500"/>
    <n v="0"/>
    <s v="No"/>
  </r>
  <r>
    <n v="2183"/>
    <n v="310538"/>
    <s v="P"/>
    <s v="Capitalized"/>
    <s v="6 Yd FEL Containers"/>
    <m/>
    <m/>
    <n v="8"/>
    <m/>
    <n v="0"/>
    <s v="PO BOX 80983"/>
    <m/>
    <s v="CONTAINERS"/>
    <s v="TBA"/>
    <m/>
    <s v="6 YD"/>
    <s v="FEL/REL/SL Metal"/>
    <d v="2023-06-27T00:00:00"/>
    <d v="2023-06-27T00:00:00"/>
    <s v="2183-23-0019-1"/>
    <n v="1200"/>
    <n v="14050"/>
    <n v="12658.2"/>
    <n v="14056"/>
    <n v="879.03"/>
    <n v="0"/>
    <n v="11779.17"/>
    <n v="351.6"/>
    <n v="54260"/>
    <n v="87.9"/>
    <n v="0"/>
    <n v="87.9"/>
    <s v="P"/>
    <m/>
    <m/>
    <n v="0"/>
    <x v="3"/>
    <s v="Containers"/>
    <n v="6"/>
    <n v="2023"/>
    <n v="2035"/>
    <n v="2035.5"/>
    <n v="87.904166666666683"/>
    <n v="1054.8500000000001"/>
    <n v="1054.8500000000001"/>
    <n v="0"/>
    <n v="1054.8500000000001"/>
    <n v="11603.35"/>
    <s v="No"/>
  </r>
  <r>
    <n v="2183"/>
    <n v="310516"/>
    <s v="P"/>
    <s v="Capitalized"/>
    <s v="30YD Roll Off Container and Lids"/>
    <m/>
    <m/>
    <n v="2"/>
    <m/>
    <n v="0"/>
    <s v="PO BOX 80983"/>
    <m/>
    <s v="CONTAINERS"/>
    <s v="TBA"/>
    <m/>
    <s v="30 YD"/>
    <s v="RO Box"/>
    <d v="2023-06-01T00:00:00"/>
    <d v="2023-06-01T00:00:00"/>
    <s v="2183-23-0015-1"/>
    <n v="1200"/>
    <n v="14050"/>
    <n v="19960"/>
    <n v="14056"/>
    <n v="1524.71"/>
    <n v="0"/>
    <n v="18435.29"/>
    <n v="554.44000000000005"/>
    <n v="54260"/>
    <n v="138.61000000000001"/>
    <n v="0"/>
    <n v="138.61000000000001"/>
    <s v="P"/>
    <m/>
    <m/>
    <n v="0"/>
    <x v="11"/>
    <s v="Containers"/>
    <n v="6"/>
    <n v="2023"/>
    <n v="2035"/>
    <n v="2035.5"/>
    <n v="138.61111111111111"/>
    <n v="1663.3333333333335"/>
    <n v="1663.3333333333335"/>
    <n v="0"/>
    <n v="1663.3333333333335"/>
    <n v="18296.666666666668"/>
    <s v="No"/>
  </r>
  <r>
    <n v="2183"/>
    <n v="310515"/>
    <s v="P"/>
    <s v="Capitalized"/>
    <s v="30YD Roll Off Container"/>
    <m/>
    <m/>
    <n v="1"/>
    <m/>
    <n v="0"/>
    <s v="PO BOX 80983"/>
    <m/>
    <s v="CONTAINERS"/>
    <s v="TBA"/>
    <m/>
    <s v="30 YD"/>
    <s v="RO Box"/>
    <d v="2023-06-01T00:00:00"/>
    <d v="2023-06-01T00:00:00"/>
    <s v="2183-23-0015-1"/>
    <n v="1200"/>
    <n v="14050"/>
    <n v="9980"/>
    <n v="14056"/>
    <n v="762.38"/>
    <n v="0"/>
    <n v="9217.6200000000008"/>
    <n v="277.24"/>
    <n v="54260"/>
    <n v="69.31"/>
    <n v="0"/>
    <n v="69.31"/>
    <s v="P"/>
    <m/>
    <m/>
    <n v="0"/>
    <x v="11"/>
    <s v="Containers"/>
    <n v="6"/>
    <n v="2023"/>
    <n v="2035"/>
    <n v="2035.5"/>
    <n v="69.305555555555557"/>
    <n v="831.66666666666674"/>
    <n v="831.66666666666674"/>
    <n v="0"/>
    <n v="831.66666666666674"/>
    <n v="9148.3333333333339"/>
    <s v="No"/>
  </r>
  <r>
    <n v="2183"/>
    <n v="310513"/>
    <s v="P"/>
    <s v="Capitalized"/>
    <s v="30YD Roll Off Container"/>
    <m/>
    <m/>
    <n v="2"/>
    <m/>
    <n v="0"/>
    <s v="PO BOX 80983"/>
    <m/>
    <s v="CONTAINERS"/>
    <s v="TBA"/>
    <m/>
    <s v="30 YD"/>
    <s v="RO Box"/>
    <d v="2023-06-01T00:00:00"/>
    <d v="2023-06-01T00:00:00"/>
    <s v="2183-23-0015-1"/>
    <n v="1200"/>
    <n v="14050"/>
    <n v="19960"/>
    <n v="14056"/>
    <n v="1524.71"/>
    <n v="0"/>
    <n v="18435.29"/>
    <n v="554.44000000000005"/>
    <n v="54260"/>
    <n v="138.61000000000001"/>
    <n v="0"/>
    <n v="138.61000000000001"/>
    <s v="P"/>
    <m/>
    <m/>
    <n v="0"/>
    <x v="11"/>
    <s v="Containers"/>
    <n v="6"/>
    <n v="2023"/>
    <n v="2035"/>
    <n v="2035.5"/>
    <n v="138.61111111111111"/>
    <n v="1663.3333333333335"/>
    <n v="1663.3333333333335"/>
    <n v="0"/>
    <n v="1663.3333333333335"/>
    <n v="18296.666666666668"/>
    <s v="No"/>
  </r>
  <r>
    <n v="2183"/>
    <n v="310502"/>
    <s v="P"/>
    <s v="Capitalized"/>
    <s v="95Gal Yard Waste Carts"/>
    <m/>
    <m/>
    <n v="702"/>
    <m/>
    <n v="0"/>
    <s v="FILE 2524"/>
    <m/>
    <s v="CONTAINERS"/>
    <s v="TBA"/>
    <m/>
    <m/>
    <m/>
    <d v="2023-07-03T00:00:00"/>
    <d v="2023-07-03T00:00:00"/>
    <s v="2183-23-0020-4"/>
    <n v="700"/>
    <n v="14050"/>
    <n v="44537.9"/>
    <n v="14056"/>
    <n v="5302.12"/>
    <n v="0"/>
    <n v="39235.78"/>
    <n v="2120.84"/>
    <n v="54260"/>
    <n v="530.21"/>
    <n v="0"/>
    <n v="530.21"/>
    <s v="P"/>
    <m/>
    <m/>
    <n v="0"/>
    <x v="4"/>
    <s v="YW Carts"/>
    <n v="7"/>
    <n v="2023"/>
    <n v="2030"/>
    <n v="2030.5833333333333"/>
    <n v="530.21309523809521"/>
    <n v="6362.557142857142"/>
    <n v="6362.557142857142"/>
    <n v="0"/>
    <n v="6362.557142857142"/>
    <n v="38175.342857142859"/>
    <s v="No"/>
  </r>
  <r>
    <n v="2183"/>
    <n v="310501"/>
    <s v="P"/>
    <s v="Capitalized"/>
    <s v="95Gal Recycle Carts"/>
    <m/>
    <m/>
    <n v="702"/>
    <m/>
    <n v="0"/>
    <s v="FILE 2524"/>
    <m/>
    <s v="CONTAINERS"/>
    <s v="TBA"/>
    <m/>
    <m/>
    <m/>
    <d v="2023-07-03T00:00:00"/>
    <d v="2023-07-03T00:00:00"/>
    <s v="2183-23-0020-3"/>
    <n v="700"/>
    <n v="14050"/>
    <n v="44537.9"/>
    <n v="14056"/>
    <n v="5302.12"/>
    <n v="0"/>
    <n v="39235.78"/>
    <n v="2120.84"/>
    <n v="54260"/>
    <n v="530.21"/>
    <n v="0"/>
    <n v="530.21"/>
    <s v="P"/>
    <m/>
    <m/>
    <n v="0"/>
    <x v="5"/>
    <s v="Recycling Carts"/>
    <n v="7"/>
    <n v="2023"/>
    <n v="2030"/>
    <n v="2030.5833333333333"/>
    <n v="530.21309523809521"/>
    <n v="6362.557142857142"/>
    <n v="6362.557142857142"/>
    <n v="0"/>
    <n v="6362.557142857142"/>
    <n v="38175.342857142859"/>
    <s v="No"/>
  </r>
  <r>
    <n v="2183"/>
    <n v="310500"/>
    <s v="P"/>
    <s v="Capitalized"/>
    <s v="95 Gallon Yard Waste Carts - Plastic"/>
    <m/>
    <m/>
    <n v="702"/>
    <m/>
    <n v="0"/>
    <s v="FILE 2524"/>
    <m/>
    <s v="CONTAINERS"/>
    <s v="TBA"/>
    <m/>
    <m/>
    <m/>
    <d v="2023-05-30T00:00:00"/>
    <d v="2023-05-30T00:00:00"/>
    <s v="2183-23-0018-1"/>
    <n v="700"/>
    <n v="14050"/>
    <n v="43415.61"/>
    <n v="14056"/>
    <n v="5685.37"/>
    <n v="0"/>
    <n v="37730.239999999998"/>
    <n v="2067.4"/>
    <n v="54260"/>
    <n v="516.85"/>
    <n v="0"/>
    <n v="516.85"/>
    <s v="P"/>
    <m/>
    <m/>
    <n v="0"/>
    <x v="4"/>
    <s v="YW Carts"/>
    <n v="5"/>
    <n v="2023"/>
    <n v="2030"/>
    <n v="2030.4166666666667"/>
    <n v="516.85250000000008"/>
    <n v="6202.2300000000014"/>
    <n v="6202.2300000000014"/>
    <n v="0"/>
    <n v="6202.2300000000014"/>
    <n v="37213.379999999997"/>
    <s v="No"/>
  </r>
  <r>
    <n v="2183"/>
    <n v="310488"/>
    <s v="P"/>
    <s v="Capitalized"/>
    <s v="2 Yd REL Containers"/>
    <m/>
    <m/>
    <n v="10"/>
    <m/>
    <n v="0"/>
    <s v="PO BOX 80983"/>
    <m/>
    <s v="CONTAINERS"/>
    <s v="TBA"/>
    <m/>
    <s v="2 YD"/>
    <s v="FEL/REL/SL Metal"/>
    <d v="2023-05-31T00:00:00"/>
    <d v="2023-05-31T00:00:00"/>
    <s v="2183-23-0019-2"/>
    <n v="1200"/>
    <n v="14050"/>
    <n v="8705.25"/>
    <n v="14056"/>
    <n v="664.97"/>
    <n v="0"/>
    <n v="8040.28"/>
    <n v="241.8"/>
    <n v="54260"/>
    <n v="60.45"/>
    <n v="0"/>
    <n v="60.45"/>
    <s v="P"/>
    <m/>
    <m/>
    <n v="0"/>
    <x v="3"/>
    <s v="Containers"/>
    <n v="5"/>
    <n v="2023"/>
    <n v="2035"/>
    <n v="2035.4166666666667"/>
    <n v="60.453125"/>
    <n v="725.4375"/>
    <n v="725.4375"/>
    <n v="0"/>
    <n v="725.4375"/>
    <n v="7979.8125"/>
    <s v="No"/>
  </r>
  <r>
    <n v="2183"/>
    <n v="309087"/>
    <s v="P"/>
    <s v="Capitalized"/>
    <s v="2009 Chevrolet Pickup Truck #6053"/>
    <m/>
    <m/>
    <n v="1"/>
    <s v="1GCEK29J69E129559"/>
    <n v="2009"/>
    <s v="Chevrolet"/>
    <m/>
    <s v="TRUCKS AND TRAILERS"/>
    <s v="TBA"/>
    <s v="Pickup Truck"/>
    <m/>
    <m/>
    <d v="2015-08-03T00:00:00"/>
    <d v="2015-08-03T00:00:00"/>
    <s v="2184-15-0005-1"/>
    <n v="300"/>
    <n v="14040"/>
    <n v="23345.11"/>
    <n v="14046"/>
    <n v="23345.11"/>
    <n v="0"/>
    <n v="0"/>
    <n v="0"/>
    <n v="51260"/>
    <n v="0"/>
    <n v="0"/>
    <n v="0"/>
    <s v="P"/>
    <m/>
    <n v="6053"/>
    <n v="6053"/>
    <x v="10"/>
    <s v="Service Equip"/>
    <n v="8"/>
    <n v="2015"/>
    <n v="2018"/>
    <n v="2018.6666666666667"/>
    <n v="648.47527777777782"/>
    <n v="7781.7033333333338"/>
    <n v="0"/>
    <n v="23345.11"/>
    <n v="23345.11"/>
    <n v="0"/>
    <s v="No"/>
  </r>
  <r>
    <n v="2183"/>
    <n v="309051"/>
    <s v="P"/>
    <s v="Capitalized"/>
    <s v="95 Gallon Refuse Carts - Plastic"/>
    <m/>
    <m/>
    <n v="702"/>
    <m/>
    <n v="0"/>
    <s v="FILE 2524"/>
    <m/>
    <s v="CONTAINERS"/>
    <s v="TBA"/>
    <m/>
    <m/>
    <m/>
    <d v="2023-05-08T00:00:00"/>
    <d v="2023-05-08T00:00:00"/>
    <s v="2183-23-0018-1"/>
    <n v="700"/>
    <n v="14050"/>
    <n v="43415.61"/>
    <n v="14056"/>
    <n v="6202.22"/>
    <n v="0"/>
    <n v="37213.39"/>
    <n v="2067.4"/>
    <n v="54260"/>
    <n v="516.85"/>
    <n v="0"/>
    <n v="516.85"/>
    <s v="P"/>
    <m/>
    <m/>
    <n v="0"/>
    <x v="2"/>
    <s v="MSW Carts"/>
    <n v="5"/>
    <n v="2023"/>
    <n v="2030"/>
    <n v="2030.4166666666667"/>
    <n v="516.85250000000008"/>
    <n v="6202.2300000000014"/>
    <n v="6202.2300000000014"/>
    <n v="0"/>
    <n v="6202.2300000000014"/>
    <n v="37213.379999999997"/>
    <s v="No"/>
  </r>
  <r>
    <n v="2183"/>
    <n v="309050"/>
    <s v="P"/>
    <s v="Capitalized"/>
    <s v="95 Gallon Recycle Cart"/>
    <m/>
    <m/>
    <n v="702"/>
    <m/>
    <n v="0"/>
    <s v="FILE 2524"/>
    <m/>
    <s v="CONTAINERS"/>
    <s v="TBA"/>
    <m/>
    <m/>
    <m/>
    <d v="2023-05-08T00:00:00"/>
    <d v="2023-05-08T00:00:00"/>
    <s v="2183-23-0018-1"/>
    <n v="700"/>
    <n v="14050"/>
    <n v="43415.61"/>
    <n v="14056"/>
    <n v="6202.22"/>
    <n v="0"/>
    <n v="37213.39"/>
    <n v="2067.4"/>
    <n v="54260"/>
    <n v="516.85"/>
    <n v="0"/>
    <n v="516.85"/>
    <s v="P"/>
    <m/>
    <m/>
    <n v="0"/>
    <x v="5"/>
    <s v="Recycling Carts"/>
    <n v="5"/>
    <n v="2023"/>
    <n v="2030"/>
    <n v="2030.4166666666667"/>
    <n v="516.85250000000008"/>
    <n v="6202.2300000000014"/>
    <n v="6202.2300000000014"/>
    <n v="0"/>
    <n v="6202.2300000000014"/>
    <n v="37213.379999999997"/>
    <s v="No"/>
  </r>
  <r>
    <n v="2183"/>
    <n v="309043"/>
    <s v="P"/>
    <s v="Capitalized"/>
    <s v="65 Gallon Refuse Carts - Plastic"/>
    <m/>
    <m/>
    <n v="936"/>
    <m/>
    <n v="0"/>
    <s v="FILE 2524"/>
    <m/>
    <s v="CONTAINERS"/>
    <s v="TBA"/>
    <m/>
    <m/>
    <m/>
    <d v="2023-05-08T00:00:00"/>
    <d v="2023-05-08T00:00:00"/>
    <s v="2183-23-0018-1"/>
    <n v="700"/>
    <n v="14050"/>
    <n v="51471.49"/>
    <n v="14056"/>
    <n v="7353.09"/>
    <n v="0"/>
    <n v="44118.399999999994"/>
    <n v="2451.04"/>
    <n v="54260"/>
    <n v="612.76"/>
    <n v="0"/>
    <n v="612.76"/>
    <s v="P"/>
    <m/>
    <m/>
    <n v="0"/>
    <x v="2"/>
    <s v="MSW Carts"/>
    <n v="5"/>
    <n v="2023"/>
    <n v="2030"/>
    <n v="2030.4166666666667"/>
    <n v="612.75583333333327"/>
    <n v="7353.07"/>
    <n v="7353.07"/>
    <n v="0"/>
    <n v="7353.07"/>
    <n v="44118.42"/>
    <s v="No"/>
  </r>
  <r>
    <n v="2183"/>
    <n v="308289"/>
    <s v="P"/>
    <s v="Capitalized"/>
    <s v="4 YD Commercial Customers ($100 each)"/>
    <m/>
    <m/>
    <n v="215"/>
    <m/>
    <n v="0"/>
    <m/>
    <m/>
    <s v="CONTAINERS"/>
    <s v="TBA"/>
    <m/>
    <m/>
    <m/>
    <d v="2008-11-03T00:00:00"/>
    <d v="2008-11-03T00:00:00"/>
    <m/>
    <n v="700"/>
    <n v="14050"/>
    <n v="435.42"/>
    <n v="14056"/>
    <n v="435.42"/>
    <n v="0"/>
    <n v="0"/>
    <n v="0"/>
    <n v="54260"/>
    <n v="0"/>
    <n v="0"/>
    <n v="0"/>
    <s v="A"/>
    <s v="LeMay Enterprises"/>
    <s v="NA"/>
    <n v="0"/>
    <x v="3"/>
    <s v="Containers"/>
    <n v="11"/>
    <n v="2008"/>
    <n v="2015"/>
    <n v="2015.9166666666667"/>
    <n v="5.1835714285714287"/>
    <n v="62.202857142857141"/>
    <n v="0"/>
    <n v="435.42"/>
    <n v="435.42"/>
    <n v="0"/>
    <s v="No"/>
  </r>
  <r>
    <n v="2183"/>
    <n v="308288"/>
    <s v="P"/>
    <s v="Capitalized"/>
    <s v="2 YD Commercial Customers ($100 each)"/>
    <m/>
    <m/>
    <n v="23"/>
    <m/>
    <n v="0"/>
    <m/>
    <m/>
    <s v="CONTAINERS"/>
    <s v="TBA"/>
    <m/>
    <m/>
    <m/>
    <d v="2008-11-03T00:00:00"/>
    <d v="2008-11-03T00:00:00"/>
    <m/>
    <n v="700"/>
    <n v="14050"/>
    <n v="2002.94"/>
    <n v="14056"/>
    <n v="2002.94"/>
    <n v="0"/>
    <n v="0"/>
    <n v="0"/>
    <n v="54260"/>
    <n v="0"/>
    <n v="0"/>
    <n v="0"/>
    <s v="A"/>
    <s v="LeMay Enterprises"/>
    <s v="NA"/>
    <n v="0"/>
    <x v="3"/>
    <s v="Containers"/>
    <n v="11"/>
    <n v="2008"/>
    <n v="2015"/>
    <n v="2015.9166666666667"/>
    <n v="23.84452380952381"/>
    <n v="286.13428571428574"/>
    <n v="0"/>
    <n v="2002.94"/>
    <n v="2002.94"/>
    <n v="0"/>
    <s v="No"/>
  </r>
  <r>
    <n v="2183"/>
    <n v="307559"/>
    <s v="P"/>
    <s v="Capitalized"/>
    <s v="4 Yard Commercial Containers"/>
    <m/>
    <m/>
    <n v="8"/>
    <m/>
    <n v="0"/>
    <m/>
    <m/>
    <s v="CONTAINERS"/>
    <s v="TBA"/>
    <m/>
    <s v="4 YD"/>
    <s v="FEL/REL/SL Metal"/>
    <d v="2008-11-03T00:00:00"/>
    <d v="2008-11-03T00:00:00"/>
    <m/>
    <n v="1200"/>
    <n v="14050"/>
    <n v="1839.77"/>
    <n v="14056"/>
    <n v="1839.77"/>
    <n v="0"/>
    <n v="0"/>
    <n v="0"/>
    <n v="54260"/>
    <n v="0"/>
    <n v="0"/>
    <n v="0"/>
    <s v="A"/>
    <s v="LeMay Enterprises"/>
    <s v="NA"/>
    <n v="0"/>
    <x v="3"/>
    <s v="Containers"/>
    <n v="11"/>
    <n v="2008"/>
    <n v="2020"/>
    <n v="2020.9166666666667"/>
    <n v="12.776180555555555"/>
    <n v="153.31416666666667"/>
    <n v="0"/>
    <n v="1839.77"/>
    <n v="1839.77"/>
    <n v="0"/>
    <s v="No"/>
  </r>
  <r>
    <n v="2183"/>
    <n v="306825"/>
    <s v="P"/>
    <s v="Capitalized"/>
    <s v="30 Yard R/O Containers"/>
    <m/>
    <m/>
    <n v="2"/>
    <m/>
    <n v="0"/>
    <m/>
    <m/>
    <s v="CONTAINERS"/>
    <s v="TBA"/>
    <m/>
    <s v="30 YD"/>
    <s v="RO Box"/>
    <d v="2008-11-03T00:00:00"/>
    <d v="2008-11-03T00:00:00"/>
    <m/>
    <n v="700"/>
    <n v="14050"/>
    <n v="30500"/>
    <n v="14056"/>
    <n v="30500"/>
    <n v="0"/>
    <n v="0"/>
    <n v="0"/>
    <n v="54260"/>
    <n v="0"/>
    <n v="0"/>
    <n v="0"/>
    <s v="A"/>
    <s v="LeMay Enterprises"/>
    <s v="NA"/>
    <n v="0"/>
    <x v="11"/>
    <s v="Drop Boxes"/>
    <n v="11"/>
    <n v="2008"/>
    <n v="2015"/>
    <n v="2015.9166666666667"/>
    <n v="363.09523809523807"/>
    <n v="4357.1428571428569"/>
    <n v="0"/>
    <n v="30500"/>
    <n v="30500"/>
    <n v="0"/>
    <s v="No"/>
  </r>
  <r>
    <n v="2183"/>
    <n v="305971"/>
    <s v="P"/>
    <s v="Capitalized"/>
    <s v="20 YD Roll Off Containers"/>
    <m/>
    <m/>
    <n v="1"/>
    <m/>
    <n v="0"/>
    <s v="PO BOX 80983"/>
    <m/>
    <s v="CONTAINERS"/>
    <s v="TBA"/>
    <m/>
    <s v="20 YD"/>
    <s v="RO Box"/>
    <d v="2023-05-17T00:00:00"/>
    <d v="2023-05-17T00:00:00"/>
    <s v="2183-23-0015-1"/>
    <n v="1200"/>
    <n v="14050"/>
    <n v="8815"/>
    <n v="14056"/>
    <n v="673.39"/>
    <n v="0"/>
    <n v="8141.61"/>
    <n v="244.88"/>
    <n v="54260"/>
    <n v="61.22"/>
    <n v="0"/>
    <n v="61.22"/>
    <s v="P"/>
    <m/>
    <m/>
    <n v="0"/>
    <x v="11"/>
    <s v="Drop Boxes"/>
    <n v="5"/>
    <n v="2023"/>
    <n v="2035"/>
    <n v="2035.4166666666667"/>
    <n v="61.215277777777779"/>
    <n v="734.58333333333337"/>
    <n v="734.58333333333337"/>
    <n v="0"/>
    <n v="734.58333333333337"/>
    <n v="8080.416666666667"/>
    <s v="No"/>
  </r>
  <r>
    <n v="2183"/>
    <n v="305970"/>
    <s v="P"/>
    <s v="Capitalized"/>
    <s v="20 YD Roll Off Containers"/>
    <m/>
    <m/>
    <n v="2"/>
    <m/>
    <n v="0"/>
    <s v="PO BOX 80983"/>
    <m/>
    <s v="CONTAINERS"/>
    <s v="TBA"/>
    <m/>
    <s v="20 YD"/>
    <s v="RO Box"/>
    <d v="2023-05-17T00:00:00"/>
    <d v="2023-05-17T00:00:00"/>
    <s v="2183-23-0015-1"/>
    <n v="1200"/>
    <n v="14050"/>
    <n v="17630"/>
    <n v="14056"/>
    <n v="1346.73"/>
    <n v="0"/>
    <n v="16283.27"/>
    <n v="489.72"/>
    <n v="54260"/>
    <n v="122.43"/>
    <n v="0"/>
    <n v="122.43"/>
    <s v="P"/>
    <m/>
    <m/>
    <n v="0"/>
    <x v="11"/>
    <s v="Drop Boxes"/>
    <n v="5"/>
    <n v="2023"/>
    <n v="2035"/>
    <n v="2035.4166666666667"/>
    <n v="122.43055555555556"/>
    <n v="1469.1666666666667"/>
    <n v="1469.1666666666667"/>
    <n v="0"/>
    <n v="1469.1666666666667"/>
    <n v="16160.833333333334"/>
    <s v="No"/>
  </r>
  <r>
    <n v="2183"/>
    <n v="301036"/>
    <s v="P"/>
    <s v="Capitalized"/>
    <s v="40 Yd RO Containers"/>
    <m/>
    <m/>
    <n v="5"/>
    <m/>
    <n v="0"/>
    <s v="CAPITAL INDUSTRIES INC"/>
    <m/>
    <s v="CONTAINERS"/>
    <s v="TBA"/>
    <m/>
    <s v="40 YD"/>
    <s v="RO Box"/>
    <d v="2023-03-09T00:00:00"/>
    <d v="2023-03-09T00:00:00"/>
    <s v="2183-23-0015-1"/>
    <n v="1200"/>
    <n v="14050"/>
    <n v="54850"/>
    <n v="14056"/>
    <n v="5332.63"/>
    <n v="0"/>
    <n v="49517.37"/>
    <n v="1523.6"/>
    <n v="54260"/>
    <n v="380.9"/>
    <n v="0"/>
    <n v="380.9"/>
    <s v="P"/>
    <m/>
    <m/>
    <n v="0"/>
    <x v="11"/>
    <s v="Drop Boxes"/>
    <n v="3"/>
    <n v="2023"/>
    <n v="2035"/>
    <n v="2035.25"/>
    <n v="380.90277777777777"/>
    <n v="4570.833333333333"/>
    <n v="4570.833333333333"/>
    <n v="761.80555555590399"/>
    <n v="5332.638888889237"/>
    <n v="49517.36111111076"/>
    <s v="No"/>
  </r>
  <r>
    <n v="2183"/>
    <n v="300991"/>
    <s v="P"/>
    <s v="Capitalized"/>
    <s v="2 YD REL Container"/>
    <m/>
    <m/>
    <n v="30"/>
    <m/>
    <n v="0"/>
    <s v="WASTEQUIP LLC"/>
    <m/>
    <s v="CONTAINERS"/>
    <s v="TBA"/>
    <m/>
    <s v="2 YD"/>
    <s v="FEL/REL/SL Metal"/>
    <d v="2023-02-21T00:00:00"/>
    <d v="2023-02-21T00:00:00"/>
    <s v="2183-23-0014-1"/>
    <n v="1200"/>
    <n v="14050"/>
    <n v="25089.05"/>
    <n v="14056"/>
    <n v="2439.2199999999998"/>
    <n v="0"/>
    <n v="22649.829999999998"/>
    <n v="696.92"/>
    <n v="54260"/>
    <n v="174.23"/>
    <n v="0"/>
    <n v="174.23"/>
    <s v="P"/>
    <m/>
    <m/>
    <n v="0"/>
    <x v="3"/>
    <s v="Containers"/>
    <n v="2"/>
    <n v="2023"/>
    <n v="2035"/>
    <n v="2035.1666666666667"/>
    <n v="174.22951388888887"/>
    <n v="2090.7541666666666"/>
    <n v="2090.7541666666666"/>
    <n v="522.68854166666642"/>
    <n v="2613.442708333333"/>
    <n v="22475.607291666667"/>
    <s v="No"/>
  </r>
  <r>
    <n v="2183"/>
    <n v="300978"/>
    <s v="P"/>
    <s v="Capitalized"/>
    <s v="1.5 Yd REL Containers"/>
    <m/>
    <m/>
    <n v="15"/>
    <m/>
    <n v="0"/>
    <s v="WASTEQUIP LLC"/>
    <m/>
    <s v="CONTAINERS"/>
    <s v="TBA"/>
    <m/>
    <s v="1.5 YD"/>
    <s v="FEL/REL/SL Metal"/>
    <d v="2023-02-21T00:00:00"/>
    <d v="2023-02-21T00:00:00"/>
    <s v="2183-23-0014-1"/>
    <n v="1200"/>
    <n v="14050"/>
    <n v="10967.72"/>
    <n v="14056"/>
    <n v="1066.29"/>
    <n v="0"/>
    <n v="9901.43"/>
    <n v="304.64"/>
    <n v="54260"/>
    <n v="76.16"/>
    <n v="0"/>
    <n v="76.16"/>
    <s v="P"/>
    <m/>
    <m/>
    <n v="0"/>
    <x v="3"/>
    <s v="Containers"/>
    <n v="2"/>
    <n v="2023"/>
    <n v="2035"/>
    <n v="2035.1666666666667"/>
    <n v="76.16472222222221"/>
    <n v="913.97666666666646"/>
    <n v="913.97666666666646"/>
    <n v="228.4941666666673"/>
    <n v="1142.4708333333338"/>
    <n v="9825.2491666666647"/>
    <s v="No"/>
  </r>
  <r>
    <n v="2183"/>
    <n v="300963"/>
    <s v="P"/>
    <s v="Capitalized"/>
    <s v="1 Yd REL Containers"/>
    <m/>
    <m/>
    <n v="15"/>
    <m/>
    <n v="0"/>
    <s v="WASTEQUIP LLC"/>
    <m/>
    <s v="CONTAINERS"/>
    <s v="TBA"/>
    <m/>
    <s v="1 YD"/>
    <s v="FEL/REL/SL Metal"/>
    <d v="2023-02-21T00:00:00"/>
    <d v="2023-02-21T00:00:00"/>
    <s v="2183-23-0014-1"/>
    <n v="1200"/>
    <n v="14050"/>
    <n v="10474.969999999999"/>
    <n v="14056"/>
    <n v="1018.39"/>
    <n v="0"/>
    <n v="9456.58"/>
    <n v="290.95999999999998"/>
    <n v="54260"/>
    <n v="72.739999999999995"/>
    <n v="0"/>
    <n v="72.739999999999995"/>
    <s v="P"/>
    <m/>
    <m/>
    <n v="0"/>
    <x v="3"/>
    <s v="Containers"/>
    <n v="2"/>
    <n v="2023"/>
    <n v="2035"/>
    <n v="2035.1666666666667"/>
    <n v="72.74284722222221"/>
    <n v="872.91416666666646"/>
    <n v="872.91416666666646"/>
    <n v="218.2285416666673"/>
    <n v="1091.1427083333338"/>
    <n v="9383.8272916666647"/>
    <s v="No"/>
  </r>
  <r>
    <n v="2183"/>
    <n v="299371"/>
    <n v="293412"/>
    <s v="Capitalized"/>
    <s v="PACCAR DIAGNOTICS/PROGRAMMING"/>
    <m/>
    <m/>
    <n v="1"/>
    <m/>
    <n v="0"/>
    <m/>
    <m/>
    <s v="HARDWARE AND SOFTWARE"/>
    <s v="TBA"/>
    <m/>
    <m/>
    <m/>
    <d v="2023-01-02T00:00:00"/>
    <d v="2023-01-02T00:00:00"/>
    <s v="2183-22-0027-1"/>
    <n v="300"/>
    <n v="14110"/>
    <n v="1314"/>
    <n v="14116"/>
    <n v="584"/>
    <n v="0"/>
    <n v="730"/>
    <n v="146"/>
    <n v="70260"/>
    <n v="36.5"/>
    <n v="0"/>
    <n v="36.5"/>
    <s v="P"/>
    <m/>
    <m/>
    <n v="0"/>
    <x v="7"/>
    <s v="Shop Equipmen"/>
    <n v="1"/>
    <n v="2023"/>
    <n v="2026"/>
    <n v="2026.0833333333333"/>
    <n v="36.5"/>
    <n v="438"/>
    <n v="438"/>
    <n v="146.00000000006639"/>
    <n v="584.00000000006639"/>
    <n v="729.99999999993361"/>
    <s v="No"/>
  </r>
  <r>
    <n v="2183"/>
    <n v="299358"/>
    <s v="P"/>
    <s v="Capitalized"/>
    <s v="2023 Peterbilt ASL Truck"/>
    <m/>
    <m/>
    <n v="1"/>
    <s v="3BPDLK0X8PF114129"/>
    <n v="2023"/>
    <s v="Peterbilt"/>
    <s v="Labrie"/>
    <s v="TRUCKS AND TRAILERS"/>
    <s v="TBA"/>
    <s v="Automated Side Loader"/>
    <m/>
    <m/>
    <d v="2023-01-02T00:00:00"/>
    <d v="2023-01-02T00:00:00"/>
    <s v="2183-22-0017"/>
    <n v="1000"/>
    <n v="14040"/>
    <n v="404058.5"/>
    <n v="14046"/>
    <n v="53874.45"/>
    <n v="0"/>
    <n v="350184.05"/>
    <n v="13468.6"/>
    <n v="51260"/>
    <n v="3367.15"/>
    <n v="0"/>
    <n v="3367.15"/>
    <s v="P"/>
    <m/>
    <n v="3728"/>
    <s v="3728"/>
    <x v="1"/>
    <s v="Res/Comm MSW Truck"/>
    <n v="1"/>
    <n v="2023"/>
    <n v="2033"/>
    <n v="2033.0833333333333"/>
    <n v="3367.1541666666667"/>
    <n v="40405.85"/>
    <n v="40405.85"/>
    <n v="13468.61666667281"/>
    <n v="53874.466666672808"/>
    <n v="350184.03333332721"/>
    <s v="No"/>
  </r>
  <r>
    <n v="2183"/>
    <n v="299340"/>
    <s v="P"/>
    <s v="Capitalized"/>
    <s v="Shop Addition Architectural/Structural Building Design &amp; Engineering Services"/>
    <m/>
    <m/>
    <n v="1"/>
    <m/>
    <n v="0"/>
    <s v="SITTS &amp; HILL ENGINEERS IN"/>
    <m/>
    <s v="BUILDINGS"/>
    <s v="TBA"/>
    <m/>
    <m/>
    <m/>
    <d v="2023-01-02T00:00:00"/>
    <d v="2023-01-02T00:00:00"/>
    <s v="2183-22-0001-1"/>
    <n v="1000"/>
    <n v="14080"/>
    <n v="8406"/>
    <n v="14086"/>
    <n v="1120.8"/>
    <n v="0"/>
    <n v="7285.2"/>
    <n v="280.2"/>
    <n v="57260"/>
    <n v="70.05"/>
    <n v="0"/>
    <n v="70.05"/>
    <s v="P"/>
    <m/>
    <m/>
    <n v="0"/>
    <x v="12"/>
    <s v="Building"/>
    <n v="1"/>
    <n v="2023"/>
    <n v="2033"/>
    <n v="2033.0833333333333"/>
    <n v="70.05"/>
    <n v="840.59999999999991"/>
    <n v="840.59999999999991"/>
    <n v="280.20000000012806"/>
    <n v="1120.800000000128"/>
    <n v="7285.1999999998716"/>
    <s v="No"/>
  </r>
  <r>
    <n v="2183"/>
    <n v="298877"/>
    <n v="294886"/>
    <s v="Capitalized"/>
    <s v="License- 2023 REL Truck"/>
    <m/>
    <m/>
    <n v="1"/>
    <m/>
    <n v="2023"/>
    <s v="WA DOL"/>
    <m/>
    <s v="TRUCKS AND TRAILERS"/>
    <s v="TBA"/>
    <s v="Non-Rolling Stock"/>
    <m/>
    <m/>
    <d v="2023-01-02T00:00:00"/>
    <d v="2023-01-02T00:00:00"/>
    <s v="2183-22-0009-1"/>
    <n v="1000"/>
    <n v="14040"/>
    <n v="996.27"/>
    <n v="14046"/>
    <n v="132.82"/>
    <n v="0"/>
    <n v="863.45"/>
    <n v="33.200000000000003"/>
    <n v="51260"/>
    <n v="8.3000000000000007"/>
    <n v="0"/>
    <n v="8.3000000000000007"/>
    <s v="P"/>
    <m/>
    <m/>
    <n v="1095"/>
    <x v="1"/>
    <s v="Commercial MSW Truck"/>
    <n v="1"/>
    <n v="2023"/>
    <n v="2033"/>
    <n v="2033.0833333333333"/>
    <n v="8.302249999999999"/>
    <n v="99.626999999999981"/>
    <n v="99.626999999999981"/>
    <n v="33.20900000001518"/>
    <n v="132.83600000001516"/>
    <n v="863.43399999998485"/>
    <s v="No"/>
  </r>
  <r>
    <n v="2183"/>
    <n v="298860"/>
    <s v="P"/>
    <s v="Capitalized"/>
    <s v="Replacement HVAC System"/>
    <m/>
    <m/>
    <n v="1"/>
    <m/>
    <n v="0"/>
    <s v="MOORE HOLDING CORPORATION"/>
    <m/>
    <s v="BUILDINGS"/>
    <s v="TBA"/>
    <m/>
    <m/>
    <m/>
    <d v="2023-01-02T00:00:00"/>
    <d v="2023-01-02T00:00:00"/>
    <s v="2183-22-0029-1"/>
    <n v="1000"/>
    <n v="14080"/>
    <n v="16844.39"/>
    <n v="14086"/>
    <n v="2245.92"/>
    <n v="0"/>
    <n v="14598.47"/>
    <n v="561.48"/>
    <n v="57260"/>
    <n v="140.37"/>
    <n v="0"/>
    <n v="140.37"/>
    <s v="P"/>
    <m/>
    <m/>
    <n v="0"/>
    <x v="12"/>
    <s v="Building"/>
    <n v="1"/>
    <n v="2023"/>
    <n v="2033"/>
    <n v="2033.0833333333333"/>
    <n v="140.36991666666665"/>
    <n v="1684.4389999999999"/>
    <n v="1684.4389999999999"/>
    <n v="561.47966666692264"/>
    <n v="2245.9186666669225"/>
    <n v="14598.471333333076"/>
    <s v="No"/>
  </r>
  <r>
    <n v="2183"/>
    <n v="298245"/>
    <n v="294886"/>
    <s v="Capitalized"/>
    <s v="Decals for Truck #1095"/>
    <m/>
    <m/>
    <n v="1"/>
    <s v="3BPDLK0X0PF114142"/>
    <n v="2023"/>
    <m/>
    <m/>
    <s v="TRUCKS AND TRAILERS"/>
    <s v="TBA"/>
    <s v="Non-Rolling Stock"/>
    <m/>
    <m/>
    <d v="2023-01-02T00:00:00"/>
    <d v="2023-01-02T00:00:00"/>
    <s v="2183-22-0009"/>
    <n v="1000"/>
    <n v="14040"/>
    <n v="739.15"/>
    <n v="14046"/>
    <n v="98.56"/>
    <n v="0"/>
    <n v="640.58999999999992"/>
    <n v="24.64"/>
    <n v="51260"/>
    <n v="6.16"/>
    <n v="0"/>
    <n v="6.16"/>
    <s v="P"/>
    <m/>
    <m/>
    <n v="1095"/>
    <x v="13"/>
    <s v="Commercial MSW Truck"/>
    <n v="1"/>
    <n v="2023"/>
    <n v="2033"/>
    <n v="2033.0833333333333"/>
    <n v="6.159583333333333"/>
    <n v="73.914999999999992"/>
    <n v="73.914999999999992"/>
    <n v="24.638333333344576"/>
    <n v="98.553333333344568"/>
    <n v="640.59666666665544"/>
    <s v="No"/>
  </r>
  <r>
    <n v="2183"/>
    <n v="297178"/>
    <n v="294887"/>
    <s v="Capitalized"/>
    <s v="License for Truck #1094"/>
    <m/>
    <m/>
    <n v="1"/>
    <m/>
    <n v="0"/>
    <s v="WA DOL"/>
    <m/>
    <s v="TRUCKS AND TRAILERS"/>
    <s v="TBA"/>
    <s v="Non-Rolling Stock"/>
    <m/>
    <m/>
    <d v="2022-11-08T00:00:00"/>
    <d v="2022-11-08T00:00:00"/>
    <s v="2183-22-0008-1"/>
    <n v="1000"/>
    <n v="14040"/>
    <n v="1046.8900000000001"/>
    <n v="14046"/>
    <n v="157.01"/>
    <n v="0"/>
    <n v="889.88000000000011"/>
    <n v="34.880000000000003"/>
    <n v="51260"/>
    <n v="8.7200000000000006"/>
    <n v="0"/>
    <n v="8.7200000000000006"/>
    <s v="P"/>
    <m/>
    <m/>
    <n v="1094"/>
    <x v="13"/>
    <s v="Commercial MSW Truck"/>
    <n v="11"/>
    <n v="2022"/>
    <n v="2032"/>
    <n v="2032.9166666666667"/>
    <n v="8.7240833333333345"/>
    <n v="104.68900000000002"/>
    <n v="104.68900000000002"/>
    <n v="52.344499999999925"/>
    <n v="157.03349999999995"/>
    <n v="889.8565000000001"/>
    <s v="No"/>
  </r>
  <r>
    <n v="2183"/>
    <n v="294887"/>
    <s v="P"/>
    <s v="Capitalized"/>
    <s v="2023 Peterbilt REL Truck"/>
    <m/>
    <m/>
    <n v="1"/>
    <s v="3BPDLK0X9PF114141"/>
    <n v="2023"/>
    <s v="Peterbilt"/>
    <s v="Leach"/>
    <s v="TRUCKS AND TRAILERS"/>
    <s v="TBA"/>
    <s v="Rear Loader"/>
    <m/>
    <m/>
    <d v="2022-11-08T00:00:00"/>
    <d v="2022-11-08T00:00:00"/>
    <s v="2183-22-0008-1"/>
    <n v="1000"/>
    <n v="14040"/>
    <n v="331992.39"/>
    <n v="14046"/>
    <n v="49798.85"/>
    <n v="0"/>
    <n v="282193.54000000004"/>
    <n v="11066.4"/>
    <n v="51260"/>
    <n v="2766.6"/>
    <n v="0"/>
    <n v="2766.6"/>
    <s v="P"/>
    <m/>
    <n v="1094"/>
    <n v="1094"/>
    <x v="13"/>
    <s v="Commercial MSW Truck"/>
    <n v="11"/>
    <n v="2022"/>
    <n v="2032"/>
    <n v="2032.9166666666667"/>
    <n v="2766.6032500000001"/>
    <n v="33199.239000000001"/>
    <n v="33199.239000000001"/>
    <n v="16599.61950000003"/>
    <n v="49798.858500000031"/>
    <n v="282193.53149999998"/>
    <s v="No"/>
  </r>
  <r>
    <n v="2183"/>
    <n v="294886"/>
    <s v="P"/>
    <s v="Capitalized"/>
    <s v="2023 Peterbilt REL Truck"/>
    <m/>
    <m/>
    <n v="1"/>
    <s v="3BPDLK0X0PF114142"/>
    <n v="2023"/>
    <s v="Peterbilt"/>
    <s v="Leach"/>
    <s v="TRUCKS AND TRAILERS"/>
    <s v="TBA"/>
    <s v="Rear Loader"/>
    <m/>
    <m/>
    <d v="2022-12-01T00:00:00"/>
    <d v="2022-12-01T00:00:00"/>
    <s v="2183-22-0009-1"/>
    <n v="1000"/>
    <n v="14040"/>
    <n v="331424.83"/>
    <n v="14046"/>
    <n v="46951.83"/>
    <n v="0"/>
    <n v="284473"/>
    <n v="11047.48"/>
    <n v="51260"/>
    <n v="2761.87"/>
    <n v="0"/>
    <n v="2761.87"/>
    <s v="P"/>
    <m/>
    <n v="1095"/>
    <n v="1095"/>
    <x v="13"/>
    <s v="Commercial MSW Truck"/>
    <n v="12"/>
    <n v="2022"/>
    <n v="2032"/>
    <n v="2033"/>
    <n v="2761.8735833333335"/>
    <n v="33142.483"/>
    <n v="33142.483"/>
    <n v="13809.367916669173"/>
    <n v="46951.850916669173"/>
    <n v="284472.97908333084"/>
    <s v="No"/>
  </r>
  <r>
    <n v="2183"/>
    <n v="294320"/>
    <s v="P"/>
    <s v="Capitalized"/>
    <s v="35 Gallon Refuse Carts"/>
    <m/>
    <m/>
    <n v="1080"/>
    <m/>
    <n v="0"/>
    <s v="REHRIG PACIFIC COMPANY IN"/>
    <m/>
    <s v="CONTAINERS"/>
    <s v="TBA"/>
    <m/>
    <m/>
    <m/>
    <d v="2022-12-05T00:00:00"/>
    <d v="2022-12-05T00:00:00"/>
    <s v="2183-22-0024-1"/>
    <n v="700"/>
    <n v="14050"/>
    <n v="55180.12"/>
    <n v="14056"/>
    <n v="11167.43"/>
    <n v="0"/>
    <n v="44012.69"/>
    <n v="2627.64"/>
    <n v="54260"/>
    <n v="656.91"/>
    <n v="0"/>
    <n v="656.91"/>
    <s v="P"/>
    <m/>
    <m/>
    <n v="0"/>
    <x v="14"/>
    <s v="MSW Carts"/>
    <n v="12"/>
    <n v="2022"/>
    <n v="2029"/>
    <n v="2030"/>
    <n v="656.90619047619055"/>
    <n v="7882.8742857142861"/>
    <n v="7882.8742857142861"/>
    <n v="3284.5309523815449"/>
    <n v="11167.405238095831"/>
    <n v="44012.714761904172"/>
    <s v="No"/>
  </r>
  <r>
    <n v="2183"/>
    <n v="294319"/>
    <s v="P"/>
    <s v="Capitalized"/>
    <s v="95 Gallon Recycle Carts"/>
    <m/>
    <m/>
    <n v="702"/>
    <m/>
    <n v="0"/>
    <s v="REHRIG PACIFIC COMPANY IN"/>
    <m/>
    <s v="CONTAINERS"/>
    <s v="TBA"/>
    <m/>
    <m/>
    <m/>
    <d v="2022-11-14T00:00:00"/>
    <d v="2022-11-14T00:00:00"/>
    <s v="2183-22-0024-1"/>
    <n v="700"/>
    <n v="14050"/>
    <n v="47981.63"/>
    <n v="14056"/>
    <n v="10281.780000000001"/>
    <n v="0"/>
    <n v="37699.85"/>
    <n v="2284.84"/>
    <n v="54260"/>
    <n v="571.21"/>
    <n v="0"/>
    <n v="571.21"/>
    <s v="P"/>
    <m/>
    <m/>
    <n v="0"/>
    <x v="5"/>
    <s v="Recycling Carts"/>
    <n v="11"/>
    <n v="2022"/>
    <n v="2029"/>
    <n v="2029.9166666666667"/>
    <n v="571.2098809523809"/>
    <n v="6854.5185714285708"/>
    <n v="6854.5185714285708"/>
    <n v="3427.2592857142881"/>
    <n v="10281.777857142859"/>
    <n v="37699.85214285714"/>
    <s v="No"/>
  </r>
  <r>
    <n v="2183"/>
    <n v="293699"/>
    <s v="P"/>
    <s v="Capitalized"/>
    <s v="HP ProBook 450 G9 Notebook - SN: 5CD2428KZ6"/>
    <m/>
    <m/>
    <n v="1"/>
    <m/>
    <n v="0"/>
    <s v="CDW DIR #2183"/>
    <m/>
    <s v="HARDWARE AND SOFTWARE"/>
    <s v="TBA"/>
    <m/>
    <m/>
    <m/>
    <d v="2022-11-15T00:00:00"/>
    <d v="2022-11-15T00:00:00"/>
    <s v="2183-22-0028-1"/>
    <n v="300"/>
    <n v="14110"/>
    <n v="1157.4100000000001"/>
    <n v="14116"/>
    <n v="578.70000000000005"/>
    <n v="0"/>
    <n v="578.71"/>
    <n v="128.6"/>
    <n v="70260"/>
    <n v="32.15"/>
    <n v="0"/>
    <n v="32.15"/>
    <s v="P"/>
    <m/>
    <m/>
    <n v="0"/>
    <x v="15"/>
    <s v="Service Equip"/>
    <n v="11"/>
    <n v="2022"/>
    <n v="2025"/>
    <n v="2025.9166666666667"/>
    <n v="32.150277777777781"/>
    <n v="385.8033333333334"/>
    <n v="385.8033333333334"/>
    <n v="192.90166666666664"/>
    <n v="578.70500000000004"/>
    <n v="578.70500000000004"/>
    <s v="No"/>
  </r>
  <r>
    <n v="2183"/>
    <n v="293675"/>
    <n v="293412"/>
    <s v="Capitalized"/>
    <s v="Cummins Software"/>
    <m/>
    <m/>
    <n v="1"/>
    <m/>
    <n v="0"/>
    <s v="CUMMINS"/>
    <m/>
    <s v="SHOP EQUIPMENT"/>
    <s v="TBA"/>
    <m/>
    <m/>
    <m/>
    <d v="2022-11-15T00:00:00"/>
    <d v="2022-11-15T00:00:00"/>
    <s v="2183-22-0027-1"/>
    <n v="500"/>
    <n v="14070"/>
    <n v="394.18"/>
    <n v="14076"/>
    <n v="118.26"/>
    <n v="0"/>
    <n v="275.92"/>
    <n v="26.28"/>
    <n v="51260"/>
    <n v="6.57"/>
    <n v="0"/>
    <n v="6.57"/>
    <s v="P"/>
    <m/>
    <m/>
    <n v="0"/>
    <x v="15"/>
    <s v="Service Equip"/>
    <n v="11"/>
    <n v="2022"/>
    <n v="2027"/>
    <n v="2027.9166666666667"/>
    <n v="6.5696666666666665"/>
    <n v="78.835999999999999"/>
    <n v="78.835999999999999"/>
    <n v="39.418000000000006"/>
    <n v="118.254"/>
    <n v="275.92599999999999"/>
    <s v="No"/>
  </r>
  <r>
    <n v="2183"/>
    <n v="293640"/>
    <n v="292497"/>
    <s v="Capitalized"/>
    <s v="New Lytx Drive Cams"/>
    <m/>
    <m/>
    <n v="1"/>
    <m/>
    <n v="0"/>
    <s v="Lytx, Inc."/>
    <m/>
    <s v="TRUCKS AND TRAILERS"/>
    <s v="TBA"/>
    <s v="Non-Rolling Stock"/>
    <m/>
    <m/>
    <d v="2022-10-28T00:00:00"/>
    <d v="2022-10-28T00:00:00"/>
    <s v="2183-22-0006-1"/>
    <n v="500"/>
    <n v="14040"/>
    <n v="771.44"/>
    <n v="14046"/>
    <n v="231.45"/>
    <n v="0"/>
    <n v="539.99"/>
    <n v="51.44"/>
    <n v="51260"/>
    <n v="12.86"/>
    <n v="0"/>
    <n v="12.86"/>
    <s v="P"/>
    <m/>
    <m/>
    <n v="3727"/>
    <x v="16"/>
    <s v="Res/Comm MSW Truck"/>
    <n v="10"/>
    <n v="2022"/>
    <n v="2027"/>
    <n v="2027.8333333333333"/>
    <n v="12.857333333333335"/>
    <n v="154.28800000000001"/>
    <n v="154.28800000000001"/>
    <n v="90.001333333356683"/>
    <n v="244.28933333335669"/>
    <n v="527.15066666664336"/>
    <s v="No"/>
  </r>
  <r>
    <n v="2183"/>
    <n v="293517"/>
    <n v="292497"/>
    <s v="Capitalized"/>
    <s v="License for Truck 3727"/>
    <m/>
    <m/>
    <n v="1"/>
    <m/>
    <n v="0"/>
    <s v="WA DOL"/>
    <m/>
    <s v="TRUCKS AND TRAILERS"/>
    <s v="TBA"/>
    <s v="Non-Rolling Stock"/>
    <m/>
    <m/>
    <d v="2022-10-28T00:00:00"/>
    <d v="2022-10-28T00:00:00"/>
    <s v="2183-22-0006-1"/>
    <n v="1000"/>
    <n v="14040"/>
    <n v="1281.04"/>
    <n v="14046"/>
    <n v="192.17"/>
    <n v="0"/>
    <n v="1088.8699999999999"/>
    <n v="42.72"/>
    <n v="51260"/>
    <n v="10.68"/>
    <n v="0"/>
    <n v="10.68"/>
    <s v="P"/>
    <m/>
    <m/>
    <n v="3727"/>
    <x v="16"/>
    <s v="Res/Comm MSW Truck"/>
    <n v="10"/>
    <n v="2022"/>
    <n v="2032"/>
    <n v="2032.8333333333333"/>
    <n v="10.675333333333333"/>
    <n v="128.10399999999998"/>
    <n v="128.10399999999998"/>
    <n v="74.727333333352817"/>
    <n v="202.8313333333528"/>
    <n v="1078.2086666666471"/>
    <s v="No"/>
  </r>
  <r>
    <n v="2183"/>
    <n v="293516"/>
    <n v="292497"/>
    <s v="Capitalized"/>
    <s v="Decals for Truck 3727"/>
    <m/>
    <m/>
    <n v="1"/>
    <m/>
    <n v="0"/>
    <s v="LARSEN SIGN"/>
    <m/>
    <s v="TRUCKS AND TRAILERS"/>
    <s v="TBA"/>
    <s v="Non-Rolling Stock"/>
    <m/>
    <m/>
    <d v="2022-10-20T00:00:00"/>
    <d v="2022-10-20T00:00:00"/>
    <s v="2183-22-0006-1"/>
    <n v="1000"/>
    <n v="14040"/>
    <n v="958.13"/>
    <n v="14046"/>
    <n v="143.69999999999999"/>
    <n v="0"/>
    <n v="814.43000000000006"/>
    <n v="31.92"/>
    <n v="51260"/>
    <n v="7.98"/>
    <n v="0"/>
    <n v="7.98"/>
    <s v="P"/>
    <m/>
    <m/>
    <n v="3727"/>
    <x v="16"/>
    <s v="Res/Comm MSW Truck"/>
    <n v="10"/>
    <n v="2022"/>
    <n v="2032"/>
    <n v="2032.8333333333333"/>
    <n v="7.9844166666666672"/>
    <n v="95.813000000000002"/>
    <n v="95.813000000000002"/>
    <n v="55.890916666681164"/>
    <n v="151.70391666668115"/>
    <n v="806.42608333331884"/>
    <s v="No"/>
  </r>
  <r>
    <n v="2183"/>
    <n v="293412"/>
    <s v="P"/>
    <s v="Capitalized"/>
    <s v="Panasonic Toughbook Laptop"/>
    <m/>
    <m/>
    <n v="1"/>
    <m/>
    <n v="0"/>
    <m/>
    <m/>
    <s v="HARDWARE AND SOFTWARE"/>
    <s v="TBA"/>
    <m/>
    <m/>
    <m/>
    <d v="2022-11-15T00:00:00"/>
    <d v="2022-11-15T00:00:00"/>
    <s v="2183-22-0027-1"/>
    <n v="200"/>
    <n v="14110"/>
    <n v="6600.99"/>
    <n v="14116"/>
    <n v="4950.74"/>
    <n v="0"/>
    <n v="1650.25"/>
    <n v="1100.1600000000001"/>
    <n v="70260"/>
    <n v="275.04000000000002"/>
    <n v="0"/>
    <n v="275.04000000000002"/>
    <s v="P"/>
    <m/>
    <m/>
    <n v="0"/>
    <x v="15"/>
    <s v="Service Equip"/>
    <n v="11"/>
    <n v="2022"/>
    <n v="2024"/>
    <n v="2024.9166666666667"/>
    <n v="275.04124999999999"/>
    <n v="3300.4949999999999"/>
    <n v="3300.4949999999999"/>
    <n v="1650.2474999999995"/>
    <n v="4950.7424999999994"/>
    <n v="1650.2475000000004"/>
    <s v="No"/>
  </r>
  <r>
    <n v="2183"/>
    <n v="293313"/>
    <s v="P"/>
    <s v="Capitalized"/>
    <s v="95 Gallon Yardwaste Carts"/>
    <m/>
    <m/>
    <n v="702"/>
    <m/>
    <n v="0"/>
    <s v="REHRIG PACIFIC COMPANY IN"/>
    <m/>
    <s v="CONTAINERS"/>
    <s v="TBA"/>
    <m/>
    <m/>
    <m/>
    <d v="2022-11-14T00:00:00"/>
    <d v="2022-11-14T00:00:00"/>
    <s v="2183-22-0024-1"/>
    <n v="700"/>
    <n v="14050"/>
    <n v="47981.64"/>
    <n v="14056"/>
    <n v="10281.780000000001"/>
    <n v="0"/>
    <n v="37699.86"/>
    <n v="2284.84"/>
    <n v="54260"/>
    <n v="571.21"/>
    <n v="0"/>
    <n v="571.21"/>
    <s v="P"/>
    <m/>
    <m/>
    <n v="0"/>
    <x v="4"/>
    <s v="YW Carts"/>
    <n v="11"/>
    <n v="2022"/>
    <n v="2029"/>
    <n v="2029.9166666666667"/>
    <n v="571.20999999999992"/>
    <n v="6854.5199999999986"/>
    <n v="6854.5199999999986"/>
    <n v="3427.260000000002"/>
    <n v="10281.780000000001"/>
    <n v="37699.86"/>
    <s v="No"/>
  </r>
  <r>
    <n v="2183"/>
    <n v="292899"/>
    <s v="P"/>
    <s v="Capitalized"/>
    <s v="95 Gallon Recycle Totes"/>
    <m/>
    <m/>
    <n v="702"/>
    <m/>
    <n v="0"/>
    <s v="REHRIG PACIFIC COMPANY IN"/>
    <m/>
    <s v="CONTAINERS"/>
    <s v="TBA"/>
    <m/>
    <m/>
    <m/>
    <d v="2022-09-26T00:00:00"/>
    <d v="2022-09-26T00:00:00"/>
    <s v="2183-22-0024-1"/>
    <n v="700"/>
    <n v="14050"/>
    <n v="47981.63"/>
    <n v="14056"/>
    <n v="10852.99"/>
    <n v="0"/>
    <n v="37128.639999999999"/>
    <n v="2284.84"/>
    <n v="54260"/>
    <n v="571.21"/>
    <n v="0"/>
    <n v="571.21"/>
    <s v="P"/>
    <m/>
    <m/>
    <n v="0"/>
    <x v="5"/>
    <s v="Recycling Carts"/>
    <n v="9"/>
    <n v="2022"/>
    <n v="2029"/>
    <n v="2029.75"/>
    <n v="571.2098809523809"/>
    <n v="6854.5185714285708"/>
    <n v="6854.5185714285708"/>
    <n v="4569.6790476195674"/>
    <n v="11424.197619048138"/>
    <n v="36557.432380951861"/>
    <s v="No"/>
  </r>
  <r>
    <n v="2183"/>
    <n v="292497"/>
    <s v="P"/>
    <s v="Capitalized"/>
    <s v="2023 Peterbilt ASL Truck"/>
    <m/>
    <m/>
    <n v="1"/>
    <s v="3BPDLK0X7PF113165"/>
    <n v="2023"/>
    <s v="Peterbilt"/>
    <s v="Labrie"/>
    <s v="TRUCKS AND TRAILERS"/>
    <s v="TBA"/>
    <s v="Automated Side Loader"/>
    <m/>
    <m/>
    <d v="2022-10-20T00:00:00"/>
    <d v="2022-10-20T00:00:00"/>
    <s v="2183-22-0006-1"/>
    <n v="1000"/>
    <n v="14040"/>
    <n v="393191.4"/>
    <n v="14046"/>
    <n v="58978.720000000001"/>
    <n v="0"/>
    <n v="334212.68000000005"/>
    <n v="13106.4"/>
    <n v="51260"/>
    <n v="3276.6"/>
    <n v="0"/>
    <n v="3276.6"/>
    <s v="P"/>
    <m/>
    <n v="3727"/>
    <n v="3727"/>
    <x v="16"/>
    <s v="Res/Comm MSW Truck"/>
    <n v="10"/>
    <n v="2022"/>
    <n v="2032"/>
    <n v="2032.8333333333333"/>
    <n v="3276.5949999999998"/>
    <n v="39319.14"/>
    <n v="39319.14"/>
    <n v="22936.165000006033"/>
    <n v="62255.305000006032"/>
    <n v="330936.09499999398"/>
    <s v="No"/>
  </r>
  <r>
    <n v="2183"/>
    <n v="291873"/>
    <n v="289659"/>
    <s v="Capitalized"/>
    <s v="Docking Station for Ops Manager Laptop - No SN on Amazon Purchases"/>
    <m/>
    <m/>
    <n v="1"/>
    <m/>
    <n v="0"/>
    <s v="AMZN MKTP US 146R79LF1"/>
    <m/>
    <s v="HARDWARE AND SOFTWARE"/>
    <s v="TBA"/>
    <m/>
    <m/>
    <m/>
    <d v="2022-09-22T00:00:00"/>
    <d v="2022-09-22T00:00:00"/>
    <s v="2183-22-0026-1"/>
    <n v="300"/>
    <n v="14110"/>
    <n v="139.47"/>
    <n v="14116"/>
    <n v="73.59"/>
    <n v="0"/>
    <n v="65.88"/>
    <n v="15.48"/>
    <n v="70260"/>
    <n v="3.87"/>
    <n v="0"/>
    <n v="3.87"/>
    <s v="P"/>
    <m/>
    <m/>
    <n v="0"/>
    <x v="15"/>
    <s v="Service Equip"/>
    <n v="9"/>
    <n v="2022"/>
    <n v="2025"/>
    <n v="2025.75"/>
    <n v="3.874166666666667"/>
    <n v="46.49"/>
    <n v="46.49"/>
    <n v="30.993333333336849"/>
    <n v="77.483333333336844"/>
    <n v="61.986666666663155"/>
    <s v="No"/>
  </r>
  <r>
    <n v="2183"/>
    <n v="291681"/>
    <s v="P"/>
    <s v="Capitalized"/>
    <s v="6Yd FEL Container"/>
    <m/>
    <m/>
    <n v="2"/>
    <m/>
    <n v="0"/>
    <s v="WASTEQUIP LLC"/>
    <m/>
    <s v="CONTAINERS"/>
    <s v="TBA"/>
    <m/>
    <s v="6 YD"/>
    <s v="FEL/REL/SL Metal"/>
    <d v="2022-10-07T00:00:00"/>
    <d v="2022-10-07T00:00:00"/>
    <s v="2183-22-0025-1"/>
    <n v="1200"/>
    <n v="14050"/>
    <n v="2658.15"/>
    <n v="14056"/>
    <n v="350.73"/>
    <n v="0"/>
    <n v="2307.42"/>
    <n v="73.84"/>
    <n v="54260"/>
    <n v="18.46"/>
    <n v="0"/>
    <n v="18.46"/>
    <s v="P"/>
    <m/>
    <m/>
    <n v="0"/>
    <x v="17"/>
    <s v="MSW/Recycle Containers"/>
    <n v="10"/>
    <n v="2022"/>
    <n v="2034"/>
    <n v="2034.8333333333333"/>
    <n v="18.459375000000001"/>
    <n v="221.51250000000002"/>
    <n v="221.51250000000002"/>
    <n v="129.21562500003347"/>
    <n v="350.72812500003351"/>
    <n v="2307.4218749999663"/>
    <s v="No"/>
  </r>
  <r>
    <n v="2183"/>
    <n v="291680"/>
    <s v="P"/>
    <s v="Capitalized"/>
    <s v="6 Yd FEL Containers"/>
    <m/>
    <m/>
    <n v="13"/>
    <m/>
    <n v="0"/>
    <s v="WASTEQUIP LLC"/>
    <m/>
    <s v="CONTAINERS"/>
    <s v="TBA"/>
    <m/>
    <s v="6 YD"/>
    <s v="FEL/REL/SL Metal"/>
    <d v="2022-10-07T00:00:00"/>
    <d v="2022-10-07T00:00:00"/>
    <s v="2183-22-0025-1"/>
    <n v="1200"/>
    <n v="14050"/>
    <n v="18271.72"/>
    <n v="14056"/>
    <n v="2410.86"/>
    <n v="0"/>
    <n v="15860.86"/>
    <n v="507.56"/>
    <n v="54260"/>
    <n v="126.89"/>
    <n v="0"/>
    <n v="126.89"/>
    <s v="P"/>
    <m/>
    <m/>
    <n v="0"/>
    <x v="17"/>
    <s v="MSW/Recycle Containers"/>
    <n v="10"/>
    <n v="2022"/>
    <n v="2034"/>
    <n v="2034.8333333333333"/>
    <n v="126.88694444444445"/>
    <n v="1522.6433333333334"/>
    <n v="1522.6433333333334"/>
    <n v="888.20861111134218"/>
    <n v="2410.8519444446756"/>
    <n v="15860.868055555326"/>
    <s v="No"/>
  </r>
  <r>
    <n v="2183"/>
    <n v="291675"/>
    <s v="P"/>
    <s v="Capitalized"/>
    <s v="4Yd FEL Container"/>
    <m/>
    <m/>
    <n v="15"/>
    <m/>
    <n v="0"/>
    <s v="WASTEQUIP LLC"/>
    <m/>
    <s v="CONTAINERS"/>
    <s v="TBA"/>
    <m/>
    <s v="4 YD"/>
    <s v="FEL/REL/SL Metal"/>
    <d v="2022-10-07T00:00:00"/>
    <d v="2022-10-07T00:00:00"/>
    <s v="2183-22-0025-1"/>
    <n v="1200"/>
    <n v="14050"/>
    <n v="14696.53"/>
    <n v="14056"/>
    <n v="1939.13"/>
    <n v="0"/>
    <n v="12757.400000000001"/>
    <n v="408.24"/>
    <n v="54260"/>
    <n v="102.06"/>
    <n v="0"/>
    <n v="102.06"/>
    <s v="P"/>
    <m/>
    <m/>
    <n v="0"/>
    <x v="17"/>
    <s v="MSW/Recycle Containers"/>
    <n v="10"/>
    <n v="2022"/>
    <n v="2034"/>
    <n v="2034.8333333333333"/>
    <n v="102.0592361111111"/>
    <n v="1224.7108333333333"/>
    <n v="1224.7108333333333"/>
    <n v="714.41465277796487"/>
    <n v="1939.1254861112982"/>
    <n v="12757.404513888703"/>
    <s v="No"/>
  </r>
  <r>
    <n v="2183"/>
    <n v="291639"/>
    <s v="P"/>
    <s v="Capitalized"/>
    <s v="2Yd FEL Container"/>
    <m/>
    <m/>
    <n v="15"/>
    <m/>
    <n v="0"/>
    <s v="WASTEQUIP LLC"/>
    <m/>
    <s v="CONTAINERS"/>
    <s v="TBA"/>
    <m/>
    <s v="2 YD"/>
    <s v="FEL/REL/SL Metal"/>
    <d v="2022-10-07T00:00:00"/>
    <d v="2022-10-07T00:00:00"/>
    <s v="2183-22-0025-1"/>
    <n v="1200"/>
    <n v="14050"/>
    <n v="12117.8"/>
    <n v="14056"/>
    <n v="1598.88"/>
    <n v="0"/>
    <n v="10518.919999999998"/>
    <n v="336.6"/>
    <n v="54260"/>
    <n v="84.15"/>
    <n v="0"/>
    <n v="84.15"/>
    <s v="P"/>
    <m/>
    <m/>
    <n v="0"/>
    <x v="17"/>
    <s v="MSW/Recycle Containers"/>
    <n v="10"/>
    <n v="2022"/>
    <n v="2034"/>
    <n v="2034.8333333333333"/>
    <n v="84.151388888888889"/>
    <n v="1009.8166666666666"/>
    <n v="1009.8166666666666"/>
    <n v="589.05972222237506"/>
    <n v="1598.8763888890417"/>
    <n v="10518.923611110957"/>
    <s v="No"/>
  </r>
  <r>
    <n v="2183"/>
    <n v="289659"/>
    <s v="P"/>
    <s v="Capitalized"/>
    <s v="HP ProBook 445 G9 SN: 5CD2352JK4"/>
    <m/>
    <m/>
    <n v="1"/>
    <m/>
    <n v="0"/>
    <s v="CDW DIR #2183"/>
    <m/>
    <s v="HARDWARE AND SOFTWARE"/>
    <s v="TBA"/>
    <m/>
    <m/>
    <m/>
    <d v="2022-09-22T00:00:00"/>
    <d v="2022-09-22T00:00:00"/>
    <s v="2183-22-0026-1"/>
    <n v="300"/>
    <n v="14110"/>
    <n v="1043.58"/>
    <n v="14116"/>
    <n v="550.79"/>
    <n v="0"/>
    <n v="492.78999999999996"/>
    <n v="115.96"/>
    <n v="70260"/>
    <n v="28.99"/>
    <n v="0"/>
    <n v="28.99"/>
    <s v="P"/>
    <m/>
    <m/>
    <n v="0"/>
    <x v="15"/>
    <s v="Service Equip"/>
    <n v="9"/>
    <n v="2022"/>
    <n v="2025"/>
    <n v="2025.75"/>
    <n v="28.98833333333333"/>
    <n v="347.85999999999996"/>
    <n v="347.85999999999996"/>
    <n v="231.90666666669301"/>
    <n v="579.76666666669303"/>
    <n v="463.8133333333069"/>
    <s v="No"/>
  </r>
  <r>
    <n v="2183"/>
    <n v="289033"/>
    <s v="P"/>
    <s v="Capitalized"/>
    <s v="1.5Yd REL Containers"/>
    <m/>
    <m/>
    <n v="15"/>
    <m/>
    <n v="0"/>
    <s v="WASTEQUIP LLC"/>
    <m/>
    <s v="CONTAINERS"/>
    <s v="TBA"/>
    <m/>
    <s v="1.5 YD"/>
    <s v="FEL/REL/SL Metal"/>
    <d v="2022-07-18T00:00:00"/>
    <d v="2022-07-18T00:00:00"/>
    <s v="2183-22-0019-1"/>
    <n v="1200"/>
    <n v="14050"/>
    <n v="10980.66"/>
    <n v="14056"/>
    <n v="1601.33"/>
    <n v="0"/>
    <n v="9379.33"/>
    <n v="305"/>
    <n v="54260"/>
    <n v="76.25"/>
    <n v="0"/>
    <n v="76.25"/>
    <s v="P"/>
    <m/>
    <m/>
    <n v="0"/>
    <x v="17"/>
    <s v="MSW/Recycle Containers"/>
    <n v="7"/>
    <n v="2022"/>
    <n v="2034"/>
    <n v="2034.5833333333333"/>
    <n v="76.254583333333329"/>
    <n v="915.05499999999995"/>
    <n v="915.05499999999995"/>
    <n v="762.54583333347182"/>
    <n v="1677.6008333334717"/>
    <n v="9303.0591666665277"/>
    <s v="No"/>
  </r>
  <r>
    <n v="2183"/>
    <n v="289032"/>
    <s v="P"/>
    <s v="Capitalized"/>
    <s v="1Yd REL Containers"/>
    <m/>
    <m/>
    <n v="15"/>
    <m/>
    <n v="0"/>
    <s v="WASTEQUIP LLC"/>
    <m/>
    <s v="CONTAINERS"/>
    <s v="TBA"/>
    <m/>
    <s v="1 YD"/>
    <s v="FEL/REL/SL Metal"/>
    <d v="2022-07-18T00:00:00"/>
    <d v="2022-07-18T00:00:00"/>
    <s v="2183-22-0019-1"/>
    <n v="1200"/>
    <n v="14050"/>
    <n v="10471.49"/>
    <n v="14056"/>
    <n v="1527.1"/>
    <n v="0"/>
    <n v="8944.39"/>
    <n v="290.88"/>
    <n v="54260"/>
    <n v="72.72"/>
    <n v="0"/>
    <n v="72.72"/>
    <s v="P"/>
    <m/>
    <m/>
    <n v="0"/>
    <x v="17"/>
    <s v="MSW/Recycle Containers"/>
    <n v="7"/>
    <n v="2022"/>
    <n v="2034"/>
    <n v="2034.5833333333333"/>
    <n v="72.718680555555551"/>
    <n v="872.62416666666661"/>
    <n v="872.62416666666661"/>
    <n v="727.1868055556879"/>
    <n v="1599.8109722223544"/>
    <n v="8871.6790277776454"/>
    <s v="No"/>
  </r>
  <r>
    <n v="2183"/>
    <n v="288325"/>
    <s v="P"/>
    <s v="Capitalized"/>
    <s v="3Yd FEL Containers"/>
    <m/>
    <m/>
    <n v="20"/>
    <m/>
    <n v="0"/>
    <s v="WASTEQUIP LLC"/>
    <m/>
    <s v="CONTAINERS"/>
    <s v="TBA"/>
    <m/>
    <s v="3 YD"/>
    <s v="FEL/REL/SL Metal"/>
    <d v="2022-07-15T00:00:00"/>
    <d v="2022-07-15T00:00:00"/>
    <s v="2183-22-0019-1"/>
    <n v="1200"/>
    <n v="14050"/>
    <n v="15457.02"/>
    <n v="14056"/>
    <n v="2361.4699999999998"/>
    <n v="0"/>
    <n v="13095.550000000001"/>
    <n v="429.36"/>
    <n v="54260"/>
    <n v="107.34"/>
    <n v="0"/>
    <n v="107.34"/>
    <s v="P"/>
    <m/>
    <m/>
    <n v="0"/>
    <x v="17"/>
    <s v="MSW/Recycle Containers"/>
    <n v="7"/>
    <n v="2022"/>
    <n v="2034"/>
    <n v="2034.5833333333333"/>
    <n v="107.34041666666667"/>
    <n v="1288.085"/>
    <n v="1288.085"/>
    <n v="1073.4041666668618"/>
    <n v="2361.4891666668618"/>
    <n v="13095.530833333138"/>
    <s v="No"/>
  </r>
  <r>
    <n v="2183"/>
    <n v="288112"/>
    <s v="P"/>
    <s v="Capitalized"/>
    <s v="95 Gallon Plastic Refuse Totes"/>
    <m/>
    <m/>
    <n v="702"/>
    <m/>
    <n v="0"/>
    <s v="REHRIG PACIFIC COMPANY IN"/>
    <m/>
    <s v="CONTAINERS"/>
    <s v="TBA"/>
    <m/>
    <m/>
    <m/>
    <d v="2022-08-27T00:00:00"/>
    <d v="2022-08-27T00:00:00"/>
    <s v="2183-22-0024-1"/>
    <n v="700"/>
    <n v="14050"/>
    <n v="47981.63"/>
    <n v="14056"/>
    <n v="11424.2"/>
    <n v="0"/>
    <n v="36557.429999999993"/>
    <n v="2284.84"/>
    <n v="54260"/>
    <n v="571.21"/>
    <n v="0"/>
    <n v="571.21"/>
    <s v="P"/>
    <m/>
    <m/>
    <n v="0"/>
    <x v="14"/>
    <s v="MSW Carts"/>
    <n v="8"/>
    <n v="2022"/>
    <n v="2029"/>
    <n v="2029.6666666666667"/>
    <n v="571.2098809523809"/>
    <n v="6854.5185714285708"/>
    <n v="6854.5185714285708"/>
    <n v="5140.8889285714322"/>
    <n v="11995.407500000003"/>
    <n v="35986.222499999996"/>
    <s v="No"/>
  </r>
  <r>
    <n v="2183"/>
    <n v="288073"/>
    <s v="P"/>
    <s v="Capitalized"/>
    <s v="65 Gallon Plastic Refuse Totes"/>
    <m/>
    <m/>
    <n v="936"/>
    <m/>
    <n v="0"/>
    <s v="REHRIG PACIFIC COMPANY IN"/>
    <m/>
    <s v="CONTAINERS"/>
    <s v="TBA"/>
    <m/>
    <m/>
    <m/>
    <d v="2022-08-24T00:00:00"/>
    <d v="2022-08-24T00:00:00"/>
    <s v="2183-22-0024-1"/>
    <n v="700"/>
    <n v="14050"/>
    <n v="55847.89"/>
    <n v="14056"/>
    <n v="13297.13"/>
    <n v="0"/>
    <n v="42550.76"/>
    <n v="2659.44"/>
    <n v="54260"/>
    <n v="664.86"/>
    <n v="0"/>
    <n v="664.86"/>
    <s v="P"/>
    <m/>
    <m/>
    <n v="0"/>
    <x v="14"/>
    <s v="MSW Carts"/>
    <n v="8"/>
    <n v="2022"/>
    <n v="2029"/>
    <n v="2029.6666666666667"/>
    <n v="664.85583333333329"/>
    <n v="7978.2699999999995"/>
    <n v="7978.2699999999995"/>
    <n v="5983.7024999999994"/>
    <n v="13961.9725"/>
    <n v="41885.917499999996"/>
    <s v="No"/>
  </r>
  <r>
    <n v="2183"/>
    <n v="287231"/>
    <n v="284971"/>
    <s v="Capitalized"/>
    <s v="License for Truck 3724"/>
    <m/>
    <m/>
    <n v="1"/>
    <m/>
    <n v="0"/>
    <s v="WA DOL"/>
    <m/>
    <s v="TRUCKS AND TRAILERS"/>
    <s v="TBA"/>
    <s v="Non-Rolling Stock"/>
    <m/>
    <m/>
    <d v="2022-07-14T00:00:00"/>
    <d v="2022-07-14T00:00:00"/>
    <s v="2183-22-0004-1"/>
    <n v="1000"/>
    <n v="14040"/>
    <n v="471.23"/>
    <n v="14046"/>
    <n v="86.4"/>
    <n v="0"/>
    <n v="384.83000000000004"/>
    <n v="15.72"/>
    <n v="51260"/>
    <n v="3.93"/>
    <n v="0"/>
    <n v="3.93"/>
    <s v="P"/>
    <m/>
    <m/>
    <n v="3724"/>
    <x v="16"/>
    <s v="Res/Comm MSW Truck"/>
    <n v="7"/>
    <n v="2022"/>
    <n v="2032"/>
    <n v="2032.5833333333333"/>
    <n v="3.9269166666666671"/>
    <n v="47.123000000000005"/>
    <n v="47.123000000000005"/>
    <n v="39.269166666673812"/>
    <n v="86.392166666673816"/>
    <n v="384.83783333332622"/>
    <s v="No"/>
  </r>
  <r>
    <n v="2183"/>
    <n v="287230"/>
    <n v="284970"/>
    <s v="Capitalized"/>
    <s v="License for Truck 3725"/>
    <m/>
    <m/>
    <n v="1"/>
    <m/>
    <n v="0"/>
    <s v="WA DOL"/>
    <m/>
    <s v="TRUCKS AND TRAILERS"/>
    <s v="TBA"/>
    <s v="Non-Rolling Stock"/>
    <m/>
    <m/>
    <d v="2022-07-14T00:00:00"/>
    <d v="2022-07-14T00:00:00"/>
    <s v="2183-22-0003-1"/>
    <n v="1000"/>
    <n v="14040"/>
    <n v="471.23"/>
    <n v="14046"/>
    <n v="86.4"/>
    <n v="0"/>
    <n v="384.83000000000004"/>
    <n v="15.72"/>
    <n v="51260"/>
    <n v="3.93"/>
    <n v="0"/>
    <n v="3.93"/>
    <s v="P"/>
    <m/>
    <m/>
    <n v="3725"/>
    <x v="16"/>
    <s v="Res/Comm MSW Truck"/>
    <n v="7"/>
    <n v="2022"/>
    <n v="2032"/>
    <n v="2032.5833333333333"/>
    <n v="3.9269166666666671"/>
    <n v="47.123000000000005"/>
    <n v="47.123000000000005"/>
    <n v="39.269166666673812"/>
    <n v="86.392166666673816"/>
    <n v="384.83783333332622"/>
    <s v="No"/>
  </r>
  <r>
    <n v="2183"/>
    <n v="287229"/>
    <n v="284969"/>
    <s v="Capitalized"/>
    <s v="License for Truck 3726"/>
    <m/>
    <m/>
    <n v="1"/>
    <m/>
    <n v="0"/>
    <s v="WA DOL"/>
    <m/>
    <s v="TRUCKS AND TRAILERS"/>
    <s v="TBA"/>
    <s v="Non-Rolling Stock"/>
    <m/>
    <m/>
    <d v="2022-07-14T00:00:00"/>
    <d v="2022-07-14T00:00:00"/>
    <s v="2183-22-0005-1"/>
    <n v="1000"/>
    <n v="14040"/>
    <n v="471.22"/>
    <n v="14046"/>
    <n v="86.4"/>
    <n v="0"/>
    <n v="384.82000000000005"/>
    <n v="15.72"/>
    <n v="51260"/>
    <n v="3.93"/>
    <n v="0"/>
    <n v="3.93"/>
    <s v="P"/>
    <m/>
    <m/>
    <n v="3726"/>
    <x v="16"/>
    <s v="Res/Comm MSW Truck"/>
    <n v="7"/>
    <n v="2022"/>
    <n v="2032"/>
    <n v="2032.5833333333333"/>
    <n v="3.9268333333333332"/>
    <n v="47.122"/>
    <n v="47.122"/>
    <n v="39.268333333340536"/>
    <n v="86.390333333340536"/>
    <n v="384.82966666665948"/>
    <s v="No"/>
  </r>
  <r>
    <n v="2183"/>
    <n v="287228"/>
    <n v="284969"/>
    <s v="Capitalized"/>
    <s v="Decals for Truck #3725"/>
    <m/>
    <m/>
    <n v="1"/>
    <m/>
    <n v="0"/>
    <s v="LARSEN SIGN"/>
    <m/>
    <s v="TRUCKS AND TRAILERS"/>
    <s v="TBA"/>
    <s v="Non-Rolling Stock"/>
    <m/>
    <m/>
    <d v="2022-07-14T00:00:00"/>
    <d v="2022-07-14T00:00:00"/>
    <s v="2183-22-0005-1"/>
    <n v="1000"/>
    <n v="14040"/>
    <n v="958.13"/>
    <n v="14046"/>
    <n v="175.64"/>
    <n v="0"/>
    <n v="782.49"/>
    <n v="31.92"/>
    <n v="51260"/>
    <n v="7.98"/>
    <n v="0"/>
    <n v="7.98"/>
    <s v="P"/>
    <m/>
    <m/>
    <n v="3725"/>
    <x v="16"/>
    <s v="Res/Comm MSW Truck"/>
    <n v="7"/>
    <n v="2022"/>
    <n v="2032"/>
    <n v="2032.5833333333333"/>
    <n v="7.9844166666666672"/>
    <n v="95.813000000000002"/>
    <n v="95.813000000000002"/>
    <n v="79.844166666681076"/>
    <n v="175.65716666668106"/>
    <n v="782.47283333331893"/>
    <s v="No"/>
  </r>
  <r>
    <n v="2183"/>
    <n v="287227"/>
    <n v="284971"/>
    <s v="Capitalized"/>
    <s v="Decals for Truck 3726"/>
    <m/>
    <m/>
    <n v="1"/>
    <m/>
    <n v="0"/>
    <s v="LARSEN SIGN COMPANY"/>
    <m/>
    <s v="TRUCKS AND TRAILERS"/>
    <s v="TBA"/>
    <s v="Non-Rolling Stock"/>
    <m/>
    <m/>
    <d v="2022-07-06T00:00:00"/>
    <d v="2022-07-06T00:00:00"/>
    <s v="2183-22-0004-1"/>
    <n v="1000"/>
    <n v="14040"/>
    <n v="870.53"/>
    <n v="14046"/>
    <n v="159.58000000000001"/>
    <n v="0"/>
    <n v="710.94999999999993"/>
    <n v="29"/>
    <n v="51260"/>
    <n v="7.25"/>
    <n v="0"/>
    <n v="7.25"/>
    <s v="P"/>
    <m/>
    <m/>
    <n v="3726"/>
    <x v="16"/>
    <s v="Res/Comm MSW Truck"/>
    <n v="7"/>
    <n v="2022"/>
    <n v="2032"/>
    <n v="2032.5833333333333"/>
    <n v="7.2544166666666667"/>
    <n v="87.052999999999997"/>
    <n v="87.052999999999997"/>
    <n v="72.544166666679871"/>
    <n v="159.59716666667987"/>
    <n v="710.9328333333201"/>
    <s v="No"/>
  </r>
  <r>
    <n v="2183"/>
    <n v="287224"/>
    <n v="282320"/>
    <s v="Capitalized"/>
    <s v="License for Truck 3722"/>
    <m/>
    <m/>
    <n v="1"/>
    <m/>
    <n v="0"/>
    <s v="DOL"/>
    <m/>
    <s v="TRUCKS AND TRAILERS"/>
    <s v="TBA"/>
    <s v="Non-Rolling Stock"/>
    <m/>
    <m/>
    <d v="2022-05-25T00:00:00"/>
    <d v="2022-05-25T00:00:00"/>
    <s v="2183-22-0007-1"/>
    <n v="1000"/>
    <n v="14040"/>
    <n v="472.37"/>
    <n v="14046"/>
    <n v="90.56"/>
    <n v="0"/>
    <n v="381.81"/>
    <n v="15.76"/>
    <n v="51260"/>
    <n v="3.94"/>
    <n v="0"/>
    <n v="3.94"/>
    <s v="P"/>
    <m/>
    <m/>
    <n v="3722"/>
    <x v="16"/>
    <s v="Res/Comm MSW Truck"/>
    <n v="5"/>
    <n v="2022"/>
    <n v="2032"/>
    <n v="2032.4166666666667"/>
    <n v="3.9364166666666667"/>
    <n v="47.237000000000002"/>
    <n v="47.237000000000002"/>
    <n v="47.237000000000023"/>
    <n v="94.474000000000018"/>
    <n v="377.89599999999996"/>
    <s v="No"/>
  </r>
  <r>
    <n v="2183"/>
    <n v="287223"/>
    <n v="282320"/>
    <s v="Capitalized"/>
    <s v="Decals for Truck #3724"/>
    <m/>
    <m/>
    <n v="1"/>
    <m/>
    <n v="0"/>
    <s v="LARSEN SIGN"/>
    <m/>
    <s v="TRUCKS AND TRAILERS"/>
    <s v="TBA"/>
    <s v="Non-Rolling Stock"/>
    <m/>
    <m/>
    <d v="2022-05-25T00:00:00"/>
    <d v="2022-05-25T00:00:00"/>
    <s v="2183-22-0007-1"/>
    <n v="1000"/>
    <n v="14040"/>
    <n v="958.13"/>
    <n v="14046"/>
    <n v="183.62"/>
    <n v="0"/>
    <n v="774.51"/>
    <n v="31.92"/>
    <n v="51260"/>
    <n v="7.98"/>
    <n v="0"/>
    <n v="7.98"/>
    <s v="P"/>
    <m/>
    <m/>
    <n v="3724"/>
    <x v="16"/>
    <s v="Res/Comm MSW Truck"/>
    <n v="5"/>
    <n v="2022"/>
    <n v="2032"/>
    <n v="2032.4166666666667"/>
    <n v="7.9844166666666672"/>
    <n v="95.813000000000002"/>
    <n v="95.813000000000002"/>
    <n v="95.812999999999988"/>
    <n v="191.62599999999998"/>
    <n v="766.50400000000002"/>
    <s v="No"/>
  </r>
  <r>
    <n v="2183"/>
    <n v="287222"/>
    <n v="281758"/>
    <s v="Capitalized"/>
    <s v="License for truck 3720"/>
    <m/>
    <m/>
    <n v="1"/>
    <m/>
    <n v="2022"/>
    <s v="Solid Waste Systems"/>
    <s v="Labrie"/>
    <s v="TRUCKS AND TRAILERS"/>
    <s v="TBA"/>
    <s v="Non-Rolling Stock"/>
    <m/>
    <m/>
    <d v="2022-05-19T00:00:00"/>
    <d v="2022-05-19T00:00:00"/>
    <s v="2183-22-0016-1"/>
    <n v="1000"/>
    <n v="14040"/>
    <n v="472.37"/>
    <n v="14046"/>
    <n v="90.56"/>
    <n v="0"/>
    <n v="381.81"/>
    <n v="15.76"/>
    <n v="51260"/>
    <n v="3.94"/>
    <n v="0"/>
    <n v="3.94"/>
    <s v="P"/>
    <m/>
    <m/>
    <n v="3720"/>
    <x v="16"/>
    <s v="Res/Comm MSW Truck"/>
    <n v="5"/>
    <n v="2022"/>
    <n v="2032"/>
    <n v="2032.4166666666667"/>
    <n v="3.9364166666666667"/>
    <n v="47.237000000000002"/>
    <n v="47.237000000000002"/>
    <n v="47.237000000000023"/>
    <n v="94.474000000000018"/>
    <n v="377.89599999999996"/>
    <s v="No"/>
  </r>
  <r>
    <n v="2183"/>
    <n v="286537"/>
    <s v="P"/>
    <s v="Capitalized"/>
    <s v="95 Gallon Yardwaste Totes"/>
    <m/>
    <m/>
    <n v="702"/>
    <m/>
    <n v="0"/>
    <s v="REHRIG PACIFIC COMPANY IN"/>
    <m/>
    <s v="CONTAINERS"/>
    <s v="TBA"/>
    <m/>
    <m/>
    <m/>
    <d v="2022-07-29T00:00:00"/>
    <d v="2022-07-29T00:00:00"/>
    <s v="2183-22-0024-1"/>
    <n v="700"/>
    <n v="14050"/>
    <n v="47981.63"/>
    <n v="14056"/>
    <n v="11995.41"/>
    <n v="0"/>
    <n v="35986.22"/>
    <n v="2284.84"/>
    <n v="54260"/>
    <n v="571.21"/>
    <n v="0"/>
    <n v="571.21"/>
    <s v="P"/>
    <m/>
    <m/>
    <n v="0"/>
    <x v="4"/>
    <s v="YW Carts"/>
    <n v="7"/>
    <n v="2022"/>
    <n v="2029"/>
    <n v="2029.5833333333333"/>
    <n v="571.2098809523809"/>
    <n v="6854.5185714285708"/>
    <n v="6854.5185714285708"/>
    <n v="5712.0988095248467"/>
    <n v="12566.617380953418"/>
    <n v="35415.012619046582"/>
    <s v="No"/>
  </r>
  <r>
    <n v="2183"/>
    <n v="286142"/>
    <s v="P"/>
    <s v="Capitalized"/>
    <s v="15 Chairs and Table + Install"/>
    <m/>
    <m/>
    <n v="1"/>
    <m/>
    <n v="0"/>
    <s v="GORDON PRODUCTS INC"/>
    <m/>
    <s v="OFFICE EQUIPMENT"/>
    <s v="TBA"/>
    <m/>
    <m/>
    <m/>
    <d v="2022-01-28T00:00:00"/>
    <d v="2022-01-28T00:00:00"/>
    <s v="2183-22-0023-1"/>
    <n v="1000"/>
    <n v="14100"/>
    <n v="5251.08"/>
    <n v="14106"/>
    <n v="1181.5"/>
    <n v="0"/>
    <n v="4069.58"/>
    <n v="175.04"/>
    <n v="70260"/>
    <n v="43.76"/>
    <n v="0"/>
    <n v="43.76"/>
    <s v="P"/>
    <m/>
    <m/>
    <n v="0"/>
    <x v="18"/>
    <s v="Building"/>
    <n v="1"/>
    <n v="2022"/>
    <n v="2032"/>
    <n v="2032.0833333333333"/>
    <n v="43.758999999999993"/>
    <n v="525.10799999999995"/>
    <n v="525.10799999999995"/>
    <n v="700.14400000008027"/>
    <n v="1225.2520000000802"/>
    <n v="4025.8279999999195"/>
    <s v="No"/>
  </r>
  <r>
    <n v="2183"/>
    <n v="285802"/>
    <s v="P"/>
    <s v="Capitalized"/>
    <s v="New Computer for DM SN: 5CD2159T2P"/>
    <m/>
    <m/>
    <n v="1"/>
    <m/>
    <n v="0"/>
    <s v="CDW DIR #PO  2183-22-0"/>
    <m/>
    <s v="HARDWARE AND SOFTWARE"/>
    <s v="TBA"/>
    <m/>
    <m/>
    <m/>
    <d v="2022-06-24T00:00:00"/>
    <d v="2022-06-24T00:00:00"/>
    <s v="2183-22-0022-1"/>
    <n v="300"/>
    <n v="14110"/>
    <n v="1459.1"/>
    <n v="14116"/>
    <n v="891.67"/>
    <n v="0"/>
    <n v="567.42999999999995"/>
    <n v="162.12"/>
    <n v="70260"/>
    <n v="40.53"/>
    <n v="0"/>
    <n v="40.53"/>
    <s v="P"/>
    <m/>
    <m/>
    <n v="0"/>
    <x v="15"/>
    <s v="Service Equip"/>
    <n v="6"/>
    <n v="2022"/>
    <n v="2025"/>
    <n v="2025.5"/>
    <n v="40.530555555555551"/>
    <n v="486.36666666666662"/>
    <n v="486.36666666666662"/>
    <n v="445.83611111114794"/>
    <n v="932.20277777781462"/>
    <n v="526.89722222218529"/>
    <s v="No"/>
  </r>
  <r>
    <n v="2183"/>
    <n v="285623"/>
    <s v="P"/>
    <s v="Capitalized"/>
    <s v="New Docking Station for DM Laptop - No SN on Amazon Purchases"/>
    <m/>
    <m/>
    <n v="1"/>
    <m/>
    <n v="0"/>
    <s v="AMZN MKTP US KH57Q7FH3"/>
    <m/>
    <s v="HARDWARE AND SOFTWARE"/>
    <s v="TBA"/>
    <m/>
    <m/>
    <m/>
    <d v="2022-06-24T00:00:00"/>
    <d v="2022-06-24T00:00:00"/>
    <s v="2183-22-0022-1"/>
    <n v="300"/>
    <n v="14110"/>
    <n v="306.3"/>
    <n v="14116"/>
    <n v="187.19"/>
    <n v="0"/>
    <n v="119.11000000000001"/>
    <n v="34.04"/>
    <n v="70260"/>
    <n v="8.51"/>
    <n v="0"/>
    <n v="8.51"/>
    <s v="P"/>
    <m/>
    <m/>
    <n v="0"/>
    <x v="15"/>
    <s v="Service Equip"/>
    <n v="6"/>
    <n v="2022"/>
    <n v="2025"/>
    <n v="2025.5"/>
    <n v="8.5083333333333346"/>
    <n v="102.10000000000002"/>
    <n v="102.10000000000002"/>
    <n v="93.591666666674371"/>
    <n v="195.69166666667439"/>
    <n v="110.60833333332562"/>
    <s v="No"/>
  </r>
  <r>
    <n v="2183"/>
    <n v="285394"/>
    <s v="P"/>
    <s v="Capitalized"/>
    <s v="95 Gallon Plastic MSW Totes"/>
    <m/>
    <m/>
    <n v="362"/>
    <m/>
    <n v="0"/>
    <s v="REHRIG PACIFIC COMPANY IN"/>
    <m/>
    <s v="CONTAINERS"/>
    <s v="TBA"/>
    <m/>
    <m/>
    <m/>
    <d v="2022-07-08T00:00:00"/>
    <d v="2022-07-08T00:00:00"/>
    <s v="2183-22-0014-1"/>
    <n v="700"/>
    <n v="14050"/>
    <n v="27674.46"/>
    <n v="14056"/>
    <n v="7248.09"/>
    <n v="0"/>
    <n v="20426.37"/>
    <n v="1317.84"/>
    <n v="54260"/>
    <n v="329.46"/>
    <n v="0"/>
    <n v="329.46"/>
    <s v="P"/>
    <m/>
    <m/>
    <n v="0"/>
    <x v="14"/>
    <s v="MSW Carts"/>
    <n v="7"/>
    <n v="2022"/>
    <n v="2029"/>
    <n v="2029.5833333333333"/>
    <n v="329.45785714285711"/>
    <n v="3953.4942857142851"/>
    <n v="3953.4942857142851"/>
    <n v="3294.5785714291742"/>
    <n v="7248.0728571434593"/>
    <n v="20426.38714285654"/>
    <s v="No"/>
  </r>
  <r>
    <n v="2183"/>
    <n v="284971"/>
    <s v="P"/>
    <s v="Capitalized"/>
    <s v="2022 Peterbilt ASL Truck"/>
    <m/>
    <m/>
    <n v="1"/>
    <s v="3BPDLK0X7NF113163"/>
    <n v="2022"/>
    <s v="Peterbilt"/>
    <s v="Labrie"/>
    <s v="TRUCKS AND TRAILERS"/>
    <s v="TBA"/>
    <s v="Automated Side Loader"/>
    <m/>
    <m/>
    <d v="2022-07-06T00:00:00"/>
    <d v="2022-07-06T00:00:00"/>
    <s v="2183-22-0004-1"/>
    <n v="1000"/>
    <n v="14040"/>
    <n v="395646.71999999997"/>
    <n v="14046"/>
    <n v="72535.25"/>
    <n v="0"/>
    <n v="323111.46999999997"/>
    <n v="13188.24"/>
    <n v="51260"/>
    <n v="3297.06"/>
    <n v="0"/>
    <n v="3297.06"/>
    <s v="P"/>
    <m/>
    <n v="3724"/>
    <n v="3724"/>
    <x v="16"/>
    <s v="Res/Comm MSW Truck"/>
    <n v="7"/>
    <n v="2022"/>
    <n v="2032"/>
    <n v="2032.5833333333333"/>
    <n v="3297.056"/>
    <n v="39564.671999999999"/>
    <n v="39564.671999999999"/>
    <n v="32970.560000005993"/>
    <n v="72535.232000005984"/>
    <n v="323111.48799999396"/>
    <s v="No"/>
  </r>
  <r>
    <n v="2183"/>
    <n v="284970"/>
    <s v="P"/>
    <s v="Capitalized"/>
    <s v="2023 Peterbilt ASL Truck"/>
    <m/>
    <m/>
    <n v="1"/>
    <s v="3BPDLK0X1PF113162"/>
    <n v="2023"/>
    <s v="Peterbilt"/>
    <s v="Labrie"/>
    <s v="TRUCKS AND TRAILERS"/>
    <s v="TBA"/>
    <s v="Automated Side Loader"/>
    <m/>
    <m/>
    <d v="2022-07-14T00:00:00"/>
    <d v="2022-07-14T00:00:00"/>
    <s v="2183-22-0003-1"/>
    <n v="1000"/>
    <n v="14040"/>
    <n v="396603.97"/>
    <n v="14046"/>
    <n v="72710.720000000001"/>
    <n v="0"/>
    <n v="323893.25"/>
    <n v="13220.12"/>
    <n v="51260"/>
    <n v="3305.03"/>
    <n v="0"/>
    <n v="3305.03"/>
    <s v="P"/>
    <m/>
    <n v="3725"/>
    <n v="3725"/>
    <x v="16"/>
    <s v="Res/Comm MSW Truck"/>
    <n v="7"/>
    <n v="2022"/>
    <n v="2032"/>
    <n v="2032.5833333333333"/>
    <n v="3305.0330833333333"/>
    <n v="39660.396999999997"/>
    <n v="39660.396999999997"/>
    <n v="33050.330833339307"/>
    <n v="72710.727833339304"/>
    <n v="323893.24216666067"/>
    <s v="No"/>
  </r>
  <r>
    <n v="2183"/>
    <n v="284969"/>
    <s v="P"/>
    <s v="Capitalized"/>
    <s v="2022 Peterbilt ASL Truck"/>
    <m/>
    <m/>
    <n v="1"/>
    <s v="3BPDLK0X9NF113164"/>
    <n v="2022"/>
    <s v="Peterbilt"/>
    <s v="Labrie"/>
    <s v="TRUCKS AND TRAILERS"/>
    <s v="TBA"/>
    <s v="Automated Side Loader"/>
    <m/>
    <m/>
    <d v="2022-07-14T00:00:00"/>
    <d v="2022-07-14T00:00:00"/>
    <s v="2183-22-0005-1"/>
    <n v="1000"/>
    <n v="14040"/>
    <n v="396380.72"/>
    <n v="14046"/>
    <n v="72669.789999999994"/>
    <n v="0"/>
    <n v="323710.93"/>
    <n v="13212.68"/>
    <n v="51260"/>
    <n v="3303.17"/>
    <n v="0"/>
    <n v="3303.17"/>
    <s v="P"/>
    <m/>
    <n v="3726"/>
    <n v="3726"/>
    <x v="16"/>
    <s v="Res/Comm MSW Truck"/>
    <n v="7"/>
    <n v="2022"/>
    <n v="2032"/>
    <n v="2032.5833333333333"/>
    <n v="3303.1726666666668"/>
    <n v="39638.072"/>
    <n v="39638.072"/>
    <n v="33031.726666672621"/>
    <n v="72669.798666672621"/>
    <n v="323710.92133332737"/>
    <s v="No"/>
  </r>
  <r>
    <n v="2183"/>
    <n v="284833"/>
    <s v="P"/>
    <s v="Capitalized"/>
    <s v="8Yd FEL Container"/>
    <m/>
    <m/>
    <n v="16"/>
    <m/>
    <n v="0"/>
    <s v="WASTEQUIP LLC"/>
    <m/>
    <s v="CONTAINERS"/>
    <s v="TBA"/>
    <m/>
    <s v="8 YD"/>
    <s v="FEL/REL/SL Metal"/>
    <d v="2022-04-04T00:00:00"/>
    <d v="2022-04-04T00:00:00"/>
    <s v="2183-22-0013-1"/>
    <n v="1200"/>
    <n v="14050"/>
    <n v="42949.8"/>
    <n v="14056"/>
    <n v="7456.55"/>
    <n v="0"/>
    <n v="35493.25"/>
    <n v="1193.04"/>
    <n v="54260"/>
    <n v="298.26"/>
    <n v="0"/>
    <n v="298.26"/>
    <s v="P"/>
    <m/>
    <m/>
    <n v="0"/>
    <x v="17"/>
    <s v="MSW/Recycle Containers"/>
    <n v="4"/>
    <n v="2022"/>
    <n v="2034"/>
    <n v="2034.3333333333333"/>
    <n v="298.26249999999999"/>
    <n v="3579.1499999999996"/>
    <n v="3579.1499999999996"/>
    <n v="3877.4125000005442"/>
    <n v="7456.5625000005439"/>
    <n v="35493.237499999457"/>
    <s v="No"/>
  </r>
  <r>
    <n v="2183"/>
    <n v="284820"/>
    <s v="P"/>
    <s v="Capitalized"/>
    <s v="5Yd FEL Containers"/>
    <m/>
    <m/>
    <n v="1"/>
    <m/>
    <n v="0"/>
    <s v="WASTEQUIP LLC"/>
    <m/>
    <s v="CONTAINERS"/>
    <s v="TBA"/>
    <m/>
    <s v="5 YD"/>
    <s v="FEL/REL/SL Metal"/>
    <d v="2022-04-07T00:00:00"/>
    <d v="2022-04-07T00:00:00"/>
    <s v="2183-22-0013-1"/>
    <n v="1200"/>
    <n v="14050"/>
    <n v="1476.78"/>
    <n v="14056"/>
    <n v="256.41000000000003"/>
    <n v="0"/>
    <n v="1220.3699999999999"/>
    <n v="41.04"/>
    <n v="54260"/>
    <n v="10.26"/>
    <n v="0"/>
    <n v="10.26"/>
    <s v="P"/>
    <m/>
    <m/>
    <n v="0"/>
    <x v="17"/>
    <s v="MSW/Recycle Containers"/>
    <n v="4"/>
    <n v="2022"/>
    <n v="2034"/>
    <n v="2034.3333333333333"/>
    <n v="10.255416666666667"/>
    <n v="123.065"/>
    <n v="123.065"/>
    <n v="133.32041666668533"/>
    <n v="256.38541666668533"/>
    <n v="1220.3945833333146"/>
    <s v="No"/>
  </r>
  <r>
    <n v="2183"/>
    <n v="284807"/>
    <s v="P"/>
    <s v="Capitalized"/>
    <s v="3Yd FEL Containers"/>
    <m/>
    <m/>
    <n v="20"/>
    <m/>
    <n v="0"/>
    <s v="WASTEQUIP LLC"/>
    <m/>
    <s v="CONTAINERS"/>
    <s v="TBA"/>
    <m/>
    <s v="3 YD"/>
    <s v="FEL/REL/SL Metal"/>
    <d v="2022-03-28T00:00:00"/>
    <d v="2022-03-28T00:00:00"/>
    <s v="2183-22-0013-1"/>
    <n v="1200"/>
    <n v="14050"/>
    <n v="18079.68"/>
    <n v="14056"/>
    <n v="3138.82"/>
    <n v="0"/>
    <n v="14940.86"/>
    <n v="502.2"/>
    <n v="54260"/>
    <n v="125.55"/>
    <n v="0"/>
    <n v="125.55"/>
    <s v="P"/>
    <m/>
    <m/>
    <n v="0"/>
    <x v="17"/>
    <s v="MSW/Recycle Containers"/>
    <n v="3"/>
    <n v="2022"/>
    <n v="2034"/>
    <n v="2034.25"/>
    <n v="125.55333333333334"/>
    <n v="1506.64"/>
    <n v="1506.64"/>
    <n v="1757.7466666667806"/>
    <n v="3264.3866666667809"/>
    <n v="14815.293333333218"/>
    <s v="No"/>
  </r>
  <r>
    <n v="2183"/>
    <n v="284342"/>
    <s v="P"/>
    <s v="Capitalized"/>
    <s v="95G Recycle Totes"/>
    <m/>
    <m/>
    <n v="702"/>
    <m/>
    <n v="0"/>
    <s v="REHRIG PACIFIC COMPANY IN"/>
    <m/>
    <s v="CONTAINERS"/>
    <s v="TBA"/>
    <m/>
    <m/>
    <m/>
    <d v="2022-05-20T00:00:00"/>
    <d v="2022-05-20T00:00:00"/>
    <s v="2183-22-0014-1"/>
    <n v="700"/>
    <n v="14050"/>
    <n v="46202.16"/>
    <n v="14056"/>
    <n v="12650.61"/>
    <n v="0"/>
    <n v="33551.550000000003"/>
    <n v="2200.12"/>
    <n v="54260"/>
    <n v="550.03"/>
    <n v="0"/>
    <n v="550.03"/>
    <s v="P"/>
    <m/>
    <m/>
    <n v="0"/>
    <x v="5"/>
    <s v="Recycling Carts"/>
    <n v="5"/>
    <n v="2022"/>
    <n v="2029"/>
    <n v="2029.4166666666667"/>
    <n v="550.02571428571434"/>
    <n v="6600.3085714285717"/>
    <n v="6600.3085714285717"/>
    <n v="6600.3085714285698"/>
    <n v="13200.617142857142"/>
    <n v="33001.542857142864"/>
    <s v="No"/>
  </r>
  <r>
    <n v="2183"/>
    <n v="283939"/>
    <n v="283493"/>
    <s v="Capitalized"/>
    <s v="Docking Station for Laptop - No SN On Amazon Purchases"/>
    <m/>
    <m/>
    <n v="1"/>
    <m/>
    <n v="0"/>
    <s v="AMZN MKTP US 792IP8LA3"/>
    <m/>
    <s v="HARDWARE AND SOFTWARE"/>
    <s v="TBA"/>
    <m/>
    <m/>
    <m/>
    <d v="2022-05-31T00:00:00"/>
    <d v="2022-05-31T00:00:00"/>
    <s v="2183-22-0021-1"/>
    <n v="300"/>
    <n v="14110"/>
    <n v="306.3"/>
    <n v="14116"/>
    <n v="195.7"/>
    <n v="0"/>
    <n v="110.60000000000002"/>
    <n v="34.04"/>
    <n v="70260"/>
    <n v="8.51"/>
    <n v="0"/>
    <n v="8.51"/>
    <s v="P"/>
    <m/>
    <m/>
    <n v="0"/>
    <x v="15"/>
    <s v="Service Equip"/>
    <n v="5"/>
    <n v="2022"/>
    <n v="2025"/>
    <n v="2025.4166666666667"/>
    <n v="8.5083333333333346"/>
    <n v="102.10000000000002"/>
    <n v="102.10000000000002"/>
    <n v="102.09999999999997"/>
    <n v="204.2"/>
    <n v="102.10000000000002"/>
    <s v="No"/>
  </r>
  <r>
    <n v="2183"/>
    <n v="283938"/>
    <s v="P"/>
    <s v="Capitalized"/>
    <s v="Dispatcher PC (SN: MXL216506T)"/>
    <m/>
    <m/>
    <n v="11"/>
    <m/>
    <n v="0"/>
    <s v="CDW DIR #PO  2183-22-0"/>
    <m/>
    <s v="HARDWARE AND SOFTWARE"/>
    <s v="TBA"/>
    <m/>
    <m/>
    <m/>
    <d v="2022-06-01T00:00:00"/>
    <d v="2022-06-01T00:00:00"/>
    <s v="2183-22-0020-1"/>
    <n v="300"/>
    <n v="14110"/>
    <n v="946.54"/>
    <n v="14116"/>
    <n v="604.71"/>
    <n v="0"/>
    <n v="341.82999999999993"/>
    <n v="105.16"/>
    <n v="70260"/>
    <n v="26.29"/>
    <n v="0"/>
    <n v="26.29"/>
    <s v="P"/>
    <m/>
    <m/>
    <n v="0"/>
    <x v="15"/>
    <s v="Service Equip"/>
    <n v="6"/>
    <n v="2022"/>
    <n v="2025"/>
    <n v="2025.5"/>
    <n v="26.292777777777776"/>
    <n v="315.51333333333332"/>
    <n v="315.51333333333332"/>
    <n v="289.22055555557949"/>
    <n v="604.73388888891282"/>
    <n v="341.80611111108715"/>
    <s v="No"/>
  </r>
  <r>
    <n v="2183"/>
    <n v="283937"/>
    <s v="P"/>
    <s v="Capitalized"/>
    <s v="Dispatcher PC (SN: MXL2165K6R)"/>
    <m/>
    <m/>
    <n v="1"/>
    <m/>
    <n v="0"/>
    <s v="CDW DIR #PO  2183-22-0"/>
    <m/>
    <s v="HARDWARE AND SOFTWARE"/>
    <s v="TBA"/>
    <m/>
    <m/>
    <m/>
    <d v="2022-06-01T00:00:00"/>
    <d v="2022-06-01T00:00:00"/>
    <s v="2183-22-0020-1"/>
    <n v="300"/>
    <n v="14110"/>
    <n v="946.54"/>
    <n v="14116"/>
    <n v="604.71"/>
    <n v="0"/>
    <n v="341.82999999999993"/>
    <n v="105.16"/>
    <n v="70260"/>
    <n v="26.29"/>
    <n v="0"/>
    <n v="26.29"/>
    <s v="P"/>
    <m/>
    <m/>
    <n v="0"/>
    <x v="15"/>
    <s v="Service Equip"/>
    <n v="6"/>
    <n v="2022"/>
    <n v="2025"/>
    <n v="2025.5"/>
    <n v="26.292777777777776"/>
    <n v="315.51333333333332"/>
    <n v="315.51333333333332"/>
    <n v="289.22055555557949"/>
    <n v="604.73388888891282"/>
    <n v="341.80611111108715"/>
    <s v="No"/>
  </r>
  <r>
    <n v="2183"/>
    <n v="283493"/>
    <s v="P"/>
    <s v="Capitalized"/>
    <s v="New computer for Sales Rep SN: 5CG2103CSL"/>
    <m/>
    <m/>
    <n v="1"/>
    <m/>
    <n v="0"/>
    <s v="CDW DIR #PO  2183-22-0"/>
    <m/>
    <s v="HARDWARE AND SOFTWARE"/>
    <s v="TBA"/>
    <m/>
    <m/>
    <m/>
    <d v="2022-05-31T00:00:00"/>
    <d v="2022-05-31T00:00:00"/>
    <s v="2183-22-0021-1"/>
    <n v="300"/>
    <n v="14110"/>
    <n v="1629.62"/>
    <n v="14116"/>
    <n v="1041.1600000000001"/>
    <n v="0"/>
    <n v="588.45999999999981"/>
    <n v="181.08"/>
    <n v="70260"/>
    <n v="45.27"/>
    <n v="0"/>
    <n v="45.27"/>
    <s v="P"/>
    <m/>
    <m/>
    <n v="0"/>
    <x v="15"/>
    <s v="Service Equip"/>
    <n v="5"/>
    <n v="2022"/>
    <n v="2025"/>
    <n v="2025.4166666666667"/>
    <n v="45.267222222222216"/>
    <n v="543.20666666666659"/>
    <n v="543.20666666666659"/>
    <n v="543.20666666666671"/>
    <n v="1086.4133333333334"/>
    <n v="543.20666666666648"/>
    <s v="No"/>
  </r>
  <r>
    <n v="2183"/>
    <n v="282320"/>
    <s v="P"/>
    <s v="Capitalized"/>
    <s v="2022 Peterbilt ASL Truck"/>
    <m/>
    <m/>
    <n v="1"/>
    <s v="3BPDLK0X3NF113161"/>
    <n v="2022"/>
    <s v="Peterbilt"/>
    <s v="Labrie"/>
    <s v="TRUCKS AND TRAILERS"/>
    <s v="TBA"/>
    <s v="Automated Side Loader"/>
    <m/>
    <m/>
    <d v="2022-05-25T00:00:00"/>
    <d v="2022-05-25T00:00:00"/>
    <s v="2183-22-0007-1"/>
    <n v="1000"/>
    <n v="14040"/>
    <n v="396213.26"/>
    <n v="14046"/>
    <n v="75940.89"/>
    <n v="0"/>
    <n v="320272.37"/>
    <n v="13207.12"/>
    <n v="51260"/>
    <n v="3301.78"/>
    <n v="0"/>
    <n v="3301.78"/>
    <s v="P"/>
    <m/>
    <n v="3722"/>
    <n v="3722"/>
    <x v="16"/>
    <s v="Res/Comm MSW Truck"/>
    <n v="5"/>
    <n v="2022"/>
    <n v="2032"/>
    <n v="2032.4166666666667"/>
    <n v="3301.7771666666667"/>
    <n v="39621.326000000001"/>
    <n v="39621.326000000001"/>
    <n v="39621.326000000001"/>
    <n v="79242.652000000002"/>
    <n v="316970.60800000001"/>
    <s v="No"/>
  </r>
  <r>
    <n v="2183"/>
    <n v="281758"/>
    <s v="P"/>
    <s v="Capitalized"/>
    <s v="2022 Peterbilt ASL Truck"/>
    <m/>
    <m/>
    <n v="1"/>
    <s v="3BPDLK0X3NF113158"/>
    <n v="2022"/>
    <s v="Peterbilt"/>
    <s v="Labrie"/>
    <s v="TRUCKS AND TRAILERS"/>
    <s v="TBA"/>
    <s v="Automated Side Loader"/>
    <m/>
    <m/>
    <d v="2022-05-31T00:00:00"/>
    <d v="2022-05-31T00:00:00"/>
    <s v="2183-22-0016-1"/>
    <n v="1000"/>
    <n v="14040"/>
    <n v="394379.09"/>
    <n v="14046"/>
    <n v="75589.320000000007"/>
    <n v="0"/>
    <n v="318789.77"/>
    <n v="13145.96"/>
    <n v="51260"/>
    <n v="3286.49"/>
    <n v="0"/>
    <n v="3286.49"/>
    <s v="P"/>
    <m/>
    <n v="3720"/>
    <n v="3720"/>
    <x v="16"/>
    <s v="Res/Comm MSW Truck"/>
    <n v="5"/>
    <n v="2022"/>
    <n v="2032"/>
    <n v="2032.4166666666667"/>
    <n v="3286.4924166666665"/>
    <n v="39437.909"/>
    <n v="39437.909"/>
    <n v="39437.909000000043"/>
    <n v="78875.818000000043"/>
    <n v="315503.272"/>
    <s v="No"/>
  </r>
  <r>
    <n v="2183"/>
    <n v="281602"/>
    <s v="P"/>
    <s v="Capitalized"/>
    <s v="95 Gallon Yardwaste Totes"/>
    <m/>
    <m/>
    <n v="702"/>
    <m/>
    <n v="0"/>
    <s v="REHRIG PACIFIC COMPANY IN"/>
    <m/>
    <s v="CONTAINERS"/>
    <s v="TBA"/>
    <m/>
    <m/>
    <m/>
    <d v="2022-05-20T00:00:00"/>
    <d v="2022-05-20T00:00:00"/>
    <s v="2183-22-0014-1"/>
    <n v="700"/>
    <n v="14050"/>
    <n v="46202.15"/>
    <n v="14056"/>
    <n v="12650.61"/>
    <n v="0"/>
    <n v="33551.54"/>
    <n v="2200.12"/>
    <n v="54260"/>
    <n v="550.03"/>
    <n v="0"/>
    <n v="550.03"/>
    <s v="P"/>
    <m/>
    <m/>
    <n v="0"/>
    <x v="4"/>
    <s v="YW Carts"/>
    <n v="5"/>
    <n v="2022"/>
    <n v="2029"/>
    <n v="2029.4166666666667"/>
    <n v="550.02559523809521"/>
    <n v="6600.307142857142"/>
    <n v="6600.307142857142"/>
    <n v="6600.3071428571493"/>
    <n v="13200.614285714291"/>
    <n v="33001.53571428571"/>
    <s v="No"/>
  </r>
  <r>
    <n v="2183"/>
    <n v="281482"/>
    <s v="P"/>
    <s v="Capitalized"/>
    <s v="5 Yd Containers"/>
    <m/>
    <m/>
    <n v="1"/>
    <m/>
    <n v="0"/>
    <s v="Wastequip"/>
    <m/>
    <s v="CONTAINERS"/>
    <s v="TBA"/>
    <m/>
    <s v="5 YD"/>
    <s v="FEL/REL/SL Metal"/>
    <d v="2014-03-28T00:00:00"/>
    <d v="2014-03-28T00:00:00"/>
    <s v="2046-14-0025-1"/>
    <n v="1200"/>
    <n v="14050"/>
    <n v="1331.33"/>
    <n v="14056"/>
    <n v="1118.72"/>
    <n v="0"/>
    <n v="212.6099999999999"/>
    <n v="37"/>
    <n v="54260"/>
    <n v="9.25"/>
    <n v="0"/>
    <n v="9.25"/>
    <s v="P"/>
    <m/>
    <m/>
    <n v="0"/>
    <x v="17"/>
    <s v="MSW/Recycle Containers"/>
    <n v="3"/>
    <n v="2014"/>
    <n v="2026"/>
    <n v="2026.25"/>
    <n v="9.2453472222222217"/>
    <n v="110.94416666666666"/>
    <n v="110.94416666666666"/>
    <n v="1016.9881944444528"/>
    <n v="1127.9323611111195"/>
    <n v="203.39763888888046"/>
    <s v="No"/>
  </r>
  <r>
    <n v="2183"/>
    <n v="281160"/>
    <s v="P"/>
    <s v="Capitalized"/>
    <s v="3 YD Containers"/>
    <m/>
    <m/>
    <n v="13"/>
    <n v="0"/>
    <n v="0"/>
    <s v="CONSOLIDATED FABRICATORS"/>
    <m/>
    <s v="CONTAINERS"/>
    <s v="TBA"/>
    <m/>
    <m/>
    <m/>
    <d v="2007-01-01T00:00:00"/>
    <d v="2007-01-01T00:00:00"/>
    <s v="07-4025-015"/>
    <n v="1111"/>
    <n v="14050"/>
    <n v="6803.65"/>
    <n v="14056"/>
    <n v="6803.65"/>
    <n v="0"/>
    <n v="0"/>
    <n v="0"/>
    <n v="54260"/>
    <n v="0"/>
    <n v="0"/>
    <n v="0"/>
    <s v="P"/>
    <m/>
    <m/>
    <n v="0"/>
    <x v="17"/>
    <s v="MSW/Recycle Containers"/>
    <n v="1"/>
    <n v="2007"/>
    <n v="2018.11"/>
    <n v="2018.1933333333332"/>
    <n v="51.032478247824777"/>
    <n v="612.38973897389735"/>
    <n v="0"/>
    <n v="6803.65"/>
    <n v="6803.65"/>
    <n v="0"/>
    <s v="No"/>
  </r>
  <r>
    <n v="2183"/>
    <n v="281047"/>
    <s v="P"/>
    <s v="Capitalized"/>
    <s v="5 Yard Containers"/>
    <m/>
    <m/>
    <n v="10"/>
    <m/>
    <n v="0"/>
    <m/>
    <m/>
    <s v="CONTAINERS"/>
    <s v="TBA"/>
    <m/>
    <s v="5 YD"/>
    <s v="FEL/REL/SL Metal"/>
    <d v="1998-09-01T00:00:00"/>
    <d v="1998-09-01T00:00:00"/>
    <m/>
    <n v="700"/>
    <n v="14050"/>
    <n v="2000.09"/>
    <n v="14056"/>
    <n v="2000.09"/>
    <n v="0"/>
    <n v="0"/>
    <n v="0"/>
    <n v="54260"/>
    <n v="0"/>
    <n v="0"/>
    <n v="0"/>
    <s v="A"/>
    <s v="Evergreen"/>
    <s v="NA"/>
    <n v="0"/>
    <x v="17"/>
    <s v="MSW/Recycle Containers"/>
    <n v="9"/>
    <n v="1998"/>
    <n v="2005"/>
    <n v="2005.75"/>
    <n v="23.810595238095235"/>
    <n v="285.72714285714284"/>
    <n v="0"/>
    <n v="2000.09"/>
    <n v="2000.09"/>
    <n v="0"/>
    <s v="No"/>
  </r>
  <r>
    <n v="2183"/>
    <n v="280732"/>
    <n v="281758"/>
    <s v="Capitalized"/>
    <s v="Truck 3720 radio"/>
    <m/>
    <m/>
    <n v="1"/>
    <s v="3BPDLK0X3NF113158"/>
    <n v="2022"/>
    <s v="Solid Waste Systems"/>
    <s v="Labrie"/>
    <s v="TRUCKS AND TRAILERS"/>
    <s v="TBA"/>
    <s v="Non-Rolling Stock"/>
    <m/>
    <m/>
    <d v="2022-05-19T00:00:00"/>
    <d v="2022-05-19T00:00:00"/>
    <s v="2183-22-0016-1"/>
    <n v="500"/>
    <n v="14040"/>
    <n v="824.22"/>
    <n v="14046"/>
    <n v="315.95999999999998"/>
    <n v="0"/>
    <n v="508.26000000000005"/>
    <n v="54.96"/>
    <n v="51260"/>
    <n v="13.74"/>
    <n v="0"/>
    <n v="13.74"/>
    <s v="P"/>
    <m/>
    <m/>
    <n v="3720"/>
    <x v="16"/>
    <s v="Res/Comm MSW Truck"/>
    <n v="5"/>
    <n v="2022"/>
    <n v="2027"/>
    <n v="2027.4166666666667"/>
    <n v="13.737"/>
    <n v="164.84399999999999"/>
    <n v="164.84399999999999"/>
    <n v="164.84400000000005"/>
    <n v="329.68800000000005"/>
    <n v="494.53199999999998"/>
    <s v="No"/>
  </r>
  <r>
    <n v="2183"/>
    <n v="280500"/>
    <s v="P"/>
    <s v="Capitalized"/>
    <s v="2 YD FEL/REL/SL Metal"/>
    <m/>
    <m/>
    <n v="52"/>
    <m/>
    <n v="0"/>
    <m/>
    <s v="2022 Cont.Audit- Partial "/>
    <s v="CONTAINERS"/>
    <s v="TBA"/>
    <m/>
    <s v="2 YD"/>
    <s v="FEL/REL/SL Metal"/>
    <d v="2022-05-01T00:00:00"/>
    <d v="2022-05-01T00:00:00"/>
    <m/>
    <n v="0"/>
    <n v="14050"/>
    <n v="0"/>
    <n v="14056"/>
    <n v="0"/>
    <n v="0"/>
    <n v="0"/>
    <n v="0"/>
    <n v="54260"/>
    <n v="0"/>
    <n v="0"/>
    <n v="0"/>
    <s v="P"/>
    <m/>
    <m/>
    <n v="0"/>
    <x v="17"/>
    <s v="MSW/Recycle Containers"/>
    <n v="5"/>
    <n v="2022"/>
    <n v="2022"/>
    <n v="2022.4166666666667"/>
    <n v="0"/>
    <n v="0"/>
    <n v="0"/>
    <n v="0"/>
    <n v="0"/>
    <n v="0"/>
    <s v="No"/>
  </r>
  <r>
    <n v="2183"/>
    <n v="280346"/>
    <s v="P"/>
    <s v="Capitalized"/>
    <s v="6 Yard Commercial Containers"/>
    <m/>
    <m/>
    <n v="25"/>
    <m/>
    <n v="0"/>
    <m/>
    <m/>
    <s v="CONTAINERS"/>
    <s v="TBA"/>
    <m/>
    <s v="6 YD"/>
    <s v="FEL/REL/SL Metal"/>
    <d v="2008-11-03T00:00:00"/>
    <d v="2008-11-03T00:00:00"/>
    <m/>
    <n v="700"/>
    <n v="14050"/>
    <n v="344.02"/>
    <n v="14056"/>
    <n v="344.02"/>
    <n v="0"/>
    <n v="0"/>
    <n v="0"/>
    <n v="54260"/>
    <n v="0"/>
    <n v="0"/>
    <n v="0"/>
    <s v="A"/>
    <s v="LeMay Enterprises"/>
    <s v="NA"/>
    <n v="0"/>
    <x v="17"/>
    <s v="MSW/Recycle Containers"/>
    <n v="11"/>
    <n v="2008"/>
    <n v="2015"/>
    <n v="2015.9166666666667"/>
    <n v="4.09547619047619"/>
    <n v="49.145714285714277"/>
    <n v="0"/>
    <n v="344.02"/>
    <n v="344.02"/>
    <n v="0"/>
    <s v="No"/>
  </r>
  <r>
    <n v="2183"/>
    <n v="279937"/>
    <s v="P"/>
    <s v="Capitalized"/>
    <s v="4YD Containers"/>
    <m/>
    <m/>
    <n v="5"/>
    <m/>
    <n v="0"/>
    <m/>
    <m/>
    <s v="CONTAINERS"/>
    <s v="TBA"/>
    <m/>
    <s v="4 YD"/>
    <s v="FEL/REL/SL Metal"/>
    <d v="2008-11-03T00:00:00"/>
    <d v="2008-11-03T00:00:00"/>
    <m/>
    <n v="700"/>
    <n v="14050"/>
    <n v="240"/>
    <n v="14056"/>
    <n v="240"/>
    <n v="0"/>
    <n v="0"/>
    <n v="0"/>
    <n v="54260"/>
    <n v="0"/>
    <n v="0"/>
    <n v="0"/>
    <s v="A"/>
    <s v="LeMay Enterprises"/>
    <s v="NA"/>
    <n v="0"/>
    <x v="17"/>
    <s v="MSW/Recycle Containers"/>
    <n v="11"/>
    <n v="2008"/>
    <n v="2015"/>
    <n v="2015.9166666666667"/>
    <n v="2.8571428571428572"/>
    <n v="34.285714285714285"/>
    <n v="0"/>
    <n v="240"/>
    <n v="240"/>
    <n v="0"/>
    <s v="No"/>
  </r>
  <r>
    <n v="2183"/>
    <n v="279337"/>
    <s v="P"/>
    <s v="Capitalized"/>
    <s v="1.5 Yard Commercial Containers"/>
    <m/>
    <m/>
    <n v="19"/>
    <m/>
    <n v="0"/>
    <m/>
    <m/>
    <s v="CONTAINERS"/>
    <s v="TBA"/>
    <m/>
    <s v="1.5 YD"/>
    <s v="FEL/REL/SL Plastic"/>
    <d v="2011-01-01T00:00:00"/>
    <d v="2011-01-01T00:00:00"/>
    <m/>
    <n v="300"/>
    <n v="14050"/>
    <n v="0.03"/>
    <n v="14056"/>
    <n v="0.03"/>
    <n v="0"/>
    <n v="0"/>
    <n v="0"/>
    <n v="54260"/>
    <n v="0"/>
    <n v="0"/>
    <n v="0"/>
    <s v="P"/>
    <m/>
    <m/>
    <n v="0"/>
    <x v="17"/>
    <s v="MSW/Recycle Containers"/>
    <n v="1"/>
    <n v="2011"/>
    <n v="2014"/>
    <n v="2014.0833333333333"/>
    <n v="8.3333333333333339E-4"/>
    <n v="0.01"/>
    <n v="0"/>
    <n v="0.03"/>
    <n v="0.03"/>
    <n v="0"/>
    <s v="No"/>
  </r>
  <r>
    <n v="2183"/>
    <n v="279336"/>
    <s v="P"/>
    <s v="Capitalized"/>
    <s v="8yd Metal FEL OCC Containers"/>
    <m/>
    <m/>
    <n v="7"/>
    <m/>
    <n v="0"/>
    <s v="CAPITAL INDUSTRIES INC"/>
    <m/>
    <s v="CONTAINERS"/>
    <s v="TBA"/>
    <m/>
    <s v="8 YD"/>
    <s v="FEL/REL/SL Metal"/>
    <d v="2021-09-29T00:00:00"/>
    <d v="2021-09-29T00:00:00"/>
    <s v="2184-21-0001-1"/>
    <n v="1200"/>
    <n v="14050"/>
    <n v="13478.08"/>
    <n v="14056"/>
    <n v="2901.53"/>
    <n v="0"/>
    <n v="10576.55"/>
    <n v="374.4"/>
    <n v="54260"/>
    <n v="93.6"/>
    <n v="0"/>
    <n v="93.6"/>
    <s v="P"/>
    <m/>
    <m/>
    <n v="0"/>
    <x v="17"/>
    <s v="MSW/Recycle Containers"/>
    <n v="9"/>
    <n v="2021"/>
    <n v="2033"/>
    <n v="2033.75"/>
    <n v="93.597777777777779"/>
    <n v="1123.1733333333334"/>
    <n v="1123.1733333333334"/>
    <n v="1871.9555555556399"/>
    <n v="2995.1288888889731"/>
    <n v="10482.951111111026"/>
    <s v="No"/>
  </r>
  <r>
    <n v="2183"/>
    <n v="279335"/>
    <s v="P"/>
    <s v="Capitalized"/>
    <s v="8yd FEL Metal OCC Containers"/>
    <m/>
    <m/>
    <n v="7"/>
    <m/>
    <n v="0"/>
    <s v="CAPITAL INDUSTRIES INC"/>
    <m/>
    <s v="CONTAINERS"/>
    <s v="TBA"/>
    <m/>
    <s v="8 YD"/>
    <s v="FEL/REL/SL Metal"/>
    <d v="2021-09-29T00:00:00"/>
    <d v="2021-09-29T00:00:00"/>
    <s v="2184-21-0001-1"/>
    <n v="1200"/>
    <n v="14050"/>
    <n v="13478.08"/>
    <n v="14056"/>
    <n v="2901.53"/>
    <n v="0"/>
    <n v="10576.55"/>
    <n v="374.4"/>
    <n v="54260"/>
    <n v="93.6"/>
    <n v="0"/>
    <n v="93.6"/>
    <s v="P"/>
    <m/>
    <m/>
    <n v="0"/>
    <x v="17"/>
    <s v="MSW/Recycle Containers"/>
    <n v="9"/>
    <n v="2021"/>
    <n v="2033"/>
    <n v="2033.75"/>
    <n v="93.597777777777779"/>
    <n v="1123.1733333333334"/>
    <n v="1123.1733333333334"/>
    <n v="1871.9555555556399"/>
    <n v="2995.1288888889731"/>
    <n v="10482.951111111026"/>
    <s v="No"/>
  </r>
  <r>
    <n v="2183"/>
    <n v="279334"/>
    <s v="P"/>
    <s v="Capitalized"/>
    <s v="8yd FEL  Metal OCC Containers"/>
    <m/>
    <m/>
    <n v="7"/>
    <m/>
    <n v="0"/>
    <s v="CAPITAL INDUSTRIES INC"/>
    <m/>
    <s v="CONTAINERS"/>
    <s v="TBA"/>
    <m/>
    <s v="8 YD"/>
    <s v="FEL/REL/SL Metal"/>
    <d v="2021-09-29T00:00:00"/>
    <d v="2021-09-29T00:00:00"/>
    <s v="2184-21-0001-1"/>
    <n v="1200"/>
    <n v="14050"/>
    <n v="13478.08"/>
    <n v="14056"/>
    <n v="2901.53"/>
    <n v="0"/>
    <n v="10576.55"/>
    <n v="374.4"/>
    <n v="54260"/>
    <n v="93.6"/>
    <n v="0"/>
    <n v="93.6"/>
    <s v="P"/>
    <m/>
    <m/>
    <n v="0"/>
    <x v="17"/>
    <s v="MSW/Recycle Containers"/>
    <n v="9"/>
    <n v="2021"/>
    <n v="2033"/>
    <n v="2033.75"/>
    <n v="93.597777777777779"/>
    <n v="1123.1733333333334"/>
    <n v="1123.1733333333334"/>
    <n v="1871.9555555556399"/>
    <n v="2995.1288888889731"/>
    <n v="10482.951111111026"/>
    <s v="No"/>
  </r>
  <r>
    <n v="2183"/>
    <n v="279333"/>
    <s v="P"/>
    <s v="Capitalized"/>
    <s v="8yd FEL Metal OCC Containers"/>
    <m/>
    <m/>
    <n v="4"/>
    <m/>
    <n v="0"/>
    <s v="CAPITAL INDUSTRIES INC"/>
    <m/>
    <s v="CONTAINERS"/>
    <s v="TBA"/>
    <m/>
    <s v="8 YD"/>
    <s v="FEL/REL/SL Metal"/>
    <d v="2021-09-29T00:00:00"/>
    <d v="2021-09-29T00:00:00"/>
    <s v="2184-21-0001-1"/>
    <n v="1200"/>
    <n v="14050"/>
    <n v="7701.76"/>
    <n v="14056"/>
    <n v="1657.99"/>
    <n v="0"/>
    <n v="6043.77"/>
    <n v="213.92"/>
    <n v="54260"/>
    <n v="53.48"/>
    <n v="0"/>
    <n v="53.48"/>
    <s v="P"/>
    <m/>
    <m/>
    <n v="0"/>
    <x v="17"/>
    <s v="MSW/Recycle Containers"/>
    <n v="9"/>
    <n v="2021"/>
    <n v="2033"/>
    <n v="2033.75"/>
    <n v="53.484444444444449"/>
    <n v="641.81333333333339"/>
    <n v="641.81333333333339"/>
    <n v="1069.6888888889371"/>
    <n v="1711.5022222222706"/>
    <n v="5990.2577777777296"/>
    <s v="No"/>
  </r>
  <r>
    <n v="2183"/>
    <n v="278673"/>
    <s v="P"/>
    <s v="Capitalized"/>
    <s v="HP Prodesk: SN 0107859589"/>
    <m/>
    <m/>
    <n v="1"/>
    <m/>
    <n v="0"/>
    <s v="CDW DIR #2183"/>
    <m/>
    <s v="HARDWARE AND SOFTWARE"/>
    <s v="TBA"/>
    <m/>
    <m/>
    <m/>
    <d v="2022-04-05T00:00:00"/>
    <d v="2022-04-05T00:00:00"/>
    <s v="2183-22-0018-1"/>
    <n v="300"/>
    <n v="14110"/>
    <n v="1051.1600000000001"/>
    <n v="14116"/>
    <n v="729.98"/>
    <n v="0"/>
    <n v="321.18000000000006"/>
    <n v="116.8"/>
    <n v="70260"/>
    <n v="29.2"/>
    <n v="0"/>
    <n v="29.2"/>
    <s v="P"/>
    <m/>
    <m/>
    <n v="0"/>
    <x v="15"/>
    <s v="Service Equip"/>
    <n v="4"/>
    <n v="2022"/>
    <n v="2025"/>
    <n v="2025.3333333333333"/>
    <n v="29.198888888888892"/>
    <n v="350.38666666666671"/>
    <n v="350.38666666666671"/>
    <n v="379.58555555560872"/>
    <n v="729.97222222227538"/>
    <n v="321.1877777777247"/>
    <s v="No"/>
  </r>
  <r>
    <n v="2183"/>
    <n v="278672"/>
    <s v="P"/>
    <s v="Capitalized"/>
    <s v="HP Prodesk: SN 0107475960"/>
    <m/>
    <m/>
    <n v="1"/>
    <m/>
    <n v="0"/>
    <s v="CDW DIR #2183"/>
    <m/>
    <s v="HARDWARE AND SOFTWARE"/>
    <s v="TBA"/>
    <m/>
    <m/>
    <m/>
    <d v="2022-04-05T00:00:00"/>
    <d v="2022-04-05T00:00:00"/>
    <s v="2183-22-0018-1"/>
    <n v="300"/>
    <n v="14110"/>
    <n v="1051.1600000000001"/>
    <n v="14116"/>
    <n v="729.98"/>
    <n v="0"/>
    <n v="321.18000000000006"/>
    <n v="116.8"/>
    <n v="70260"/>
    <n v="29.2"/>
    <n v="0"/>
    <n v="29.2"/>
    <s v="P"/>
    <m/>
    <m/>
    <n v="0"/>
    <x v="15"/>
    <s v="Service Equip"/>
    <n v="4"/>
    <n v="2022"/>
    <n v="2025"/>
    <n v="2025.3333333333333"/>
    <n v="29.198888888888892"/>
    <n v="350.38666666666671"/>
    <n v="350.38666666666671"/>
    <n v="379.58555555560872"/>
    <n v="729.97222222227538"/>
    <n v="321.1877777777247"/>
    <s v="No"/>
  </r>
  <r>
    <n v="2183"/>
    <n v="278671"/>
    <s v="P"/>
    <s v="Capitalized"/>
    <s v="HP Prodesk: SN MXL2113S94"/>
    <m/>
    <m/>
    <n v="1"/>
    <m/>
    <n v="0"/>
    <s v="CDW DIR #2183"/>
    <m/>
    <s v="HARDWARE AND SOFTWARE"/>
    <s v="TBA"/>
    <m/>
    <m/>
    <m/>
    <d v="2022-04-05T00:00:00"/>
    <d v="2022-04-05T00:00:00"/>
    <s v="2183-22-0018-1"/>
    <n v="300"/>
    <n v="14110"/>
    <n v="1051.17"/>
    <n v="14116"/>
    <n v="729.98"/>
    <n v="0"/>
    <n v="321.19000000000005"/>
    <n v="116.8"/>
    <n v="70260"/>
    <n v="29.2"/>
    <n v="0"/>
    <n v="29.2"/>
    <s v="P"/>
    <m/>
    <m/>
    <n v="0"/>
    <x v="15"/>
    <s v="Service Equip"/>
    <n v="4"/>
    <n v="2022"/>
    <n v="2025"/>
    <n v="2025.3333333333333"/>
    <n v="29.19916666666667"/>
    <n v="350.39000000000004"/>
    <n v="350.39000000000004"/>
    <n v="379.58916666671973"/>
    <n v="729.97916666671972"/>
    <n v="321.19083333328035"/>
    <s v="No"/>
  </r>
  <r>
    <n v="2183"/>
    <n v="278670"/>
    <s v="P"/>
    <s v="Capitalized"/>
    <s v="HP Prodesk: SN MXL2113S92"/>
    <m/>
    <m/>
    <n v="1"/>
    <m/>
    <n v="0"/>
    <s v="CDW DIR #2183"/>
    <m/>
    <s v="HARDWARE AND SOFTWARE"/>
    <s v="TBA"/>
    <m/>
    <m/>
    <m/>
    <d v="2022-04-05T00:00:00"/>
    <d v="2022-04-05T00:00:00"/>
    <s v="2183-22-0018-1"/>
    <n v="300"/>
    <n v="14110"/>
    <n v="1051.17"/>
    <n v="14116"/>
    <n v="729.98"/>
    <n v="0"/>
    <n v="321.19000000000005"/>
    <n v="116.8"/>
    <n v="70260"/>
    <n v="29.2"/>
    <n v="0"/>
    <n v="29.2"/>
    <s v="P"/>
    <m/>
    <m/>
    <n v="0"/>
    <x v="15"/>
    <s v="Service Equip"/>
    <n v="4"/>
    <n v="2022"/>
    <n v="2025"/>
    <n v="2025.3333333333333"/>
    <n v="29.19916666666667"/>
    <n v="350.39000000000004"/>
    <n v="350.39000000000004"/>
    <n v="379.58916666671973"/>
    <n v="729.97916666671972"/>
    <n v="321.19083333328035"/>
    <s v="No"/>
  </r>
  <r>
    <n v="2183"/>
    <n v="278669"/>
    <s v="P"/>
    <s v="Capitalized"/>
    <s v="HP Prodesk: SN MXL2113SF7"/>
    <m/>
    <m/>
    <n v="1"/>
    <m/>
    <n v="0"/>
    <s v="CDW DIR #2183"/>
    <m/>
    <s v="HARDWARE AND SOFTWARE"/>
    <s v="TBA"/>
    <m/>
    <m/>
    <m/>
    <d v="2022-04-05T00:00:00"/>
    <d v="2022-04-05T00:00:00"/>
    <s v="2183-22-0018-1"/>
    <n v="300"/>
    <n v="14110"/>
    <n v="1051.17"/>
    <n v="14116"/>
    <n v="729.98"/>
    <n v="0"/>
    <n v="321.19000000000005"/>
    <n v="116.8"/>
    <n v="70260"/>
    <n v="29.2"/>
    <n v="0"/>
    <n v="29.2"/>
    <s v="P"/>
    <m/>
    <m/>
    <n v="0"/>
    <x v="15"/>
    <s v="Service Equip"/>
    <n v="4"/>
    <n v="2022"/>
    <n v="2025"/>
    <n v="2025.3333333333333"/>
    <n v="29.19916666666667"/>
    <n v="350.39000000000004"/>
    <n v="350.39000000000004"/>
    <n v="379.58916666671973"/>
    <n v="729.97916666671972"/>
    <n v="321.19083333328035"/>
    <s v="No"/>
  </r>
  <r>
    <n v="2183"/>
    <n v="278668"/>
    <s v="P"/>
    <s v="Capitalized"/>
    <s v="HP Prodesk: SN MXL2113S7H"/>
    <m/>
    <m/>
    <n v="1"/>
    <m/>
    <n v="0"/>
    <s v="CDW DIR #2183"/>
    <m/>
    <s v="HARDWARE AND SOFTWARE"/>
    <s v="TBA"/>
    <m/>
    <m/>
    <m/>
    <d v="2022-04-05T00:00:00"/>
    <d v="2022-04-05T00:00:00"/>
    <s v="2183-22-0018-1"/>
    <n v="300"/>
    <n v="14110"/>
    <n v="1051.17"/>
    <n v="14116"/>
    <n v="729.98"/>
    <n v="0"/>
    <n v="321.19000000000005"/>
    <n v="116.8"/>
    <n v="70260"/>
    <n v="29.2"/>
    <n v="0"/>
    <n v="29.2"/>
    <s v="P"/>
    <m/>
    <m/>
    <n v="0"/>
    <x v="15"/>
    <s v="Service Equip"/>
    <n v="4"/>
    <n v="2022"/>
    <n v="2025"/>
    <n v="2025.3333333333333"/>
    <n v="29.19916666666667"/>
    <n v="350.39000000000004"/>
    <n v="350.39000000000004"/>
    <n v="379.58916666671973"/>
    <n v="729.97916666671972"/>
    <n v="321.19083333328035"/>
    <s v="No"/>
  </r>
  <r>
    <n v="2183"/>
    <n v="277270"/>
    <s v="P"/>
    <s v="Capitalized"/>
    <s v="5Yd FEL Containers"/>
    <m/>
    <m/>
    <n v="14"/>
    <m/>
    <n v="0"/>
    <s v="WASTEQUIP LLC"/>
    <m/>
    <s v="CONTAINERS"/>
    <s v="TBA"/>
    <m/>
    <s v="5 YD"/>
    <s v="FEL/REL/SL Metal"/>
    <d v="2022-04-04T00:00:00"/>
    <d v="2022-04-04T00:00:00"/>
    <s v="2183-22-0013-1"/>
    <n v="1200"/>
    <n v="14050"/>
    <n v="21564.54"/>
    <n v="14056"/>
    <n v="3743.83"/>
    <n v="0"/>
    <n v="17820.71"/>
    <n v="599"/>
    <n v="54260"/>
    <n v="149.75"/>
    <n v="0"/>
    <n v="149.75"/>
    <s v="P"/>
    <m/>
    <m/>
    <n v="0"/>
    <x v="17"/>
    <s v="MSW/Recycle Containers"/>
    <n v="4"/>
    <n v="2022"/>
    <n v="2034"/>
    <n v="2034.3333333333333"/>
    <n v="149.75375"/>
    <n v="1797.0450000000001"/>
    <n v="1797.0450000000001"/>
    <n v="1946.7987500002746"/>
    <n v="3743.8437500002747"/>
    <n v="17820.696249999724"/>
    <s v="No"/>
  </r>
  <r>
    <n v="2183"/>
    <n v="277269"/>
    <s v="P"/>
    <s v="Capitalized"/>
    <s v="8Yd FEL Container"/>
    <m/>
    <m/>
    <n v="8"/>
    <m/>
    <n v="0"/>
    <s v="WASTEQUIP LLC"/>
    <m/>
    <s v="CONTAINERS"/>
    <s v="TBA"/>
    <m/>
    <s v="8 YD"/>
    <s v="FEL/REL/SL Metal"/>
    <d v="2022-04-07T00:00:00"/>
    <d v="2022-04-07T00:00:00"/>
    <s v="2183-22-0013-1"/>
    <n v="1200"/>
    <n v="14050"/>
    <n v="21074.6"/>
    <n v="14056"/>
    <n v="3658.78"/>
    <n v="0"/>
    <n v="17415.82"/>
    <n v="585.4"/>
    <n v="54260"/>
    <n v="146.35"/>
    <n v="0"/>
    <n v="146.35"/>
    <s v="P"/>
    <m/>
    <m/>
    <n v="0"/>
    <x v="17"/>
    <s v="MSW/Recycle Containers"/>
    <n v="4"/>
    <n v="2022"/>
    <n v="2034"/>
    <n v="2034.3333333333333"/>
    <n v="146.35138888888886"/>
    <n v="1756.2166666666662"/>
    <n v="1756.2166666666662"/>
    <n v="1902.5680555558247"/>
    <n v="3658.7847222224909"/>
    <n v="17415.815277777507"/>
    <s v="No"/>
  </r>
  <r>
    <n v="2183"/>
    <n v="276890"/>
    <s v="P"/>
    <s v="Capitalized"/>
    <s v="8Yd FEL Container"/>
    <m/>
    <m/>
    <n v="1"/>
    <m/>
    <n v="0"/>
    <s v="WASTEQUIP LLC"/>
    <m/>
    <s v="CONTAINERS"/>
    <s v="TBA"/>
    <m/>
    <s v="8 YD"/>
    <s v="FEL/REL/SL Metal"/>
    <d v="2022-04-04T00:00:00"/>
    <d v="2022-04-04T00:00:00"/>
    <s v="2183-22-0013-1"/>
    <n v="1200"/>
    <n v="14050"/>
    <n v="2613.79"/>
    <n v="14056"/>
    <n v="453.73"/>
    <n v="0"/>
    <n v="2160.06"/>
    <n v="72.599999999999994"/>
    <n v="54260"/>
    <n v="18.149999999999999"/>
    <n v="0"/>
    <n v="18.149999999999999"/>
    <s v="P"/>
    <m/>
    <m/>
    <n v="0"/>
    <x v="17"/>
    <s v="MSW/Recycle Containers"/>
    <n v="4"/>
    <n v="2022"/>
    <n v="2034"/>
    <n v="2034.3333333333333"/>
    <n v="18.151319444444443"/>
    <n v="217.81583333333333"/>
    <n v="217.81583333333333"/>
    <n v="235.96715277781095"/>
    <n v="453.78298611114428"/>
    <n v="2160.0070138888559"/>
    <s v="No"/>
  </r>
  <r>
    <n v="2183"/>
    <n v="276881"/>
    <s v="P"/>
    <s v="Capitalized"/>
    <s v="6Yd FEL Containers"/>
    <m/>
    <m/>
    <n v="13"/>
    <m/>
    <n v="0"/>
    <s v="WASTEQUIP LLC"/>
    <m/>
    <s v="CONTAINERS"/>
    <s v="TBA"/>
    <m/>
    <s v="6 YD"/>
    <s v="FEL/REL/SL Metal"/>
    <d v="2022-04-04T00:00:00"/>
    <d v="2022-04-04T00:00:00"/>
    <s v="2183-22-0013-1"/>
    <n v="1200"/>
    <n v="14050"/>
    <n v="18353.32"/>
    <n v="14056"/>
    <n v="3186.32"/>
    <n v="0"/>
    <n v="15167"/>
    <n v="509.8"/>
    <n v="54260"/>
    <n v="127.45"/>
    <n v="0"/>
    <n v="127.45"/>
    <s v="P"/>
    <m/>
    <m/>
    <n v="0"/>
    <x v="17"/>
    <s v="MSW/Recycle Containers"/>
    <n v="4"/>
    <n v="2022"/>
    <n v="2034"/>
    <n v="2034.3333333333333"/>
    <n v="127.45361111111112"/>
    <n v="1529.4433333333334"/>
    <n v="1529.4433333333334"/>
    <n v="1656.8969444446739"/>
    <n v="3186.3402777780075"/>
    <n v="15166.979722221993"/>
    <s v="No"/>
  </r>
  <r>
    <n v="2183"/>
    <n v="276880"/>
    <s v="P"/>
    <s v="Capitalized"/>
    <s v="6Yd FEL Container"/>
    <m/>
    <m/>
    <n v="12"/>
    <m/>
    <n v="0"/>
    <s v="WASTEQUIP LLC"/>
    <m/>
    <s v="CONTAINERS"/>
    <s v="TBA"/>
    <m/>
    <s v="6 YD"/>
    <s v="FEL/REL/SL Metal"/>
    <d v="2022-04-04T00:00:00"/>
    <d v="2022-04-04T00:00:00"/>
    <s v="2183-22-0013-1"/>
    <n v="1200"/>
    <n v="14050"/>
    <n v="16941.53"/>
    <n v="14056"/>
    <n v="2941.25"/>
    <n v="0"/>
    <n v="14000.279999999999"/>
    <n v="470.6"/>
    <n v="54260"/>
    <n v="117.65"/>
    <n v="0"/>
    <n v="117.65"/>
    <s v="P"/>
    <m/>
    <m/>
    <n v="0"/>
    <x v="17"/>
    <s v="MSW/Recycle Containers"/>
    <n v="4"/>
    <n v="2022"/>
    <n v="2034"/>
    <n v="2034.3333333333333"/>
    <n v="117.64951388888888"/>
    <n v="1411.7941666666666"/>
    <n v="1411.7941666666666"/>
    <n v="1529.4436805557707"/>
    <n v="2941.2378472224373"/>
    <n v="14000.292152777562"/>
    <s v="No"/>
  </r>
  <r>
    <n v="2183"/>
    <n v="276522"/>
    <s v="P"/>
    <s v="Capitalized"/>
    <s v="HP ProBook 450 laptops Serial # : 5CD145NFDC; Serial # : 5CD145NNR7"/>
    <m/>
    <m/>
    <n v="2"/>
    <m/>
    <n v="0"/>
    <s v="CDW DIR #PO  2183-22-0"/>
    <m/>
    <s v="HARDWARE AND SOFTWARE"/>
    <s v="TBA"/>
    <m/>
    <m/>
    <m/>
    <d v="2022-03-08T00:00:00"/>
    <d v="2022-03-08T00:00:00"/>
    <s v="2183-22-0015-1"/>
    <n v="300"/>
    <n v="14110"/>
    <n v="2141.4299999999998"/>
    <n v="14116"/>
    <n v="1546.57"/>
    <n v="0"/>
    <n v="594.8599999999999"/>
    <n v="237.92"/>
    <n v="70260"/>
    <n v="59.48"/>
    <n v="0"/>
    <n v="59.48"/>
    <s v="P"/>
    <m/>
    <m/>
    <n v="0"/>
    <x v="15"/>
    <s v="Service Equip"/>
    <n v="3"/>
    <n v="2022"/>
    <n v="2025"/>
    <n v="2025.25"/>
    <n v="59.48416666666666"/>
    <n v="713.81"/>
    <n v="713.81"/>
    <n v="832.77833333338731"/>
    <n v="1546.5883333333873"/>
    <n v="594.84166666661258"/>
    <s v="No"/>
  </r>
  <r>
    <n v="2183"/>
    <n v="275806"/>
    <s v="P"/>
    <s v="Capitalized"/>
    <s v="65 Gallon Plastic MSW Totes"/>
    <m/>
    <m/>
    <n v="936"/>
    <m/>
    <n v="0"/>
    <s v="REHRIG PACIFIC COMPANY IN"/>
    <m/>
    <s v="CONTAINERS"/>
    <s v="TBA"/>
    <m/>
    <m/>
    <m/>
    <d v="2022-03-09T00:00:00"/>
    <d v="2022-03-09T00:00:00"/>
    <s v="2183-22-0014-1"/>
    <n v="700"/>
    <n v="14050"/>
    <n v="55960.73"/>
    <n v="14056"/>
    <n v="17321.18"/>
    <n v="0"/>
    <n v="38639.550000000003"/>
    <n v="2664.8"/>
    <n v="54260"/>
    <n v="666.2"/>
    <n v="0"/>
    <n v="666.2"/>
    <s v="P"/>
    <m/>
    <m/>
    <n v="0"/>
    <x v="14"/>
    <s v="MSW Carts"/>
    <n v="3"/>
    <n v="2022"/>
    <n v="2029"/>
    <n v="2029.25"/>
    <n v="666.19916666666666"/>
    <n v="7994.3899999999994"/>
    <n v="7994.3899999999994"/>
    <n v="9326.7883333339414"/>
    <n v="17321.178333333941"/>
    <n v="38639.551666666062"/>
    <s v="No"/>
  </r>
  <r>
    <n v="2183"/>
    <n v="275232"/>
    <s v="P"/>
    <s v="Capitalized"/>
    <s v="95 Gallon Plastic MSW Totes"/>
    <m/>
    <m/>
    <n v="702"/>
    <m/>
    <n v="0"/>
    <s v="REHRIG PACIFIC COMPANY IN"/>
    <m/>
    <s v="CONTAINERS"/>
    <s v="TBA"/>
    <m/>
    <m/>
    <m/>
    <d v="2022-03-09T00:00:00"/>
    <d v="2022-03-09T00:00:00"/>
    <s v="2183-22-0014-1"/>
    <n v="700"/>
    <n v="14050"/>
    <n v="46202.15"/>
    <n v="14056"/>
    <n v="14300.69"/>
    <n v="0"/>
    <n v="31901.46"/>
    <n v="2200.12"/>
    <n v="54260"/>
    <n v="550.03"/>
    <n v="0"/>
    <n v="550.03"/>
    <s v="P"/>
    <m/>
    <m/>
    <n v="0"/>
    <x v="14"/>
    <s v="MSW Carts"/>
    <n v="3"/>
    <n v="2022"/>
    <n v="2029"/>
    <n v="2029.25"/>
    <n v="550.02559523809521"/>
    <n v="6600.307142857142"/>
    <n v="6600.307142857142"/>
    <n v="7700.3583333338393"/>
    <n v="14300.665476190981"/>
    <n v="31901.48452380902"/>
    <s v="No"/>
  </r>
  <r>
    <n v="2183"/>
    <n v="274959"/>
    <s v="P"/>
    <s v="Capitalized"/>
    <s v="95 Gallon Yardwaste Totes"/>
    <m/>
    <m/>
    <n v="702"/>
    <m/>
    <n v="0"/>
    <s v="REHRIG PACIFIC COMPANY IN"/>
    <m/>
    <s v="CONTAINERS"/>
    <s v="TBA"/>
    <m/>
    <m/>
    <m/>
    <d v="2022-02-07T00:00:00"/>
    <d v="2022-02-07T00:00:00"/>
    <s v="2183-22-0014-1"/>
    <n v="700"/>
    <n v="14050"/>
    <n v="46202.16"/>
    <n v="14056"/>
    <n v="14850.71"/>
    <n v="0"/>
    <n v="31351.450000000004"/>
    <n v="2200.12"/>
    <n v="54260"/>
    <n v="550.03"/>
    <n v="0"/>
    <n v="550.03"/>
    <s v="P"/>
    <m/>
    <m/>
    <n v="0"/>
    <x v="4"/>
    <s v="YW Carts"/>
    <n v="2"/>
    <n v="2022"/>
    <n v="2029"/>
    <n v="2029.1666666666667"/>
    <n v="550.02571428571434"/>
    <n v="6600.3085714285717"/>
    <n v="6600.3085714285717"/>
    <n v="8250.3857142857159"/>
    <n v="14850.694285714288"/>
    <n v="31351.465714285718"/>
    <s v="No"/>
  </r>
  <r>
    <n v="2183"/>
    <n v="274958"/>
    <s v="P"/>
    <s v="Capitalized"/>
    <s v="95 Gallon Recycle Totes"/>
    <m/>
    <m/>
    <n v="702"/>
    <m/>
    <n v="0"/>
    <s v="REHRIG PACIFIC COMPANY IN"/>
    <m/>
    <s v="CONTAINERS"/>
    <s v="TBA"/>
    <m/>
    <m/>
    <m/>
    <d v="2022-02-07T00:00:00"/>
    <d v="2022-02-07T00:00:00"/>
    <s v="2183-22-0014-1"/>
    <n v="700"/>
    <n v="14050"/>
    <n v="46202.16"/>
    <n v="14056"/>
    <n v="14850.71"/>
    <n v="0"/>
    <n v="31351.450000000004"/>
    <n v="2200.12"/>
    <n v="54260"/>
    <n v="550.03"/>
    <n v="0"/>
    <n v="550.03"/>
    <s v="P"/>
    <m/>
    <m/>
    <n v="0"/>
    <x v="5"/>
    <s v="Recycling Carts"/>
    <n v="2"/>
    <n v="2022"/>
    <n v="2029"/>
    <n v="2029.1666666666667"/>
    <n v="550.02571428571434"/>
    <n v="6600.3085714285717"/>
    <n v="6600.3085714285717"/>
    <n v="8250.3857142857159"/>
    <n v="14850.694285714288"/>
    <n v="31351.465714285718"/>
    <s v="No"/>
  </r>
  <r>
    <n v="2183"/>
    <n v="273624"/>
    <s v="P"/>
    <s v="Capitalized"/>
    <s v="Geo Tablets"/>
    <m/>
    <m/>
    <n v="143"/>
    <m/>
    <n v="0"/>
    <m/>
    <m/>
    <s v="HARDWARE AND SOFTWARE"/>
    <s v="TBA"/>
    <m/>
    <m/>
    <m/>
    <d v="2022-01-31T00:00:00"/>
    <d v="2022-01-31T00:00:00"/>
    <s v="1010-21-0060"/>
    <n v="100"/>
    <n v="14110"/>
    <n v="18320.16"/>
    <n v="14116"/>
    <n v="18320.16"/>
    <n v="0"/>
    <n v="0"/>
    <n v="0"/>
    <n v="70260"/>
    <n v="0"/>
    <n v="0"/>
    <n v="0"/>
    <s v="P"/>
    <m/>
    <m/>
    <n v="0"/>
    <x v="15"/>
    <s v="Service Equip"/>
    <n v="1"/>
    <n v="2022"/>
    <n v="2023"/>
    <n v="2023.0833333333333"/>
    <n v="1526.68"/>
    <n v="18320.16"/>
    <n v="0"/>
    <n v="18320.16"/>
    <n v="18320.16"/>
    <n v="0"/>
    <s v="No"/>
  </r>
  <r>
    <n v="2183"/>
    <n v="272996"/>
    <s v="P"/>
    <s v="Capitalized"/>
    <s v="2 YD REL Containers"/>
    <m/>
    <m/>
    <n v="40"/>
    <m/>
    <n v="0"/>
    <s v="WASTEQUIP LLC"/>
    <m/>
    <s v="CONTAINERS"/>
    <s v="TBA"/>
    <m/>
    <s v="2 YD"/>
    <s v="FEL/REL/SL Metal"/>
    <d v="2022-01-06T00:00:00"/>
    <d v="2022-01-06T00:00:00"/>
    <s v="2183-22-0012-1"/>
    <n v="1200"/>
    <n v="14050"/>
    <n v="37796.28"/>
    <n v="14056"/>
    <n v="7349.26"/>
    <n v="0"/>
    <n v="30447.019999999997"/>
    <n v="1049.8800000000001"/>
    <n v="54260"/>
    <n v="262.47000000000003"/>
    <n v="0"/>
    <n v="262.47000000000003"/>
    <s v="P"/>
    <m/>
    <m/>
    <n v="0"/>
    <x v="17"/>
    <s v="MSW/Recycle Containers"/>
    <n v="1"/>
    <n v="2022"/>
    <n v="2034"/>
    <n v="2034.0833333333333"/>
    <n v="262.47416666666669"/>
    <n v="3149.6900000000005"/>
    <n v="3149.6900000000005"/>
    <n v="4199.5866666671427"/>
    <n v="7349.2766666671432"/>
    <n v="30447.003333332854"/>
    <s v="No"/>
  </r>
  <r>
    <n v="2183"/>
    <n v="272790"/>
    <n v="264419"/>
    <s v="Capitalized"/>
    <s v="Radio antenna"/>
    <m/>
    <m/>
    <n v="3"/>
    <m/>
    <n v="0"/>
    <s v="WHISLER COMMUNICATIONS"/>
    <m/>
    <s v="SHOP EQUIPMENT"/>
    <s v="TBA"/>
    <m/>
    <m/>
    <m/>
    <d v="2022-01-02T00:00:00"/>
    <d v="2022-01-02T00:00:00"/>
    <s v="2183-21-0017-1"/>
    <n v="500"/>
    <n v="14070"/>
    <n v="3416.18"/>
    <n v="14076"/>
    <n v="1594.24"/>
    <n v="0"/>
    <n v="1821.9399999999998"/>
    <n v="227.76"/>
    <n v="51260"/>
    <n v="56.94"/>
    <n v="0"/>
    <n v="56.94"/>
    <s v="P"/>
    <m/>
    <m/>
    <n v="3720"/>
    <x v="16"/>
    <s v="Res/Comm MSW Truck"/>
    <n v="1"/>
    <n v="2022"/>
    <n v="2027"/>
    <n v="2027.0833333333333"/>
    <n v="56.93633333333333"/>
    <n v="683.23599999999999"/>
    <n v="683.23599999999999"/>
    <n v="910.98133333343685"/>
    <n v="1594.2173333334367"/>
    <n v="1821.9626666665631"/>
    <s v="No"/>
  </r>
  <r>
    <n v="2183"/>
    <n v="272576"/>
    <s v="P"/>
    <s v="Capitalized"/>
    <s v="4 yd FEL Metal Containers"/>
    <m/>
    <m/>
    <n v="20"/>
    <m/>
    <n v="0"/>
    <s v="WASTEQUIP LLC"/>
    <m/>
    <s v="CONTAINERS"/>
    <s v="TBA"/>
    <m/>
    <s v="4 YD"/>
    <s v="FEL/REL/SL Metal"/>
    <d v="2022-01-02T00:00:00"/>
    <d v="2022-01-02T00:00:00"/>
    <s v="2183-21-0019-1"/>
    <n v="1200"/>
    <n v="14050"/>
    <n v="20923.3"/>
    <n v="14056"/>
    <n v="4068.38"/>
    <n v="0"/>
    <n v="16854.919999999998"/>
    <n v="581.20000000000005"/>
    <n v="54260"/>
    <n v="145.30000000000001"/>
    <n v="0"/>
    <n v="145.30000000000001"/>
    <s v="P"/>
    <m/>
    <m/>
    <n v="0"/>
    <x v="17"/>
    <s v="MSW/Recycle Containers"/>
    <n v="1"/>
    <n v="2022"/>
    <n v="2034"/>
    <n v="2034.0833333333333"/>
    <n v="145.30069444444445"/>
    <n v="1743.6083333333333"/>
    <n v="1743.6083333333333"/>
    <n v="2324.8111111113758"/>
    <n v="4068.4194444447094"/>
    <n v="16854.88055555529"/>
    <s v="No"/>
  </r>
  <r>
    <n v="2183"/>
    <n v="272358"/>
    <s v="P"/>
    <s v="Capitalized"/>
    <s v="2022 Peterbilt REL Truck"/>
    <m/>
    <m/>
    <n v="1"/>
    <s v="3BPDLK0X9NF112435"/>
    <n v="2022"/>
    <s v="Peterbilt"/>
    <s v="Leach"/>
    <s v="TRUCKS AND TRAILERS"/>
    <s v="TBA"/>
    <s v="Rear Loader"/>
    <m/>
    <m/>
    <d v="2022-01-02T00:00:00"/>
    <d v="2022-01-02T00:00:00"/>
    <s v="2183-21-0010"/>
    <n v="1000"/>
    <n v="14040"/>
    <n v="318571.82"/>
    <n v="14046"/>
    <n v="74333.440000000002"/>
    <n v="0"/>
    <n v="244238.38"/>
    <n v="10619.08"/>
    <n v="51260"/>
    <n v="2654.77"/>
    <n v="0"/>
    <n v="2654.77"/>
    <s v="P"/>
    <m/>
    <n v="1093"/>
    <n v="1093"/>
    <x v="13"/>
    <s v="Commercial MSW Truck"/>
    <n v="1"/>
    <n v="2022"/>
    <n v="2032"/>
    <n v="2032.0833333333333"/>
    <n v="2654.7651666666666"/>
    <n v="31857.182000000001"/>
    <n v="31857.182000000001"/>
    <n v="42476.242666671518"/>
    <n v="74333.424666671519"/>
    <n v="244238.39533332849"/>
    <s v="No"/>
  </r>
  <r>
    <n v="2183"/>
    <n v="272357"/>
    <s v="P"/>
    <s v="Capitalized"/>
    <s v="2022 Peterbilt REL Truck"/>
    <m/>
    <m/>
    <n v="1"/>
    <s v="3BPDLK0X7NF112434"/>
    <n v="2022"/>
    <s v="Peterbilt"/>
    <s v="Leach"/>
    <s v="TRUCKS AND TRAILERS"/>
    <s v="TBA"/>
    <s v="Rear Loader"/>
    <m/>
    <m/>
    <d v="2022-01-02T00:00:00"/>
    <d v="2022-01-02T00:00:00"/>
    <s v="2183-21-0009"/>
    <n v="1000"/>
    <n v="14040"/>
    <n v="306118.53000000003"/>
    <n v="14046"/>
    <n v="71427.66"/>
    <n v="0"/>
    <n v="234690.87000000002"/>
    <n v="10203.959999999999"/>
    <n v="51260"/>
    <n v="2550.9899999999998"/>
    <n v="0"/>
    <n v="2550.9899999999998"/>
    <s v="P"/>
    <m/>
    <n v="1092"/>
    <n v="1092"/>
    <x v="13"/>
    <s v="Commercial MSW Truck"/>
    <n v="1"/>
    <n v="2022"/>
    <n v="2032"/>
    <n v="2032.0833333333333"/>
    <n v="2550.9877500000002"/>
    <n v="30611.853000000003"/>
    <n v="30611.853000000003"/>
    <n v="40815.80400000466"/>
    <n v="71427.657000004663"/>
    <n v="234690.87299999536"/>
    <s v="No"/>
  </r>
  <r>
    <n v="2183"/>
    <n v="270758"/>
    <s v="P"/>
    <s v="Capitalized"/>
    <s v="3rd Eye Camera - installs"/>
    <m/>
    <m/>
    <n v="1"/>
    <m/>
    <n v="0"/>
    <m/>
    <m/>
    <s v="SHOP EQUIPMENT"/>
    <s v="TBA"/>
    <m/>
    <m/>
    <m/>
    <d v="2021-12-31T00:00:00"/>
    <d v="2021-12-31T00:00:00"/>
    <s v="1010-21-0039"/>
    <n v="500"/>
    <n v="14070"/>
    <n v="44854"/>
    <n v="14076"/>
    <n v="20931.88"/>
    <n v="0"/>
    <n v="23922.12"/>
    <n v="2990.28"/>
    <n v="51260"/>
    <n v="747.57"/>
    <n v="0"/>
    <n v="747.57"/>
    <s v="P"/>
    <m/>
    <m/>
    <n v="0"/>
    <x v="15"/>
    <s v="Service Equip"/>
    <n v="12"/>
    <n v="2021"/>
    <n v="2026"/>
    <n v="2027"/>
    <n v="747.56666666666661"/>
    <n v="8970.7999999999993"/>
    <n v="8970.7999999999993"/>
    <n v="12708.633333334015"/>
    <n v="21679.433333334015"/>
    <n v="23174.566666665985"/>
    <s v="No"/>
  </r>
  <r>
    <n v="2183"/>
    <n v="270732"/>
    <s v="P"/>
    <s v="Capitalized"/>
    <s v="3rd Eye Camera -Cables"/>
    <m/>
    <m/>
    <n v="1"/>
    <m/>
    <n v="0"/>
    <m/>
    <m/>
    <s v="SHOP EQUIPMENT"/>
    <s v="TBA"/>
    <m/>
    <m/>
    <m/>
    <d v="2021-12-31T00:00:00"/>
    <d v="2021-12-31T00:00:00"/>
    <s v="1010-21-0039"/>
    <n v="500"/>
    <n v="14070"/>
    <n v="428.86"/>
    <n v="14076"/>
    <n v="200.14"/>
    <n v="0"/>
    <n v="228.72000000000003"/>
    <n v="28.6"/>
    <n v="51260"/>
    <n v="7.15"/>
    <n v="0"/>
    <n v="7.15"/>
    <s v="P"/>
    <m/>
    <m/>
    <n v="0"/>
    <x v="15"/>
    <s v="Service Equip"/>
    <n v="12"/>
    <n v="2021"/>
    <n v="2026"/>
    <n v="2027"/>
    <n v="7.1476666666666668"/>
    <n v="85.772000000000006"/>
    <n v="85.772000000000006"/>
    <n v="121.51033333333982"/>
    <n v="207.28233333333981"/>
    <n v="221.57766666666021"/>
    <s v="No"/>
  </r>
  <r>
    <n v="2183"/>
    <n v="270715"/>
    <s v="P"/>
    <s v="Capitalized"/>
    <s v="3rd Eye Camera - Cables"/>
    <m/>
    <m/>
    <n v="1"/>
    <m/>
    <n v="0"/>
    <m/>
    <m/>
    <s v="SHOP EQUIPMENT"/>
    <s v="TBA"/>
    <m/>
    <m/>
    <m/>
    <d v="2021-12-31T00:00:00"/>
    <d v="2021-12-31T00:00:00"/>
    <s v="1010-21-0039"/>
    <n v="500"/>
    <n v="14070"/>
    <n v="22513.95"/>
    <n v="14076"/>
    <n v="10506.5"/>
    <n v="0"/>
    <n v="12007.45"/>
    <n v="1500.92"/>
    <n v="51260"/>
    <n v="375.23"/>
    <n v="0"/>
    <n v="375.23"/>
    <s v="P"/>
    <m/>
    <m/>
    <n v="0"/>
    <x v="15"/>
    <s v="Service Equip"/>
    <n v="12"/>
    <n v="2021"/>
    <n v="2026"/>
    <n v="2027"/>
    <n v="375.23250000000002"/>
    <n v="4502.79"/>
    <n v="4502.79"/>
    <n v="6378.9525000003414"/>
    <n v="10881.742500000342"/>
    <n v="11632.207499999658"/>
    <s v="No"/>
  </r>
  <r>
    <n v="2183"/>
    <n v="270648"/>
    <s v="P"/>
    <s v="Capitalized"/>
    <s v="3rd Eye Camera - Credit"/>
    <m/>
    <m/>
    <n v="1"/>
    <m/>
    <n v="0"/>
    <m/>
    <m/>
    <s v="SHOP EQUIPMENT"/>
    <s v="TBA"/>
    <m/>
    <m/>
    <m/>
    <d v="2021-12-31T00:00:00"/>
    <d v="2021-12-31T00:00:00"/>
    <s v="1010-21-0039"/>
    <n v="500"/>
    <n v="14070"/>
    <n v="-2714.22"/>
    <n v="14076"/>
    <n v="-1266.6400000000001"/>
    <n v="0"/>
    <n v="-1447.5799999999997"/>
    <n v="-180.96"/>
    <n v="51260"/>
    <n v="-45.24"/>
    <n v="0"/>
    <n v="-45.24"/>
    <s v="P"/>
    <m/>
    <m/>
    <n v="0"/>
    <x v="15"/>
    <s v="Service Equip"/>
    <n v="12"/>
    <n v="2021"/>
    <n v="2026"/>
    <n v="2027"/>
    <n v="-45.236999999999995"/>
    <n v="-542.84399999999994"/>
    <n v="-542.84399999999994"/>
    <n v="-769.02900000004115"/>
    <n v="-1311.873000000041"/>
    <n v="-1402.3469999999588"/>
    <s v="No"/>
  </r>
  <r>
    <n v="2183"/>
    <n v="270644"/>
    <s v="P"/>
    <s v="Capitalized"/>
    <s v="3rd Eye Camera"/>
    <m/>
    <m/>
    <n v="102"/>
    <m/>
    <n v="0"/>
    <m/>
    <m/>
    <s v="SHOP EQUIPMENT"/>
    <s v="TBA"/>
    <m/>
    <m/>
    <m/>
    <d v="2021-12-31T00:00:00"/>
    <d v="2021-12-31T00:00:00"/>
    <s v="1010-21-0039"/>
    <n v="500"/>
    <n v="14070"/>
    <n v="24865.51"/>
    <n v="14076"/>
    <n v="11603.92"/>
    <n v="0"/>
    <n v="13261.589999999998"/>
    <n v="1657.72"/>
    <n v="51260"/>
    <n v="414.43"/>
    <n v="0"/>
    <n v="414.43"/>
    <s v="P"/>
    <m/>
    <m/>
    <n v="0"/>
    <x v="15"/>
    <s v="Service Equip"/>
    <n v="12"/>
    <n v="2021"/>
    <n v="2026"/>
    <n v="2027"/>
    <n v="414.42516666666666"/>
    <n v="4973.1019999999999"/>
    <n v="4973.1019999999999"/>
    <n v="7045.227833333709"/>
    <n v="12018.329833333708"/>
    <n v="12847.18016666629"/>
    <s v="No"/>
  </r>
  <r>
    <n v="2183"/>
    <n v="270603"/>
    <n v="257730"/>
    <s v="Capitalized"/>
    <s v="New Office Building - TAX UOP Fire Protection"/>
    <m/>
    <m/>
    <n v="1"/>
    <m/>
    <n v="0"/>
    <m/>
    <m/>
    <s v="BUILDINGS"/>
    <s v="TBA"/>
    <m/>
    <m/>
    <m/>
    <d v="2021-08-31T00:00:00"/>
    <d v="2021-08-31T00:00:00"/>
    <m/>
    <n v="0"/>
    <n v="14080"/>
    <n v="0"/>
    <n v="14086"/>
    <n v="0"/>
    <n v="0"/>
    <n v="0"/>
    <n v="0"/>
    <n v="57260"/>
    <n v="0"/>
    <n v="0"/>
    <n v="0"/>
    <s v="A"/>
    <m/>
    <s v="NA"/>
    <n v="0"/>
    <x v="18"/>
    <s v="Building"/>
    <n v="8"/>
    <n v="2021"/>
    <n v="2021"/>
    <n v="2021.6666666666667"/>
    <n v="0"/>
    <n v="0"/>
    <n v="0"/>
    <n v="0"/>
    <n v="0"/>
    <n v="0"/>
    <s v="No"/>
  </r>
  <r>
    <n v="2183"/>
    <n v="270602"/>
    <n v="257730"/>
    <s v="Capitalized"/>
    <s v="New Office Building - TAX UOP Elevator"/>
    <m/>
    <m/>
    <n v="1"/>
    <m/>
    <n v="0"/>
    <m/>
    <m/>
    <s v="BUILDINGS"/>
    <s v="TBA"/>
    <m/>
    <m/>
    <m/>
    <d v="2021-08-31T00:00:00"/>
    <d v="2021-08-31T00:00:00"/>
    <m/>
    <n v="0"/>
    <n v="14080"/>
    <n v="0"/>
    <n v="14086"/>
    <n v="0"/>
    <n v="0"/>
    <n v="0"/>
    <n v="0"/>
    <n v="57260"/>
    <n v="0"/>
    <n v="0"/>
    <n v="0"/>
    <s v="A"/>
    <m/>
    <s v="NA"/>
    <n v="0"/>
    <x v="18"/>
    <s v="Building"/>
    <n v="8"/>
    <n v="2021"/>
    <n v="2021"/>
    <n v="2021.6666666666667"/>
    <n v="0"/>
    <n v="0"/>
    <n v="0"/>
    <n v="0"/>
    <n v="0"/>
    <n v="0"/>
    <s v="No"/>
  </r>
  <r>
    <n v="2183"/>
    <n v="270601"/>
    <n v="257730"/>
    <s v="Capitalized"/>
    <s v="New Office Building - TAX UOP Plumbing"/>
    <m/>
    <m/>
    <n v="1"/>
    <m/>
    <n v="0"/>
    <m/>
    <m/>
    <s v="BUILDINGS"/>
    <s v="TBA"/>
    <m/>
    <m/>
    <m/>
    <d v="2021-08-31T00:00:00"/>
    <d v="2021-08-31T00:00:00"/>
    <m/>
    <n v="0"/>
    <n v="14080"/>
    <n v="0"/>
    <n v="14086"/>
    <n v="0"/>
    <n v="0"/>
    <n v="0"/>
    <n v="0"/>
    <n v="57260"/>
    <n v="0"/>
    <n v="0"/>
    <n v="0"/>
    <s v="A"/>
    <m/>
    <s v="NA"/>
    <n v="0"/>
    <x v="18"/>
    <s v="Building"/>
    <n v="8"/>
    <n v="2021"/>
    <n v="2021"/>
    <n v="2021.6666666666667"/>
    <n v="0"/>
    <n v="0"/>
    <n v="0"/>
    <n v="0"/>
    <n v="0"/>
    <n v="0"/>
    <s v="No"/>
  </r>
  <r>
    <n v="2183"/>
    <n v="270600"/>
    <n v="257730"/>
    <s v="Capitalized"/>
    <s v="New Office Building - TAX UOP HVAC"/>
    <m/>
    <m/>
    <n v="1"/>
    <m/>
    <n v="0"/>
    <m/>
    <m/>
    <s v="BUILDINGS"/>
    <s v="TBA"/>
    <m/>
    <m/>
    <m/>
    <d v="2021-08-31T00:00:00"/>
    <d v="2021-08-31T00:00:00"/>
    <m/>
    <n v="0"/>
    <n v="14080"/>
    <n v="0"/>
    <n v="14086"/>
    <n v="0"/>
    <n v="0"/>
    <n v="0"/>
    <n v="0"/>
    <n v="57260"/>
    <n v="0"/>
    <n v="0"/>
    <n v="0"/>
    <s v="A"/>
    <m/>
    <s v="NA"/>
    <n v="0"/>
    <x v="18"/>
    <s v="Building"/>
    <n v="8"/>
    <n v="2021"/>
    <n v="2021"/>
    <n v="2021.6666666666667"/>
    <n v="0"/>
    <n v="0"/>
    <n v="0"/>
    <n v="0"/>
    <n v="0"/>
    <n v="0"/>
    <s v="No"/>
  </r>
  <r>
    <n v="2183"/>
    <n v="270599"/>
    <n v="257730"/>
    <s v="Capitalized"/>
    <s v="New Office Building - TAX UOP Electrical"/>
    <m/>
    <m/>
    <n v="1"/>
    <m/>
    <n v="0"/>
    <m/>
    <m/>
    <s v="BUILDINGS"/>
    <s v="TBA"/>
    <m/>
    <m/>
    <m/>
    <d v="2021-08-31T00:00:00"/>
    <d v="2021-08-31T00:00:00"/>
    <m/>
    <n v="0"/>
    <n v="14080"/>
    <n v="0"/>
    <n v="14086"/>
    <n v="0"/>
    <n v="0"/>
    <n v="0"/>
    <n v="0"/>
    <n v="57260"/>
    <n v="0"/>
    <n v="0"/>
    <n v="0"/>
    <s v="A"/>
    <m/>
    <s v="NA"/>
    <n v="0"/>
    <x v="18"/>
    <s v="Building"/>
    <n v="8"/>
    <n v="2021"/>
    <n v="2021"/>
    <n v="2021.6666666666667"/>
    <n v="0"/>
    <n v="0"/>
    <n v="0"/>
    <n v="0"/>
    <n v="0"/>
    <n v="0"/>
    <s v="No"/>
  </r>
  <r>
    <n v="2183"/>
    <n v="270329"/>
    <s v="P"/>
    <s v="Capitalized"/>
    <s v="40 RouteTab Mounts for 2183 Thurston Cty"/>
    <m/>
    <m/>
    <n v="1"/>
    <m/>
    <n v="0"/>
    <s v="PROCLIPUSA"/>
    <m/>
    <s v="HARDWARE AND SOFTWARE"/>
    <s v="TBA"/>
    <m/>
    <m/>
    <m/>
    <d v="2020-04-25T00:00:00"/>
    <d v="2020-04-25T00:00:00"/>
    <s v="1010-20-0033-2"/>
    <n v="300"/>
    <n v="14110"/>
    <n v="6335.92"/>
    <n v="14116"/>
    <n v="6335.92"/>
    <n v="0"/>
    <n v="0"/>
    <n v="0"/>
    <n v="70260"/>
    <n v="0"/>
    <n v="0"/>
    <n v="0"/>
    <s v="P"/>
    <m/>
    <m/>
    <s v=""/>
    <x v="15"/>
    <s v="Service Equip"/>
    <n v="4"/>
    <n v="2020"/>
    <n v="2023"/>
    <n v="2023.3333333333333"/>
    <n v="175.99777777777777"/>
    <n v="2111.9733333333334"/>
    <n v="0"/>
    <n v="6335.92"/>
    <n v="6335.92"/>
    <n v="0"/>
    <s v="No"/>
  </r>
  <r>
    <n v="2183"/>
    <n v="270328"/>
    <s v="P"/>
    <s v="Capitalized"/>
    <s v="8 RouteTab Mounts for 2183 Yakima"/>
    <m/>
    <m/>
    <n v="1"/>
    <m/>
    <n v="0"/>
    <s v="PROCLIPUSA"/>
    <m/>
    <s v="HARDWARE AND SOFTWARE"/>
    <s v="TBA"/>
    <m/>
    <m/>
    <m/>
    <d v="2020-04-25T00:00:00"/>
    <d v="2020-04-25T00:00:00"/>
    <s v="1010-20-0033-2"/>
    <n v="300"/>
    <n v="14110"/>
    <n v="1267.19"/>
    <n v="14116"/>
    <n v="1267.19"/>
    <n v="0"/>
    <n v="0"/>
    <n v="0"/>
    <n v="70260"/>
    <n v="0"/>
    <n v="0"/>
    <n v="0"/>
    <s v="P"/>
    <m/>
    <m/>
    <s v=""/>
    <x v="15"/>
    <s v="Service Equip"/>
    <n v="4"/>
    <n v="2020"/>
    <n v="2023"/>
    <n v="2023.3333333333333"/>
    <n v="35.199722222222228"/>
    <n v="422.39666666666676"/>
    <n v="0"/>
    <n v="1267.19"/>
    <n v="1267.19"/>
    <n v="0"/>
    <s v="No"/>
  </r>
  <r>
    <n v="2183"/>
    <n v="270327"/>
    <s v="P"/>
    <s v="Capitalized"/>
    <s v="8 Samsung Active Pro Tablets for 2183"/>
    <m/>
    <m/>
    <n v="1"/>
    <m/>
    <n v="0"/>
    <s v="COMPLETE TABLET SOLUTIONS"/>
    <m/>
    <s v="HARDWARE AND SOFTWARE"/>
    <s v="TBA"/>
    <m/>
    <m/>
    <m/>
    <d v="2020-04-15T00:00:00"/>
    <d v="2020-04-15T00:00:00"/>
    <s v="1010-20-0033-1"/>
    <n v="100"/>
    <n v="14110"/>
    <n v="5473.36"/>
    <n v="14116"/>
    <n v="5473.36"/>
    <n v="0"/>
    <n v="0"/>
    <n v="0"/>
    <n v="70260"/>
    <n v="0"/>
    <n v="0"/>
    <n v="0"/>
    <s v="P"/>
    <m/>
    <m/>
    <s v=""/>
    <x v="15"/>
    <s v="Service Equip"/>
    <n v="4"/>
    <n v="2020"/>
    <n v="2021"/>
    <n v="2021.3333333333333"/>
    <n v="456.11333333333329"/>
    <n v="5473.36"/>
    <n v="0"/>
    <n v="5473.36"/>
    <n v="5473.36"/>
    <n v="0"/>
    <s v="No"/>
  </r>
  <r>
    <n v="2183"/>
    <n v="268710"/>
    <s v="P"/>
    <s v="Capitalized"/>
    <s v="New Office Building - Furniture"/>
    <m/>
    <m/>
    <n v="1"/>
    <m/>
    <n v="0"/>
    <s v="GORDON PRODUCTS INC"/>
    <m/>
    <s v="OFFICE EQUIPMENT"/>
    <s v="TBA"/>
    <m/>
    <m/>
    <m/>
    <d v="2021-11-17T00:00:00"/>
    <d v="2021-11-17T00:00:00"/>
    <s v="2183-21-0016-1"/>
    <n v="1000"/>
    <n v="14100"/>
    <n v="95331.73"/>
    <n v="14106"/>
    <n v="23038.49"/>
    <n v="0"/>
    <n v="72293.239999999991"/>
    <n v="3177.72"/>
    <n v="70260"/>
    <n v="794.43"/>
    <n v="0"/>
    <n v="794.43"/>
    <s v="P"/>
    <m/>
    <m/>
    <s v=""/>
    <x v="18"/>
    <s v="Building"/>
    <n v="11"/>
    <n v="2021"/>
    <n v="2031"/>
    <n v="2031.9166666666667"/>
    <n v="794.43108333333328"/>
    <n v="9533.1729999999989"/>
    <n v="9533.1729999999989"/>
    <n v="14299.7595"/>
    <n v="23832.932499999999"/>
    <n v="71498.797500000001"/>
    <s v="No"/>
  </r>
  <r>
    <n v="2183"/>
    <n v="268628"/>
    <s v="P"/>
    <s v="Capitalized"/>
    <s v="95 Gallon Refuse Containers"/>
    <m/>
    <m/>
    <n v="542"/>
    <m/>
    <n v="0"/>
    <s v="REHRIG PACIFIC COMPANY IN"/>
    <m/>
    <s v="CONTAINERS"/>
    <s v="TBA"/>
    <m/>
    <m/>
    <m/>
    <d v="2021-12-13T00:00:00"/>
    <d v="2021-12-13T00:00:00"/>
    <s v="2183-21-0015-1"/>
    <n v="700"/>
    <n v="14050"/>
    <n v="39911.4"/>
    <n v="14056"/>
    <n v="13778.96"/>
    <n v="0"/>
    <n v="26132.440000000002"/>
    <n v="1900.56"/>
    <n v="54260"/>
    <n v="475.14"/>
    <n v="0"/>
    <n v="475.14"/>
    <s v="P"/>
    <m/>
    <m/>
    <s v=""/>
    <x v="14"/>
    <s v="MSW Carts"/>
    <n v="12"/>
    <n v="2021"/>
    <n v="2028"/>
    <n v="2029"/>
    <n v="475.1357142857143"/>
    <n v="5701.6285714285714"/>
    <n v="5701.6285714285714"/>
    <n v="8077.3071428575749"/>
    <n v="13778.935714286146"/>
    <n v="26132.464285713853"/>
    <s v="No"/>
  </r>
  <r>
    <n v="2183"/>
    <n v="267048"/>
    <n v="257730"/>
    <s v="Capitalized"/>
    <s v="New Office Building"/>
    <m/>
    <m/>
    <n v="1"/>
    <m/>
    <n v="0"/>
    <s v="SITTS &amp; HILL ENGINEERS IN"/>
    <m/>
    <s v="BUILDINGS"/>
    <s v="TBA"/>
    <m/>
    <m/>
    <m/>
    <d v="2021-12-08T00:00:00"/>
    <d v="2021-12-08T00:00:00"/>
    <s v="2183-21-0001-1"/>
    <n v="2000"/>
    <n v="14080"/>
    <n v="3947.5"/>
    <n v="14086"/>
    <n v="477.01"/>
    <n v="0"/>
    <n v="3470.49"/>
    <n v="65.8"/>
    <n v="57260"/>
    <n v="16.45"/>
    <n v="0"/>
    <n v="16.45"/>
    <s v="P"/>
    <m/>
    <m/>
    <s v=""/>
    <x v="18"/>
    <s v="Building"/>
    <n v="12"/>
    <n v="2021"/>
    <n v="2041"/>
    <n v="2042"/>
    <n v="16.447916666666668"/>
    <n v="197.375"/>
    <n v="197.375"/>
    <n v="279.61458333334804"/>
    <n v="476.98958333334804"/>
    <n v="3470.510416666652"/>
    <s v="No"/>
  </r>
  <r>
    <n v="2183"/>
    <n v="266895"/>
    <n v="264418"/>
    <s v="Capitalized"/>
    <s v="New Office Furniture"/>
    <m/>
    <m/>
    <n v="1"/>
    <m/>
    <n v="0"/>
    <s v="GORDON PRODUCTS INC"/>
    <m/>
    <s v="OFFICE EQUIPMENT"/>
    <s v="TBA"/>
    <m/>
    <m/>
    <m/>
    <d v="2021-10-18T00:00:00"/>
    <d v="2021-10-18T00:00:00"/>
    <s v="2183-21-0016-1"/>
    <n v="1000"/>
    <n v="14100"/>
    <n v="18025.939999999999"/>
    <n v="14106"/>
    <n v="4506.49"/>
    <n v="0"/>
    <n v="13519.449999999999"/>
    <n v="600.88"/>
    <n v="70260"/>
    <n v="150.22"/>
    <n v="0"/>
    <n v="150.22"/>
    <s v="P"/>
    <m/>
    <m/>
    <s v=""/>
    <x v="18"/>
    <s v="Building"/>
    <n v="10"/>
    <n v="2021"/>
    <n v="2031"/>
    <n v="2031.8333333333333"/>
    <n v="150.21616666666665"/>
    <n v="1802.5939999999998"/>
    <n v="1802.5939999999998"/>
    <n v="2854.1071666669395"/>
    <n v="4656.7011666669396"/>
    <n v="13369.23883333306"/>
    <s v="No"/>
  </r>
  <r>
    <n v="2183"/>
    <n v="266891"/>
    <n v="257730"/>
    <s v="Capitalized"/>
    <s v="New Office Building"/>
    <m/>
    <m/>
    <n v="1"/>
    <m/>
    <n v="0"/>
    <s v="MOUNTAIN CONSTRUCTION INC"/>
    <m/>
    <s v="BUILDINGS"/>
    <s v="TBA"/>
    <m/>
    <m/>
    <m/>
    <d v="2021-11-03T00:00:00"/>
    <d v="2021-11-03T00:00:00"/>
    <s v="2183-21-0001-1"/>
    <n v="2000"/>
    <n v="14080"/>
    <n v="164062.15"/>
    <n v="14086"/>
    <n v="20507.77"/>
    <n v="0"/>
    <n v="143554.38"/>
    <n v="2734.36"/>
    <n v="57260"/>
    <n v="683.59"/>
    <n v="0"/>
    <n v="683.59"/>
    <s v="P"/>
    <m/>
    <m/>
    <s v=""/>
    <x v="18"/>
    <s v="Building"/>
    <n v="11"/>
    <n v="2021"/>
    <n v="2041"/>
    <n v="2041.9166666666667"/>
    <n v="683.59229166666671"/>
    <n v="8203.1075000000001"/>
    <n v="8203.1075000000001"/>
    <n v="12304.661249999976"/>
    <n v="20507.768749999974"/>
    <n v="143554.38125000003"/>
    <s v="No"/>
  </r>
  <r>
    <n v="2183"/>
    <n v="265747"/>
    <n v="264418"/>
    <s v="Capitalized"/>
    <s v="75 Television"/>
    <m/>
    <m/>
    <n v="1"/>
    <m/>
    <n v="0"/>
    <s v="BEST BUY"/>
    <m/>
    <s v="OFFICE EQUIPMENT"/>
    <s v="TBA"/>
    <m/>
    <m/>
    <m/>
    <d v="2021-10-18T00:00:00"/>
    <d v="2021-10-18T00:00:00"/>
    <s v="2183-21-0016-1"/>
    <n v="1000"/>
    <n v="14100"/>
    <n v="1358.09"/>
    <n v="14106"/>
    <n v="339.54"/>
    <n v="0"/>
    <n v="1018.55"/>
    <n v="45.28"/>
    <n v="70260"/>
    <n v="11.32"/>
    <n v="0"/>
    <n v="11.32"/>
    <s v="P"/>
    <m/>
    <m/>
    <s v=""/>
    <x v="18"/>
    <s v="Building"/>
    <n v="10"/>
    <n v="2021"/>
    <n v="2031"/>
    <n v="2031.8333333333333"/>
    <n v="11.317416666666666"/>
    <n v="135.809"/>
    <n v="135.809"/>
    <n v="215.03091666668729"/>
    <n v="350.83991666668726"/>
    <n v="1007.2500833333127"/>
    <s v="No"/>
  </r>
  <r>
    <n v="2183"/>
    <n v="265458"/>
    <s v="P"/>
    <s v="Capitalized"/>
    <s v="Drive Cam Units"/>
    <m/>
    <m/>
    <n v="3"/>
    <m/>
    <n v="0"/>
    <m/>
    <m/>
    <s v="SHOP EQUIPMENT"/>
    <s v="TBA"/>
    <m/>
    <m/>
    <m/>
    <d v="2021-11-01T00:00:00"/>
    <d v="2021-11-01T00:00:00"/>
    <s v="1010-21-0038"/>
    <n v="500"/>
    <n v="14070"/>
    <n v="1617.15"/>
    <n v="14076"/>
    <n v="808.57"/>
    <n v="0"/>
    <n v="808.58"/>
    <n v="107.8"/>
    <n v="51260"/>
    <n v="26.95"/>
    <n v="0"/>
    <n v="26.95"/>
    <s v="P"/>
    <m/>
    <m/>
    <s v=""/>
    <x v="15"/>
    <s v="Service Equip"/>
    <n v="11"/>
    <n v="2021"/>
    <n v="2026"/>
    <n v="2026.9166666666667"/>
    <n v="26.952500000000001"/>
    <n v="323.43"/>
    <n v="323.43"/>
    <n v="485.14499999999998"/>
    <n v="808.57500000000005"/>
    <n v="808.57500000000005"/>
    <s v="No"/>
  </r>
  <r>
    <n v="2183"/>
    <n v="264808"/>
    <n v="257730"/>
    <s v="Capitalized"/>
    <s v="New Office Building"/>
    <m/>
    <m/>
    <n v="1"/>
    <m/>
    <n v="0"/>
    <s v="SITTS &amp; HILL ENGINEERS IN"/>
    <m/>
    <s v="BUILDINGS"/>
    <s v="TBA"/>
    <m/>
    <m/>
    <m/>
    <d v="2021-11-03T00:00:00"/>
    <d v="2021-11-03T00:00:00"/>
    <s v="2183-21-0001-1"/>
    <n v="2000"/>
    <n v="14080"/>
    <n v="2298.5"/>
    <n v="14086"/>
    <n v="287.33999999999997"/>
    <n v="0"/>
    <n v="2011.16"/>
    <n v="38.32"/>
    <n v="57260"/>
    <n v="9.58"/>
    <n v="0"/>
    <n v="9.58"/>
    <s v="P"/>
    <m/>
    <m/>
    <s v=""/>
    <x v="18"/>
    <s v="Building"/>
    <n v="11"/>
    <n v="2021"/>
    <n v="2041"/>
    <n v="2041.9166666666667"/>
    <n v="9.5770833333333325"/>
    <n v="114.92499999999998"/>
    <n v="114.92499999999998"/>
    <n v="172.38750000000027"/>
    <n v="287.31250000000023"/>
    <n v="2011.1874999999998"/>
    <s v="No"/>
  </r>
  <r>
    <n v="2183"/>
    <n v="264420"/>
    <n v="264419"/>
    <s v="Capitalized"/>
    <s v="New Office Building - IT Equipment"/>
    <m/>
    <m/>
    <n v="1"/>
    <m/>
    <n v="0"/>
    <m/>
    <m/>
    <s v="HARDWARE AND SOFTWARE"/>
    <s v="TBA"/>
    <m/>
    <m/>
    <m/>
    <d v="2021-10-18T00:00:00"/>
    <d v="2021-10-18T00:00:00"/>
    <s v="2183-21-0017"/>
    <n v="300"/>
    <n v="14110"/>
    <n v="19435.64"/>
    <n v="14116"/>
    <n v="16196.38"/>
    <n v="0"/>
    <n v="3239.26"/>
    <n v="2159.52"/>
    <n v="70260"/>
    <n v="539.88"/>
    <n v="0"/>
    <n v="539.88"/>
    <s v="P"/>
    <m/>
    <m/>
    <s v=""/>
    <x v="18"/>
    <s v="Building"/>
    <n v="10"/>
    <n v="2021"/>
    <n v="2024"/>
    <n v="2024.8333333333333"/>
    <n v="539.87888888888881"/>
    <n v="6478.5466666666653"/>
    <n v="6478.5466666666653"/>
    <n v="10257.698888889872"/>
    <n v="16736.245555556539"/>
    <n v="2699.3944444434601"/>
    <s v="No"/>
  </r>
  <r>
    <n v="2183"/>
    <n v="264419"/>
    <s v="P"/>
    <s v="Capitalized"/>
    <s v="New Office Building - Cameras"/>
    <m/>
    <m/>
    <n v="1"/>
    <m/>
    <n v="0"/>
    <m/>
    <m/>
    <s v="SHOP EQUIPMENT"/>
    <s v="TBA"/>
    <m/>
    <m/>
    <m/>
    <d v="2021-10-18T00:00:00"/>
    <d v="2021-10-18T00:00:00"/>
    <s v="2183-21-0017"/>
    <n v="500"/>
    <n v="14070"/>
    <n v="2122.54"/>
    <n v="14076"/>
    <n v="1061.29"/>
    <n v="0"/>
    <n v="1061.25"/>
    <n v="141.52000000000001"/>
    <n v="51260"/>
    <n v="35.380000000000003"/>
    <n v="0"/>
    <n v="35.380000000000003"/>
    <s v="P"/>
    <m/>
    <m/>
    <s v=""/>
    <x v="18"/>
    <s v="Building"/>
    <n v="10"/>
    <n v="2021"/>
    <n v="2026"/>
    <n v="2026.8333333333333"/>
    <n v="35.375666666666667"/>
    <n v="424.50800000000004"/>
    <n v="424.50800000000004"/>
    <n v="672.13766666673087"/>
    <n v="1096.6456666667309"/>
    <n v="1025.8943333332691"/>
    <s v="No"/>
  </r>
  <r>
    <n v="2183"/>
    <n v="264418"/>
    <s v="P"/>
    <s v="Capitalized"/>
    <s v="New Office Building - Furniture"/>
    <m/>
    <m/>
    <n v="1"/>
    <m/>
    <n v="0"/>
    <m/>
    <m/>
    <s v="OFFICE EQUIPMENT"/>
    <s v="TBA"/>
    <m/>
    <m/>
    <m/>
    <d v="2021-10-18T00:00:00"/>
    <d v="2021-10-18T00:00:00"/>
    <s v="2183-21-0016"/>
    <n v="1000"/>
    <n v="14100"/>
    <n v="139900.24"/>
    <n v="14106"/>
    <n v="34975.07"/>
    <n v="0"/>
    <n v="104925.16999999998"/>
    <n v="4663.3599999999997"/>
    <n v="70260"/>
    <n v="1165.8399999999999"/>
    <n v="0"/>
    <n v="1165.8399999999999"/>
    <s v="P"/>
    <m/>
    <m/>
    <s v=""/>
    <x v="18"/>
    <s v="Building"/>
    <n v="10"/>
    <n v="2021"/>
    <n v="2031"/>
    <n v="2031.8333333333333"/>
    <n v="1165.8353333333332"/>
    <n v="13990.023999999998"/>
    <n v="13990.023999999998"/>
    <n v="22150.871333335454"/>
    <n v="36140.895333335451"/>
    <n v="103759.34466666455"/>
    <s v="No"/>
  </r>
  <r>
    <n v="2183"/>
    <n v="263291"/>
    <s v="P"/>
    <s v="Capitalized"/>
    <s v="95 Gallon Recycle Containers"/>
    <m/>
    <m/>
    <n v="702"/>
    <m/>
    <n v="0"/>
    <s v="REHRIG PACIFIC COMPANY IN"/>
    <m/>
    <s v="CONTAINERS"/>
    <s v="TBA"/>
    <m/>
    <m/>
    <m/>
    <d v="2021-10-15T00:00:00"/>
    <d v="2021-10-15T00:00:00"/>
    <s v="2183-21-0015-1"/>
    <n v="700"/>
    <n v="14050"/>
    <n v="40388.5"/>
    <n v="14056"/>
    <n v="14905.31"/>
    <n v="0"/>
    <n v="25483.190000000002"/>
    <n v="1923.28"/>
    <n v="54260"/>
    <n v="480.82"/>
    <n v="0"/>
    <n v="480.82"/>
    <s v="P"/>
    <m/>
    <m/>
    <s v=""/>
    <x v="5"/>
    <s v="Recycling Carts"/>
    <n v="10"/>
    <n v="2021"/>
    <n v="2028"/>
    <n v="2028.8333333333333"/>
    <n v="480.8154761904762"/>
    <n v="5769.7857142857147"/>
    <n v="5769.7857142857147"/>
    <n v="9135.4940476199226"/>
    <n v="14905.279761905636"/>
    <n v="25483.220238094364"/>
    <s v="No"/>
  </r>
  <r>
    <n v="2183"/>
    <n v="263290"/>
    <s v="P"/>
    <s v="Capitalized"/>
    <s v="35 Gallon refuse Containers"/>
    <m/>
    <m/>
    <n v="1080"/>
    <m/>
    <n v="0"/>
    <s v="REHRIG PACIFIC COMPANY IN"/>
    <m/>
    <s v="CONTAINERS"/>
    <s v="TBA"/>
    <m/>
    <m/>
    <m/>
    <d v="2021-10-15T00:00:00"/>
    <d v="2021-10-15T00:00:00"/>
    <s v="2183-21-0015-1"/>
    <n v="700"/>
    <n v="14050"/>
    <n v="47461.65"/>
    <n v="14056"/>
    <n v="17515.62"/>
    <n v="0"/>
    <n v="29946.030000000002"/>
    <n v="2260.08"/>
    <n v="54260"/>
    <n v="565.02"/>
    <n v="0"/>
    <n v="565.02"/>
    <s v="P"/>
    <m/>
    <m/>
    <s v=""/>
    <x v="14"/>
    <s v="MSW Carts"/>
    <n v="10"/>
    <n v="2021"/>
    <n v="2028"/>
    <n v="2028.8333333333333"/>
    <n v="565.01964285714291"/>
    <n v="6780.2357142857145"/>
    <n v="6780.2357142857145"/>
    <n v="10735.373214286737"/>
    <n v="17515.608928572452"/>
    <n v="29946.041071427549"/>
    <s v="No"/>
  </r>
  <r>
    <n v="2183"/>
    <n v="261231"/>
    <s v="P"/>
    <s v="Capitalized"/>
    <s v="95 Gallon Plastic YardwasteTotes"/>
    <m/>
    <m/>
    <n v="702"/>
    <m/>
    <n v="0"/>
    <s v="REHRIG PACIFIC COMPANY IN"/>
    <m/>
    <s v="CONTAINERS"/>
    <s v="TBA"/>
    <m/>
    <m/>
    <m/>
    <d v="2021-09-13T00:00:00"/>
    <d v="2021-09-13T00:00:00"/>
    <s v="2183-21-0015-1"/>
    <n v="700"/>
    <n v="14050"/>
    <n v="40388.49"/>
    <n v="14056"/>
    <n v="15386.12"/>
    <n v="0"/>
    <n v="25002.369999999995"/>
    <n v="1923.28"/>
    <n v="54260"/>
    <n v="480.82"/>
    <n v="0"/>
    <n v="480.82"/>
    <s v="P"/>
    <m/>
    <m/>
    <s v=""/>
    <x v="4"/>
    <s v="YW Carts"/>
    <n v="9"/>
    <n v="2021"/>
    <n v="2028"/>
    <n v="2028.75"/>
    <n v="480.81535714285707"/>
    <n v="5769.784285714285"/>
    <n v="5769.784285714285"/>
    <n v="9616.3071428575822"/>
    <n v="15386.091428571868"/>
    <n v="25002.39857142813"/>
    <s v="No"/>
  </r>
  <r>
    <n v="2183"/>
    <n v="261230"/>
    <s v="P"/>
    <s v="Capitalized"/>
    <s v="65 Gallon Plastic Refuse Totes"/>
    <m/>
    <m/>
    <n v="936"/>
    <m/>
    <n v="0"/>
    <s v="REHRIG PACIFIC COMPANY IN"/>
    <m/>
    <s v="CONTAINERS"/>
    <s v="TBA"/>
    <m/>
    <m/>
    <m/>
    <d v="2021-09-02T00:00:00"/>
    <d v="2021-09-02T00:00:00"/>
    <s v="2183-21-0015-1"/>
    <n v="700"/>
    <n v="14050"/>
    <n v="47461.66"/>
    <n v="14056"/>
    <n v="18080.64"/>
    <n v="0"/>
    <n v="29381.020000000004"/>
    <n v="2260.08"/>
    <n v="54260"/>
    <n v="565.02"/>
    <n v="0"/>
    <n v="565.02"/>
    <s v="P"/>
    <m/>
    <m/>
    <s v=""/>
    <x v="14"/>
    <s v="MSW Carts"/>
    <n v="9"/>
    <n v="2021"/>
    <n v="2028"/>
    <n v="2028.75"/>
    <n v="565.01976190476194"/>
    <n v="6780.2371428571432"/>
    <n v="6780.2371428571432"/>
    <n v="11300.395238095756"/>
    <n v="18080.632380952899"/>
    <n v="29381.027619047105"/>
    <s v="No"/>
  </r>
  <r>
    <n v="2183"/>
    <n v="260754"/>
    <n v="257730"/>
    <s v="Capitalized"/>
    <s v="New Office Building"/>
    <m/>
    <m/>
    <n v="1"/>
    <m/>
    <n v="0"/>
    <s v="MAYES TESTING ENGINEERS I"/>
    <m/>
    <s v="BUILDINGS"/>
    <s v="TBA"/>
    <m/>
    <m/>
    <m/>
    <d v="2021-08-31T00:00:00"/>
    <d v="2021-08-31T00:00:00"/>
    <s v="2183-21-0001-1"/>
    <n v="2000"/>
    <n v="14080"/>
    <n v="520"/>
    <n v="14086"/>
    <n v="69.349999999999994"/>
    <n v="0"/>
    <n v="450.65"/>
    <n v="8.68"/>
    <n v="57260"/>
    <n v="2.17"/>
    <n v="0"/>
    <n v="2.17"/>
    <s v="P"/>
    <m/>
    <m/>
    <s v=""/>
    <x v="18"/>
    <s v="Building"/>
    <n v="8"/>
    <n v="2021"/>
    <n v="2041"/>
    <n v="2041.6666666666667"/>
    <n v="2.1666666666666665"/>
    <n v="26"/>
    <n v="26"/>
    <n v="45.500000000000057"/>
    <n v="71.500000000000057"/>
    <n v="448.49999999999994"/>
    <s v="No"/>
  </r>
  <r>
    <n v="2183"/>
    <n v="260344"/>
    <n v="257730"/>
    <s v="Capitalized"/>
    <s v="New Office Building"/>
    <m/>
    <m/>
    <n v="1"/>
    <m/>
    <n v="0"/>
    <s v="MOUNTAIN CONSTRUCTION INC"/>
    <m/>
    <s v="BUILDINGS"/>
    <s v="TBA"/>
    <m/>
    <m/>
    <m/>
    <d v="2021-08-31T00:00:00"/>
    <d v="2021-08-31T00:00:00"/>
    <s v="2183-21-0001-1"/>
    <n v="2000"/>
    <n v="14080"/>
    <n v="237461.87"/>
    <n v="14086"/>
    <n v="31661.56"/>
    <n v="0"/>
    <n v="205800.31"/>
    <n v="3957.68"/>
    <n v="57260"/>
    <n v="989.42"/>
    <n v="0"/>
    <n v="989.42"/>
    <s v="P"/>
    <m/>
    <m/>
    <s v=""/>
    <x v="18"/>
    <s v="Building"/>
    <n v="8"/>
    <n v="2021"/>
    <n v="2041"/>
    <n v="2041.6666666666667"/>
    <n v="989.42445833333329"/>
    <n v="11873.093499999999"/>
    <n v="11873.093499999999"/>
    <n v="20777.913625000016"/>
    <n v="32651.007125000015"/>
    <n v="204810.86287499999"/>
    <s v="No"/>
  </r>
  <r>
    <n v="2183"/>
    <n v="260210"/>
    <n v="257730"/>
    <s v="Capitalized"/>
    <s v="New Office Building"/>
    <m/>
    <m/>
    <n v="1"/>
    <m/>
    <n v="0"/>
    <m/>
    <m/>
    <s v="BUILDINGS"/>
    <s v="TBA"/>
    <m/>
    <m/>
    <m/>
    <d v="2021-08-31T00:00:00"/>
    <d v="2021-08-31T00:00:00"/>
    <s v="2183-21-0001"/>
    <n v="2000"/>
    <n v="14080"/>
    <n v="2394.5"/>
    <n v="14086"/>
    <n v="319.29000000000002"/>
    <n v="0"/>
    <n v="2075.21"/>
    <n v="39.92"/>
    <n v="57260"/>
    <n v="9.98"/>
    <n v="0"/>
    <n v="9.98"/>
    <s v="P"/>
    <m/>
    <m/>
    <s v=""/>
    <x v="18"/>
    <s v="Building"/>
    <n v="8"/>
    <n v="2021"/>
    <n v="2041"/>
    <n v="2041.6666666666667"/>
    <n v="9.9770833333333329"/>
    <n v="119.72499999999999"/>
    <n v="119.72499999999999"/>
    <n v="209.51875000000018"/>
    <n v="329.2437500000002"/>
    <n v="2065.2562499999999"/>
    <s v="No"/>
  </r>
  <r>
    <n v="2183"/>
    <n v="260019"/>
    <s v="P"/>
    <s v="Capitalized"/>
    <s v="6Yd Metal FEL Commercial Containers"/>
    <m/>
    <m/>
    <n v="13"/>
    <m/>
    <n v="0"/>
    <s v="WASTEQUIP LLC"/>
    <m/>
    <s v="CONTAINERS"/>
    <s v="TBA"/>
    <m/>
    <s v="6 YD"/>
    <s v="FEL/REL/SL Metal"/>
    <d v="2021-08-23T00:00:00"/>
    <d v="2021-08-23T00:00:00"/>
    <s v="2183-21-0014-1"/>
    <n v="1200"/>
    <n v="14050"/>
    <n v="15080.79"/>
    <n v="14056"/>
    <n v="3351.29"/>
    <n v="0"/>
    <n v="11729.5"/>
    <n v="418.92"/>
    <n v="54260"/>
    <n v="104.73"/>
    <n v="0"/>
    <n v="104.73"/>
    <s v="P"/>
    <m/>
    <m/>
    <s v=""/>
    <x v="17"/>
    <s v="MSW/Recycle Containers"/>
    <n v="8"/>
    <n v="2021"/>
    <n v="2033"/>
    <n v="2033.6666666666667"/>
    <n v="104.72770833333334"/>
    <n v="1256.7325000000001"/>
    <n v="1256.7325000000001"/>
    <n v="2199.2818750000006"/>
    <n v="3456.0143750000007"/>
    <n v="11624.775625"/>
    <s v="No"/>
  </r>
  <r>
    <n v="2183"/>
    <n v="260018"/>
    <s v="P"/>
    <s v="Capitalized"/>
    <s v="6Yd Metal FEL Commercial Containers"/>
    <m/>
    <m/>
    <n v="2"/>
    <m/>
    <n v="0"/>
    <s v="WASTEQUIP LLC"/>
    <m/>
    <s v="CONTAINERS"/>
    <s v="TBA"/>
    <m/>
    <s v="6 YD"/>
    <s v="FEL/REL/SL Metal"/>
    <d v="2021-08-19T00:00:00"/>
    <d v="2021-08-19T00:00:00"/>
    <s v="2183-21-0014-1"/>
    <n v="1200"/>
    <n v="14050"/>
    <n v="2249.0700000000002"/>
    <n v="14056"/>
    <n v="499.8"/>
    <n v="0"/>
    <n v="1749.2700000000002"/>
    <n v="62.48"/>
    <n v="54260"/>
    <n v="15.62"/>
    <n v="0"/>
    <n v="15.62"/>
    <s v="P"/>
    <m/>
    <m/>
    <s v=""/>
    <x v="17"/>
    <s v="MSW/Recycle Containers"/>
    <n v="8"/>
    <n v="2021"/>
    <n v="2033"/>
    <n v="2033.6666666666667"/>
    <n v="15.618541666666667"/>
    <n v="187.42250000000001"/>
    <n v="187.42250000000001"/>
    <n v="327.98937500000011"/>
    <n v="515.41187500000012"/>
    <n v="1733.6581249999999"/>
    <s v="No"/>
  </r>
  <r>
    <n v="2183"/>
    <n v="260017"/>
    <s v="P"/>
    <s v="Capitalized"/>
    <s v="5Yd Metal FEL Commercial Containers"/>
    <m/>
    <m/>
    <n v="13"/>
    <m/>
    <n v="0"/>
    <s v="WASTEQUIP LLC"/>
    <m/>
    <s v="CONTAINERS"/>
    <s v="TBA"/>
    <m/>
    <s v="5 YD"/>
    <s v="FEL/REL/SL Metal"/>
    <d v="2021-08-23T00:00:00"/>
    <d v="2021-08-23T00:00:00"/>
    <s v="2183-21-0014-1"/>
    <n v="1200"/>
    <n v="14050"/>
    <n v="14938.59"/>
    <n v="14056"/>
    <n v="3319.68"/>
    <n v="0"/>
    <n v="11618.91"/>
    <n v="414.96"/>
    <n v="54260"/>
    <n v="103.74"/>
    <n v="0"/>
    <n v="103.74"/>
    <s v="P"/>
    <m/>
    <m/>
    <s v=""/>
    <x v="17"/>
    <s v="MSW/Recycle Containers"/>
    <n v="8"/>
    <n v="2021"/>
    <n v="2033"/>
    <n v="2033.6666666666667"/>
    <n v="103.74020833333333"/>
    <n v="1244.8824999999999"/>
    <n v="1244.8824999999999"/>
    <n v="2178.5443750000013"/>
    <n v="3423.426875000001"/>
    <n v="11515.163124999999"/>
    <s v="No"/>
  </r>
  <r>
    <n v="2183"/>
    <n v="260016"/>
    <s v="P"/>
    <s v="Capitalized"/>
    <s v="5Yd Metal FEL Commercial Containers"/>
    <m/>
    <m/>
    <n v="7"/>
    <m/>
    <n v="0"/>
    <s v="WASTEQUIP LLC"/>
    <m/>
    <s v="CONTAINERS"/>
    <s v="TBA"/>
    <m/>
    <s v="5 YD"/>
    <s v="FEL/REL/SL Metal"/>
    <d v="2021-08-19T00:00:00"/>
    <d v="2021-08-19T00:00:00"/>
    <s v="2183-21-0014-1"/>
    <n v="1200"/>
    <n v="14050"/>
    <n v="7795.15"/>
    <n v="14056"/>
    <n v="1732.25"/>
    <n v="0"/>
    <n v="6062.9"/>
    <n v="216.52"/>
    <n v="54260"/>
    <n v="54.13"/>
    <n v="0"/>
    <n v="54.13"/>
    <s v="P"/>
    <m/>
    <m/>
    <s v=""/>
    <x v="17"/>
    <s v="MSW/Recycle Containers"/>
    <n v="8"/>
    <n v="2021"/>
    <n v="2033"/>
    <n v="2033.6666666666667"/>
    <n v="54.132986111111109"/>
    <n v="649.5958333333333"/>
    <n v="649.5958333333333"/>
    <n v="1136.7927083333334"/>
    <n v="1786.3885416666667"/>
    <n v="6008.7614583333325"/>
    <s v="No"/>
  </r>
  <r>
    <n v="2183"/>
    <n v="260015"/>
    <s v="P"/>
    <s v="Capitalized"/>
    <s v="3Yd Metal FEL Commercial Containers"/>
    <m/>
    <m/>
    <n v="10"/>
    <m/>
    <n v="0"/>
    <s v="WASTEQUIP LLC"/>
    <m/>
    <s v="CONTAINERS"/>
    <s v="TBA"/>
    <m/>
    <s v="3 YD"/>
    <s v="FEL/REL/SL Metal"/>
    <d v="2021-08-19T00:00:00"/>
    <d v="2021-08-19T00:00:00"/>
    <s v="2183-21-0014-1"/>
    <n v="1200"/>
    <n v="14050"/>
    <n v="7328.81"/>
    <n v="14056"/>
    <n v="1628.62"/>
    <n v="0"/>
    <n v="5700.1900000000005"/>
    <n v="203.56"/>
    <n v="54260"/>
    <n v="50.89"/>
    <n v="0"/>
    <n v="50.89"/>
    <s v="P"/>
    <m/>
    <m/>
    <s v=""/>
    <x v="17"/>
    <s v="MSW/Recycle Containers"/>
    <n v="8"/>
    <n v="2021"/>
    <n v="2033"/>
    <n v="2033.6666666666667"/>
    <n v="50.894513888888895"/>
    <n v="610.73416666666674"/>
    <n v="610.73416666666674"/>
    <n v="1068.784791666666"/>
    <n v="1679.5189583333326"/>
    <n v="5649.2910416666673"/>
    <s v="No"/>
  </r>
  <r>
    <n v="2183"/>
    <n v="260014"/>
    <s v="P"/>
    <s v="Capitalized"/>
    <s v="2Yd Metal FEL Commercial Containers"/>
    <m/>
    <m/>
    <n v="10"/>
    <m/>
    <n v="0"/>
    <s v="WASTEQUIP LLC"/>
    <m/>
    <s v="CONTAINERS"/>
    <s v="TBA"/>
    <m/>
    <s v="2 YD"/>
    <s v="FEL/REL/SL Metal"/>
    <d v="2021-08-19T00:00:00"/>
    <d v="2021-08-19T00:00:00"/>
    <s v="2183-21-0014-1"/>
    <n v="1200"/>
    <n v="14050"/>
    <n v="6902.15"/>
    <n v="14056"/>
    <n v="1533.81"/>
    <n v="0"/>
    <n v="5368.34"/>
    <n v="191.72"/>
    <n v="54260"/>
    <n v="47.93"/>
    <n v="0"/>
    <n v="47.93"/>
    <s v="P"/>
    <m/>
    <m/>
    <s v=""/>
    <x v="17"/>
    <s v="MSW/Recycle Containers"/>
    <n v="8"/>
    <n v="2021"/>
    <n v="2033"/>
    <n v="2033.6666666666667"/>
    <n v="47.931597222222223"/>
    <n v="575.17916666666667"/>
    <n v="575.17916666666667"/>
    <n v="1006.5635416666664"/>
    <n v="1581.7427083333332"/>
    <n v="5320.4072916666664"/>
    <s v="No"/>
  </r>
  <r>
    <n v="2183"/>
    <n v="260013"/>
    <s v="P"/>
    <s v="Capitalized"/>
    <s v="1.5Yd Metal FEL Commercial Containers"/>
    <m/>
    <m/>
    <n v="15"/>
    <m/>
    <n v="0"/>
    <s v="WASTEQUIP LLC"/>
    <m/>
    <s v="CONTAINERS"/>
    <s v="TBA"/>
    <m/>
    <s v="1.5 YD"/>
    <s v="FEL/REL/SL Metal"/>
    <d v="2021-08-19T00:00:00"/>
    <d v="2021-08-19T00:00:00"/>
    <s v="2183-21-0014-1"/>
    <n v="1200"/>
    <n v="14050"/>
    <n v="9893.7199999999993"/>
    <n v="14056"/>
    <n v="2198.63"/>
    <n v="0"/>
    <n v="7695.0899999999992"/>
    <n v="274.83999999999997"/>
    <n v="54260"/>
    <n v="68.709999999999994"/>
    <n v="0"/>
    <n v="68.709999999999994"/>
    <s v="P"/>
    <m/>
    <m/>
    <s v=""/>
    <x v="17"/>
    <s v="MSW/Recycle Containers"/>
    <n v="8"/>
    <n v="2021"/>
    <n v="2033"/>
    <n v="2033.6666666666667"/>
    <n v="68.706388888888881"/>
    <n v="824.47666666666657"/>
    <n v="824.47666666666657"/>
    <n v="1442.8341666666674"/>
    <n v="2267.3108333333339"/>
    <n v="7626.4091666666654"/>
    <s v="No"/>
  </r>
  <r>
    <n v="2183"/>
    <n v="259355"/>
    <n v="255410"/>
    <s v="Capitalized"/>
    <s v="Decals for Truck 3718"/>
    <m/>
    <m/>
    <n v="1"/>
    <m/>
    <n v="2022"/>
    <s v="Larsen Sign Co."/>
    <m/>
    <s v="TRUCKS AND TRAILERS"/>
    <s v="TBA"/>
    <s v="Non-Rolling Stock"/>
    <m/>
    <m/>
    <d v="2021-08-04T00:00:00"/>
    <d v="2021-08-04T00:00:00"/>
    <s v="2183-21-0006-1"/>
    <n v="1000"/>
    <n v="14040"/>
    <n v="957.25"/>
    <n v="14046"/>
    <n v="263.27"/>
    <n v="0"/>
    <n v="693.98"/>
    <n v="31.92"/>
    <n v="51260"/>
    <n v="7.98"/>
    <n v="0"/>
    <n v="7.98"/>
    <s v="P"/>
    <m/>
    <m/>
    <n v="3718"/>
    <x v="16"/>
    <s v="Res/Comm MSW Truck"/>
    <n v="8"/>
    <n v="2021"/>
    <n v="2031"/>
    <n v="2031.6666666666667"/>
    <n v="7.9770833333333329"/>
    <n v="95.724999999999994"/>
    <n v="95.724999999999994"/>
    <n v="167.51875000000007"/>
    <n v="263.24375000000009"/>
    <n v="694.00624999999991"/>
    <s v="No"/>
  </r>
  <r>
    <n v="2183"/>
    <n v="259331"/>
    <n v="255410"/>
    <s v="Capitalized"/>
    <s v="License for Truck 3718"/>
    <m/>
    <m/>
    <n v="1"/>
    <m/>
    <n v="0"/>
    <s v="WA State DOL"/>
    <m/>
    <s v="TRUCKS AND TRAILERS"/>
    <s v="TBA"/>
    <s v="Non-Rolling Stock"/>
    <m/>
    <m/>
    <d v="2021-08-24T00:00:00"/>
    <d v="2021-08-24T00:00:00"/>
    <s v="2183-21-0006-1"/>
    <n v="1000"/>
    <n v="14040"/>
    <n v="389.92"/>
    <n v="14046"/>
    <n v="103.98"/>
    <n v="0"/>
    <n v="285.94"/>
    <n v="13"/>
    <n v="51260"/>
    <n v="3.25"/>
    <n v="0"/>
    <n v="3.25"/>
    <s v="P"/>
    <m/>
    <m/>
    <n v="3718"/>
    <x v="16"/>
    <s v="Res/Comm MSW Truck"/>
    <n v="8"/>
    <n v="2021"/>
    <n v="2031"/>
    <n v="2031.6666666666667"/>
    <n v="3.2493333333333339"/>
    <n v="38.992000000000004"/>
    <n v="38.992000000000004"/>
    <n v="68.23599999999999"/>
    <n v="107.22799999999999"/>
    <n v="282.69200000000001"/>
    <s v="No"/>
  </r>
  <r>
    <n v="2183"/>
    <n v="259256"/>
    <n v="257730"/>
    <s v="Capitalized"/>
    <s v="New Office Building"/>
    <m/>
    <m/>
    <n v="1"/>
    <m/>
    <n v="0"/>
    <s v="PUGET SOUND ENERGY"/>
    <m/>
    <s v="BUILDINGS"/>
    <s v="TBA"/>
    <m/>
    <m/>
    <m/>
    <d v="2021-08-31T00:00:00"/>
    <d v="2021-08-31T00:00:00"/>
    <s v="2183-21-0001-1"/>
    <n v="2000"/>
    <n v="14080"/>
    <n v="975.05"/>
    <n v="14086"/>
    <n v="129.93"/>
    <n v="0"/>
    <n v="845.11999999999989"/>
    <n v="16.239999999999998"/>
    <n v="57260"/>
    <n v="4.0599999999999996"/>
    <n v="0"/>
    <n v="4.0599999999999996"/>
    <s v="P"/>
    <m/>
    <m/>
    <s v=""/>
    <x v="18"/>
    <s v="Building"/>
    <n v="8"/>
    <n v="2021"/>
    <n v="2041"/>
    <n v="2041.6666666666667"/>
    <n v="4.0627083333333331"/>
    <n v="48.752499999999998"/>
    <n v="48.752499999999998"/>
    <n v="85.316874999999982"/>
    <n v="134.06937499999998"/>
    <n v="840.98062499999992"/>
    <s v="No"/>
  </r>
  <r>
    <n v="2183"/>
    <n v="259223"/>
    <n v="251931"/>
    <s v="Capitalized"/>
    <s v="2021 Peterbilt ASL Truck - Warranties - COVID 2183-20-0023"/>
    <m/>
    <m/>
    <n v="1"/>
    <m/>
    <n v="0"/>
    <s v="WESTERN PETERBILT LLC"/>
    <m/>
    <s v="TRUCKS AND TRAILERS"/>
    <s v="TBA"/>
    <s v="Non-Rolling Stock"/>
    <m/>
    <m/>
    <d v="2021-05-01T00:00:00"/>
    <d v="2021-05-01T00:00:00"/>
    <s v="2183-21-0004-1"/>
    <n v="1000"/>
    <n v="14040"/>
    <n v="4187.6000000000004"/>
    <n v="14046"/>
    <n v="1256.29"/>
    <n v="0"/>
    <n v="2931.3100000000004"/>
    <n v="139.6"/>
    <n v="51260"/>
    <n v="34.9"/>
    <n v="0"/>
    <n v="34.9"/>
    <s v="P"/>
    <m/>
    <m/>
    <n v="3705"/>
    <x v="16"/>
    <s v="Res/Comm MSW Truck"/>
    <n v="5"/>
    <n v="2021"/>
    <n v="2031"/>
    <n v="2031.4166666666667"/>
    <n v="34.896666666666668"/>
    <n v="418.76"/>
    <n v="418.76"/>
    <n v="837.52000000000044"/>
    <n v="1256.2800000000004"/>
    <n v="2931.3199999999997"/>
    <s v="No"/>
  </r>
  <r>
    <n v="2183"/>
    <n v="259140"/>
    <n v="257730"/>
    <s v="Capitalized"/>
    <s v="New Office Building"/>
    <m/>
    <m/>
    <n v="1"/>
    <m/>
    <n v="0"/>
    <s v="SITTS &amp; HILL ENGINEERS IN"/>
    <m/>
    <s v="BUILDINGS"/>
    <s v="TBA"/>
    <m/>
    <m/>
    <m/>
    <d v="2021-08-31T00:00:00"/>
    <d v="2021-08-31T00:00:00"/>
    <s v="2183-21-0001-1"/>
    <n v="2000"/>
    <n v="14080"/>
    <n v="2893.75"/>
    <n v="14086"/>
    <n v="385.85"/>
    <n v="0"/>
    <n v="2507.9"/>
    <n v="48.24"/>
    <n v="57260"/>
    <n v="12.06"/>
    <n v="0"/>
    <n v="12.06"/>
    <s v="P"/>
    <m/>
    <m/>
    <s v=""/>
    <x v="18"/>
    <s v="Building"/>
    <n v="8"/>
    <n v="2021"/>
    <n v="2041"/>
    <n v="2041.6666666666667"/>
    <n v="12.057291666666666"/>
    <n v="144.6875"/>
    <n v="144.6875"/>
    <n v="253.203125"/>
    <n v="397.890625"/>
    <n v="2495.859375"/>
    <s v="No"/>
  </r>
  <r>
    <n v="2183"/>
    <n v="259121"/>
    <n v="251931"/>
    <s v="Capitalized"/>
    <s v="Truck 3705 Radio"/>
    <m/>
    <m/>
    <n v="1"/>
    <m/>
    <n v="0"/>
    <s v="WHISLER COMMUNICATIONS"/>
    <m/>
    <s v="TRUCKS AND TRAILERS"/>
    <s v="TBA"/>
    <s v="Non-Rolling Stock"/>
    <m/>
    <m/>
    <d v="2021-05-01T00:00:00"/>
    <d v="2021-05-01T00:00:00"/>
    <s v="2183-21-0004-1"/>
    <n v="500"/>
    <n v="14040"/>
    <n v="792.27"/>
    <n v="14046"/>
    <n v="475.34"/>
    <n v="0"/>
    <n v="316.93"/>
    <n v="52.8"/>
    <n v="51260"/>
    <n v="13.2"/>
    <n v="0"/>
    <n v="13.2"/>
    <s v="P"/>
    <m/>
    <m/>
    <n v="3705"/>
    <x v="16"/>
    <s v="Res/Comm MSW Truck"/>
    <n v="5"/>
    <n v="2021"/>
    <n v="2026"/>
    <n v="2026.4166666666667"/>
    <n v="13.204500000000001"/>
    <n v="158.45400000000001"/>
    <n v="158.45400000000001"/>
    <n v="316.90799999999996"/>
    <n v="475.36199999999997"/>
    <n v="316.90800000000002"/>
    <s v="No"/>
  </r>
  <r>
    <n v="2183"/>
    <n v="259120"/>
    <n v="249940"/>
    <s v="Capitalized"/>
    <s v="Truck 3704 Radio"/>
    <m/>
    <m/>
    <n v="1"/>
    <m/>
    <n v="0"/>
    <s v="WHISLER COMMUNICATIONS"/>
    <m/>
    <s v="TRUCKS AND TRAILERS"/>
    <s v="TBA"/>
    <s v="Non-Rolling Stock"/>
    <m/>
    <m/>
    <d v="2021-04-02T00:00:00"/>
    <d v="2021-04-02T00:00:00"/>
    <s v="2183-21-0003-1"/>
    <n v="500"/>
    <n v="14040"/>
    <n v="792.27"/>
    <n v="14046"/>
    <n v="488.54"/>
    <n v="0"/>
    <n v="303.72999999999996"/>
    <n v="52.8"/>
    <n v="51260"/>
    <n v="13.2"/>
    <n v="0"/>
    <n v="13.2"/>
    <s v="P"/>
    <m/>
    <m/>
    <n v="3704"/>
    <x v="16"/>
    <s v="Res/Comm MSW Truck"/>
    <n v="4"/>
    <n v="2021"/>
    <n v="2026"/>
    <n v="2026.3333333333333"/>
    <n v="13.204500000000001"/>
    <n v="158.45400000000001"/>
    <n v="158.45400000000001"/>
    <n v="330.11250000002394"/>
    <n v="488.56650000002395"/>
    <n v="303.70349999997603"/>
    <s v="No"/>
  </r>
  <r>
    <n v="2183"/>
    <n v="258547"/>
    <n v="251931"/>
    <s v="Capitalized"/>
    <s v="Truck 3705 License"/>
    <m/>
    <m/>
    <n v="1"/>
    <m/>
    <n v="0"/>
    <m/>
    <m/>
    <s v="TRUCKS AND TRAILERS"/>
    <s v="TBA"/>
    <s v="Non-Rolling Stock"/>
    <m/>
    <m/>
    <d v="2021-05-01T00:00:00"/>
    <d v="2021-05-01T00:00:00"/>
    <s v="2183-21-0004"/>
    <n v="1000"/>
    <n v="14040"/>
    <n v="471.74"/>
    <n v="14046"/>
    <n v="141.51"/>
    <n v="0"/>
    <n v="330.23"/>
    <n v="15.72"/>
    <n v="51260"/>
    <n v="3.93"/>
    <n v="0"/>
    <n v="3.93"/>
    <s v="P"/>
    <m/>
    <m/>
    <n v="3705"/>
    <x v="16"/>
    <s v="Res/Comm MSW Truck"/>
    <n v="5"/>
    <n v="2021"/>
    <n v="2031"/>
    <n v="2031.4166666666667"/>
    <n v="3.9311666666666665"/>
    <n v="47.173999999999999"/>
    <n v="47.173999999999999"/>
    <n v="94.348000000000013"/>
    <n v="141.52200000000002"/>
    <n v="330.21799999999996"/>
    <s v="No"/>
  </r>
  <r>
    <n v="2183"/>
    <n v="257735"/>
    <s v="P"/>
    <s v="Capitalized"/>
    <s v="New Pacific Office building"/>
    <m/>
    <m/>
    <n v="1"/>
    <m/>
    <n v="0"/>
    <m/>
    <m/>
    <s v="BUILDINGS"/>
    <s v="TBA"/>
    <m/>
    <m/>
    <m/>
    <d v="2021-08-31T00:00:00"/>
    <d v="2021-08-31T00:00:00"/>
    <s v="2183-19-0001"/>
    <n v="2000"/>
    <n v="14080"/>
    <n v="82386.27"/>
    <n v="14086"/>
    <n v="10984.85"/>
    <n v="0"/>
    <n v="71401.42"/>
    <n v="1373.12"/>
    <n v="57260"/>
    <n v="343.28"/>
    <n v="0"/>
    <n v="343.28"/>
    <s v="P"/>
    <m/>
    <m/>
    <s v=""/>
    <x v="18"/>
    <s v="Building"/>
    <n v="8"/>
    <n v="2021"/>
    <n v="2041"/>
    <n v="2041.6666666666667"/>
    <n v="343.27612500000004"/>
    <n v="4119.3135000000002"/>
    <n v="4119.3135000000002"/>
    <n v="7208.7986249999958"/>
    <n v="11328.112124999996"/>
    <n v="71058.157875000004"/>
    <s v="No"/>
  </r>
  <r>
    <n v="2183"/>
    <n v="257734"/>
    <s v="P"/>
    <s v="Capitalized"/>
    <s v="New Pacific Office Building"/>
    <m/>
    <m/>
    <n v="1"/>
    <m/>
    <n v="0"/>
    <m/>
    <m/>
    <s v="BUILDINGS"/>
    <s v="TBA"/>
    <m/>
    <m/>
    <m/>
    <d v="2021-08-31T00:00:00"/>
    <d v="2021-08-31T00:00:00"/>
    <s v="2183-18-0016"/>
    <n v="2000"/>
    <n v="14080"/>
    <n v="72541.67"/>
    <n v="14086"/>
    <n v="9672.23"/>
    <n v="0"/>
    <n v="62869.440000000002"/>
    <n v="1209.04"/>
    <n v="57260"/>
    <n v="302.26"/>
    <n v="0"/>
    <n v="302.26"/>
    <s v="P"/>
    <m/>
    <m/>
    <s v=""/>
    <x v="18"/>
    <s v="Building"/>
    <n v="8"/>
    <n v="2021"/>
    <n v="2041"/>
    <n v="2041.6666666666667"/>
    <n v="302.25695833333333"/>
    <n v="3627.0834999999997"/>
    <n v="3627.0834999999997"/>
    <n v="6347.3961249999993"/>
    <n v="9974.4796249999999"/>
    <n v="62567.190374999998"/>
    <s v="No"/>
  </r>
  <r>
    <n v="2183"/>
    <n v="257733"/>
    <s v="P"/>
    <s v="Capitalized"/>
    <s v="New Office Building"/>
    <m/>
    <m/>
    <n v="1"/>
    <m/>
    <n v="0"/>
    <m/>
    <m/>
    <s v="BUILDINGS"/>
    <s v="TBA"/>
    <m/>
    <m/>
    <m/>
    <d v="2021-08-31T00:00:00"/>
    <d v="2021-08-31T00:00:00"/>
    <s v="2183-17-0001"/>
    <n v="2000"/>
    <n v="14080"/>
    <n v="20782.810000000001"/>
    <n v="14086"/>
    <n v="2771.06"/>
    <n v="0"/>
    <n v="18011.75"/>
    <n v="346.4"/>
    <n v="57260"/>
    <n v="86.6"/>
    <n v="0"/>
    <n v="86.6"/>
    <s v="P"/>
    <m/>
    <m/>
    <s v=""/>
    <x v="18"/>
    <s v="Building"/>
    <n v="8"/>
    <n v="2021"/>
    <n v="2041"/>
    <n v="2041.6666666666667"/>
    <n v="86.59504166666666"/>
    <n v="1039.1405"/>
    <n v="1039.1405"/>
    <n v="1818.4958750000042"/>
    <n v="2857.6363750000041"/>
    <n v="17925.173624999996"/>
    <s v="No"/>
  </r>
  <r>
    <n v="2183"/>
    <n v="257732"/>
    <s v="P"/>
    <s v="Capitalized"/>
    <s v="New Office Permitting"/>
    <m/>
    <m/>
    <n v="1"/>
    <m/>
    <n v="0"/>
    <m/>
    <m/>
    <s v="BUILDINGS"/>
    <s v="TBA"/>
    <m/>
    <m/>
    <m/>
    <d v="2021-08-31T00:00:00"/>
    <d v="2021-08-31T00:00:00"/>
    <s v="2183-16-0023"/>
    <n v="2000"/>
    <n v="14080"/>
    <n v="43504.53"/>
    <n v="14086"/>
    <n v="5800.62"/>
    <n v="0"/>
    <n v="37703.909999999996"/>
    <n v="725.08"/>
    <n v="57260"/>
    <n v="181.27"/>
    <n v="0"/>
    <n v="181.27"/>
    <s v="P"/>
    <m/>
    <m/>
    <s v=""/>
    <x v="18"/>
    <s v="Building"/>
    <n v="8"/>
    <n v="2021"/>
    <n v="2041"/>
    <n v="2041.6666666666667"/>
    <n v="181.26887499999998"/>
    <n v="2175.2264999999998"/>
    <n v="2175.2264999999998"/>
    <n v="3806.6463750000039"/>
    <n v="5981.8728750000037"/>
    <n v="37522.657124999998"/>
    <s v="No"/>
  </r>
  <r>
    <n v="2183"/>
    <n v="257731"/>
    <s v="P"/>
    <s v="Capitalized"/>
    <s v="New Office Building"/>
    <m/>
    <m/>
    <n v="1"/>
    <m/>
    <n v="0"/>
    <m/>
    <m/>
    <s v="BUILDINGS"/>
    <s v="TBA"/>
    <m/>
    <m/>
    <m/>
    <d v="2021-08-31T00:00:00"/>
    <d v="2021-08-31T00:00:00"/>
    <s v="2183-20-0019"/>
    <n v="2000"/>
    <n v="14080"/>
    <n v="612645.63"/>
    <n v="14086"/>
    <n v="81686.080000000002"/>
    <n v="0"/>
    <n v="530959.55000000005"/>
    <n v="10210.76"/>
    <n v="57260"/>
    <n v="2552.69"/>
    <n v="0"/>
    <n v="2552.69"/>
    <s v="P"/>
    <m/>
    <m/>
    <s v=""/>
    <x v="18"/>
    <s v="Building"/>
    <n v="8"/>
    <n v="2021"/>
    <n v="2041"/>
    <n v="2041.6666666666667"/>
    <n v="2552.6901250000001"/>
    <n v="30632.281500000001"/>
    <n v="30632.281500000001"/>
    <n v="53606.492624999955"/>
    <n v="84238.774124999953"/>
    <n v="528406.85587500001"/>
    <s v="No"/>
  </r>
  <r>
    <n v="2183"/>
    <n v="257730"/>
    <s v="P"/>
    <s v="Capitalized"/>
    <s v="New Office Building"/>
    <m/>
    <m/>
    <n v="1"/>
    <m/>
    <n v="0"/>
    <m/>
    <m/>
    <s v="BUILDINGS"/>
    <s v="TBA"/>
    <m/>
    <m/>
    <m/>
    <d v="2021-08-31T00:00:00"/>
    <d v="2021-08-31T00:00:00"/>
    <s v="2183-21-0001"/>
    <n v="2000"/>
    <n v="14080"/>
    <n v="2795091.88"/>
    <n v="14086"/>
    <n v="372678.93"/>
    <n v="0"/>
    <n v="2422412.9499999997"/>
    <n v="46584.88"/>
    <n v="57260"/>
    <n v="11646.22"/>
    <n v="0"/>
    <n v="11646.22"/>
    <s v="P"/>
    <m/>
    <m/>
    <s v=""/>
    <x v="18"/>
    <s v="Building"/>
    <n v="8"/>
    <n v="2021"/>
    <n v="2041"/>
    <n v="2041.6666666666667"/>
    <n v="11646.216166666665"/>
    <n v="139754.59399999998"/>
    <n v="139754.59399999998"/>
    <n v="244570.53950000042"/>
    <n v="384325.1335000004"/>
    <n v="2410766.7464999994"/>
    <s v="No"/>
  </r>
  <r>
    <n v="2183"/>
    <n v="257146"/>
    <s v="P"/>
    <s v="Capitalized"/>
    <s v="1 Yard REL Containers"/>
    <m/>
    <m/>
    <n v="7"/>
    <m/>
    <n v="0"/>
    <m/>
    <m/>
    <s v="CONTAINERS"/>
    <s v="TBA"/>
    <m/>
    <s v="1 YD"/>
    <s v="FEL/REL/SL Metal"/>
    <d v="2001-11-01T00:00:00"/>
    <d v="2001-11-01T00:00:00"/>
    <m/>
    <n v="600"/>
    <n v="14050"/>
    <n v="139.56"/>
    <n v="14056"/>
    <n v="139.56"/>
    <n v="0"/>
    <n v="0"/>
    <n v="0"/>
    <n v="54260"/>
    <n v="0"/>
    <n v="0"/>
    <n v="0"/>
    <s v="A"/>
    <s v="Island"/>
    <s v="NA"/>
    <s v=""/>
    <x v="19"/>
    <s v="Old"/>
    <n v="11"/>
    <n v="2001"/>
    <n v="2007"/>
    <n v="2007.9166666666667"/>
    <n v="1.9383333333333335"/>
    <n v="23.26"/>
    <n v="0"/>
    <n v="139.56"/>
    <n v="139.56"/>
    <n v="0"/>
    <s v="No"/>
  </r>
  <r>
    <n v="2183"/>
    <n v="257142"/>
    <s v="P"/>
    <s v="Capitalized"/>
    <s v="1.5 Yard Commercial Containers"/>
    <m/>
    <m/>
    <n v="32"/>
    <m/>
    <n v="0"/>
    <m/>
    <m/>
    <s v="CONTAINERS"/>
    <s v="TBA"/>
    <m/>
    <s v="1.5 YD"/>
    <s v="FEL/REL/SL Metal"/>
    <d v="2008-11-03T00:00:00"/>
    <d v="2008-11-03T00:00:00"/>
    <m/>
    <n v="1200"/>
    <n v="14050"/>
    <n v="3760"/>
    <n v="14056"/>
    <n v="3760"/>
    <n v="0"/>
    <n v="0"/>
    <n v="0"/>
    <n v="54260"/>
    <n v="0"/>
    <n v="0"/>
    <n v="0"/>
    <s v="A"/>
    <s v="LeMay Enterprises"/>
    <s v="NA"/>
    <s v=""/>
    <x v="19"/>
    <s v="Old"/>
    <n v="11"/>
    <n v="2008"/>
    <n v="2020"/>
    <n v="2020.9166666666667"/>
    <n v="26.111111111111111"/>
    <n v="313.33333333333331"/>
    <n v="0"/>
    <n v="3760"/>
    <n v="3760"/>
    <n v="0"/>
    <s v="No"/>
  </r>
  <r>
    <n v="2183"/>
    <n v="257141"/>
    <s v="P"/>
    <s v="Capitalized"/>
    <s v="3 Yard Commercial Containers"/>
    <m/>
    <m/>
    <n v="2"/>
    <m/>
    <n v="0"/>
    <m/>
    <m/>
    <s v="CONTAINERS"/>
    <s v="TBA"/>
    <m/>
    <s v="3 YD"/>
    <s v="FEL/REL/SL Metal"/>
    <d v="2008-11-03T00:00:00"/>
    <d v="2008-11-03T00:00:00"/>
    <m/>
    <n v="1200"/>
    <n v="14050"/>
    <n v="370"/>
    <n v="14056"/>
    <n v="370"/>
    <n v="0"/>
    <n v="0"/>
    <n v="0"/>
    <n v="54260"/>
    <n v="0"/>
    <n v="0"/>
    <n v="0"/>
    <s v="A"/>
    <s v="LeMay Enterprises"/>
    <s v="NA"/>
    <s v=""/>
    <x v="19"/>
    <s v="Old"/>
    <n v="11"/>
    <n v="2008"/>
    <n v="2020"/>
    <n v="2020.9166666666667"/>
    <n v="2.5694444444444442"/>
    <n v="30.833333333333329"/>
    <n v="0"/>
    <n v="370"/>
    <n v="370"/>
    <n v="0"/>
    <s v="No"/>
  </r>
  <r>
    <n v="2183"/>
    <n v="257139"/>
    <s v="P"/>
    <s v="Capitalized"/>
    <s v="30YD Containers"/>
    <m/>
    <m/>
    <n v="5"/>
    <m/>
    <n v="0"/>
    <m/>
    <m/>
    <s v="CONTAINERS"/>
    <s v="TBA"/>
    <m/>
    <s v="30 YD"/>
    <s v="RO Box"/>
    <d v="2008-11-03T00:00:00"/>
    <d v="2008-11-03T00:00:00"/>
    <m/>
    <n v="700"/>
    <n v="14050"/>
    <n v="701.55"/>
    <n v="14056"/>
    <n v="701.55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8.3517857142857128"/>
    <n v="100.22142857142856"/>
    <n v="0"/>
    <n v="701.55"/>
    <n v="701.55"/>
    <n v="0"/>
    <s v="No"/>
  </r>
  <r>
    <n v="2183"/>
    <n v="256603"/>
    <s v="P"/>
    <s v="Capitalized"/>
    <s v="1 Yard Commercial Containers"/>
    <m/>
    <m/>
    <n v="28"/>
    <m/>
    <n v="0"/>
    <m/>
    <m/>
    <s v="CONTAINERS"/>
    <s v="TBA"/>
    <m/>
    <s v="1 YD"/>
    <s v="FEL/REL/SL Metal"/>
    <d v="2008-11-03T00:00:00"/>
    <d v="2008-11-03T00:00:00"/>
    <m/>
    <n v="1200"/>
    <n v="14050"/>
    <n v="2660"/>
    <n v="14056"/>
    <n v="2660"/>
    <n v="0"/>
    <n v="0"/>
    <n v="0"/>
    <n v="54260"/>
    <n v="0"/>
    <n v="0"/>
    <n v="0"/>
    <s v="A"/>
    <s v="LeMay Enterprises"/>
    <s v="NA"/>
    <s v=""/>
    <x v="19"/>
    <s v="Old"/>
    <n v="11"/>
    <n v="2008"/>
    <n v="2020"/>
    <n v="2020.9166666666667"/>
    <n v="18.472222222222221"/>
    <n v="221.66666666666666"/>
    <n v="0"/>
    <n v="2660"/>
    <n v="2660"/>
    <n v="0"/>
    <s v="No"/>
  </r>
  <r>
    <n v="2183"/>
    <n v="255878"/>
    <s v="P"/>
    <s v="Capitalized"/>
    <s v="95 Gallon Plastic Refuse Totes"/>
    <m/>
    <m/>
    <n v="702"/>
    <m/>
    <n v="0"/>
    <s v="REHRIG PACIFIC COMPANY IN"/>
    <m/>
    <s v="CONTAINERS"/>
    <s v="TBA"/>
    <m/>
    <m/>
    <m/>
    <d v="2021-07-12T00:00:00"/>
    <d v="2021-07-12T00:00:00"/>
    <s v="2183-21-0015-1"/>
    <n v="700"/>
    <n v="14050"/>
    <n v="40388.49"/>
    <n v="14056"/>
    <n v="16347.75"/>
    <n v="0"/>
    <n v="24040.739999999998"/>
    <n v="1923.28"/>
    <n v="54260"/>
    <n v="480.82"/>
    <n v="0"/>
    <n v="480.82"/>
    <s v="P"/>
    <m/>
    <m/>
    <s v=""/>
    <x v="14"/>
    <s v="MSW Carts"/>
    <n v="7"/>
    <n v="2021"/>
    <n v="2028"/>
    <n v="2028.5833333333333"/>
    <n v="480.81535714285707"/>
    <n v="5769.784285714285"/>
    <n v="5769.784285714285"/>
    <n v="10577.937857143734"/>
    <n v="16347.72214285802"/>
    <n v="24040.767857141978"/>
    <s v="No"/>
  </r>
  <r>
    <n v="2183"/>
    <n v="255410"/>
    <s v="P"/>
    <s v="Capitalized"/>
    <s v="2022 Peterbilt ASL Truck"/>
    <m/>
    <m/>
    <n v="1"/>
    <s v="3BPDLK0X8NF111051"/>
    <n v="2022"/>
    <s v="Peterbilt"/>
    <s v="Labrie"/>
    <s v="TRUCKS AND TRAILERS"/>
    <s v="TBA"/>
    <s v="Automated Side Loader"/>
    <m/>
    <m/>
    <d v="2021-07-20T00:00:00"/>
    <d v="2021-07-20T00:00:00"/>
    <s v="2183-21-0006"/>
    <n v="1000"/>
    <n v="14040"/>
    <n v="369905.83"/>
    <n v="14046"/>
    <n v="101724.1"/>
    <n v="0"/>
    <n v="268181.73"/>
    <n v="12330.2"/>
    <n v="51260"/>
    <n v="3082.55"/>
    <n v="0"/>
    <n v="3082.55"/>
    <s v="P"/>
    <m/>
    <n v="3718"/>
    <n v="3718"/>
    <x v="16"/>
    <s v="Res/Comm MSW Truck"/>
    <n v="7"/>
    <n v="2021"/>
    <n v="2031"/>
    <n v="2031.5833333333333"/>
    <n v="3082.5485833333332"/>
    <n v="36990.582999999999"/>
    <n v="36990.582999999999"/>
    <n v="67816.06883333897"/>
    <n v="104806.65183333897"/>
    <n v="265099.17816666106"/>
    <s v="No"/>
  </r>
  <r>
    <n v="2183"/>
    <n v="255160"/>
    <s v="P"/>
    <s v="Capitalized"/>
    <s v="95 Gallon Plastic YardwasteTotes"/>
    <m/>
    <m/>
    <n v="702"/>
    <m/>
    <n v="0"/>
    <s v="REHRIG PACIFIC COMPANY IN"/>
    <m/>
    <s v="CONTAINERS"/>
    <s v="TBA"/>
    <m/>
    <m/>
    <m/>
    <d v="2021-07-09T00:00:00"/>
    <d v="2021-07-09T00:00:00"/>
    <s v="2183-21-0015-1"/>
    <n v="700"/>
    <n v="14050"/>
    <n v="40388.49"/>
    <n v="14056"/>
    <n v="16347.75"/>
    <n v="0"/>
    <n v="24040.739999999998"/>
    <n v="1923.28"/>
    <n v="54260"/>
    <n v="480.82"/>
    <n v="0"/>
    <n v="480.82"/>
    <s v="P"/>
    <m/>
    <m/>
    <s v=""/>
    <x v="4"/>
    <s v="YW Carts"/>
    <n v="7"/>
    <n v="2021"/>
    <n v="2028"/>
    <n v="2028.5833333333333"/>
    <n v="480.81535714285707"/>
    <n v="5769.784285714285"/>
    <n v="5769.784285714285"/>
    <n v="10577.937857143734"/>
    <n v="16347.72214285802"/>
    <n v="24040.767857141978"/>
    <s v="No"/>
  </r>
  <r>
    <n v="2183"/>
    <n v="254292"/>
    <s v="P"/>
    <s v="Capitalized"/>
    <s v="2YD Metal REL Container"/>
    <m/>
    <m/>
    <n v="25"/>
    <m/>
    <n v="0"/>
    <s v="CAPITAL INDUSTRIES INC"/>
    <m/>
    <s v="CONTAINERS"/>
    <s v="TBA"/>
    <m/>
    <s v="2 YD"/>
    <s v="FEL/REL/SL Metal"/>
    <d v="2021-06-10T00:00:00"/>
    <d v="2021-06-10T00:00:00"/>
    <s v="2183-21-0013-1"/>
    <n v="1200"/>
    <n v="14050"/>
    <n v="17777.5"/>
    <n v="14056"/>
    <n v="4320.8999999999996"/>
    <n v="0"/>
    <n v="13456.6"/>
    <n v="493.8"/>
    <n v="54260"/>
    <n v="123.45"/>
    <n v="0"/>
    <n v="123.45"/>
    <s v="P"/>
    <m/>
    <m/>
    <s v=""/>
    <x v="17"/>
    <s v="MSW/Recycle Containers"/>
    <n v="6"/>
    <n v="2021"/>
    <n v="2033"/>
    <n v="2033.5"/>
    <n v="123.4548611111111"/>
    <n v="1481.4583333333333"/>
    <n v="1481.4583333333333"/>
    <n v="2839.4618055556693"/>
    <n v="4320.9201388890024"/>
    <n v="13456.579861110997"/>
    <s v="No"/>
  </r>
  <r>
    <n v="2183"/>
    <n v="254291"/>
    <s v="P"/>
    <s v="Capitalized"/>
    <s v="1 Yd Metal REL Containers"/>
    <m/>
    <m/>
    <n v="1"/>
    <m/>
    <n v="0"/>
    <s v="CAPITAL INDUSTRIES INC"/>
    <m/>
    <s v="CONTAINERS"/>
    <s v="TBA"/>
    <m/>
    <s v="1 YD"/>
    <s v="FEL/REL/SL Metal"/>
    <d v="2021-06-10T00:00:00"/>
    <d v="2021-06-10T00:00:00"/>
    <s v="2183-21-0013-1"/>
    <n v="1200"/>
    <n v="14050"/>
    <n v="667.34"/>
    <n v="14056"/>
    <n v="162.18"/>
    <n v="0"/>
    <n v="505.16"/>
    <n v="18.52"/>
    <n v="54260"/>
    <n v="4.63"/>
    <n v="0"/>
    <n v="4.63"/>
    <s v="P"/>
    <m/>
    <m/>
    <s v=""/>
    <x v="17"/>
    <s v="MSW/Recycle Containers"/>
    <n v="6"/>
    <n v="2021"/>
    <n v="2033"/>
    <n v="2033.5"/>
    <n v="4.6343055555555557"/>
    <n v="55.611666666666665"/>
    <n v="55.611666666666665"/>
    <n v="106.58902777778201"/>
    <n v="162.20069444444869"/>
    <n v="505.13930555555135"/>
    <s v="No"/>
  </r>
  <r>
    <n v="2183"/>
    <n v="254290"/>
    <s v="P"/>
    <s v="Capitalized"/>
    <s v="1 Yd Metal REL Containers"/>
    <m/>
    <m/>
    <n v="24"/>
    <m/>
    <n v="0"/>
    <s v="CAPITAL INDUSTRIES INC"/>
    <m/>
    <s v="CONTAINERS"/>
    <s v="TBA"/>
    <m/>
    <s v="1 YD"/>
    <s v="FEL/REL/SL Metal"/>
    <d v="2021-06-07T00:00:00"/>
    <d v="2021-06-07T00:00:00"/>
    <s v="2183-21-0013-1"/>
    <n v="1200"/>
    <n v="14050"/>
    <n v="16016.16"/>
    <n v="14056"/>
    <n v="3892.8"/>
    <n v="0"/>
    <n v="12123.36"/>
    <n v="444.88"/>
    <n v="54260"/>
    <n v="111.22"/>
    <n v="0"/>
    <n v="111.22"/>
    <s v="P"/>
    <m/>
    <m/>
    <s v=""/>
    <x v="17"/>
    <s v="MSW/Recycle Containers"/>
    <n v="6"/>
    <n v="2021"/>
    <n v="2033"/>
    <n v="2033.5"/>
    <n v="111.22333333333334"/>
    <n v="1334.68"/>
    <n v="1334.68"/>
    <n v="2558.1366666667673"/>
    <n v="3892.8166666667676"/>
    <n v="12123.343333333232"/>
    <s v="No"/>
  </r>
  <r>
    <n v="2183"/>
    <n v="254289"/>
    <s v="P"/>
    <s v="Capitalized"/>
    <s v="1.5 Yd Metal REL Containers"/>
    <m/>
    <m/>
    <n v="20"/>
    <m/>
    <n v="0"/>
    <s v="CAPITAL INDUSTRIES INC"/>
    <m/>
    <s v="CONTAINERS"/>
    <s v="TBA"/>
    <m/>
    <s v="1.5 YD"/>
    <s v="FEL/REL/SL Metal"/>
    <d v="2021-06-10T00:00:00"/>
    <d v="2021-06-10T00:00:00"/>
    <s v="2183-21-0013-1"/>
    <n v="1200"/>
    <n v="14050"/>
    <n v="13675"/>
    <n v="14056"/>
    <n v="3323.8"/>
    <n v="0"/>
    <n v="10351.200000000001"/>
    <n v="379.88"/>
    <n v="54260"/>
    <n v="94.97"/>
    <n v="0"/>
    <n v="94.97"/>
    <s v="P"/>
    <m/>
    <m/>
    <s v=""/>
    <x v="17"/>
    <s v="MSW/Recycle Containers"/>
    <n v="6"/>
    <n v="2021"/>
    <n v="2033"/>
    <n v="2033.5"/>
    <n v="94.965277777777771"/>
    <n v="1139.5833333333333"/>
    <n v="1139.5833333333333"/>
    <n v="2184.201388888976"/>
    <n v="3323.784722222309"/>
    <n v="10351.21527777769"/>
    <s v="No"/>
  </r>
  <r>
    <n v="2183"/>
    <n v="253972"/>
    <n v="249940"/>
    <s v="Capitalized"/>
    <s v="Decals &amp; License"/>
    <m/>
    <m/>
    <n v="1"/>
    <m/>
    <n v="2021"/>
    <m/>
    <m/>
    <s v="TRUCKS AND TRAILERS"/>
    <s v="TBA"/>
    <s v="Non-Rolling Stock"/>
    <m/>
    <m/>
    <d v="2021-04-02T00:00:00"/>
    <d v="2021-04-02T00:00:00"/>
    <s v="2183-21-0003"/>
    <n v="1000"/>
    <n v="14040"/>
    <n v="1595.85"/>
    <n v="14046"/>
    <n v="492.07"/>
    <n v="0"/>
    <n v="1103.78"/>
    <n v="53.2"/>
    <n v="51260"/>
    <n v="13.3"/>
    <n v="0"/>
    <n v="13.3"/>
    <s v="P"/>
    <m/>
    <m/>
    <n v="3704"/>
    <x v="16"/>
    <s v="Res/Comm MSW Truck"/>
    <n v="4"/>
    <n v="2021"/>
    <n v="2031"/>
    <n v="2031.3333333333333"/>
    <n v="13.298749999999998"/>
    <n v="159.58499999999998"/>
    <n v="159.58499999999998"/>
    <n v="332.46875000002433"/>
    <n v="492.05375000002431"/>
    <n v="1103.7962499999755"/>
    <s v="No"/>
  </r>
  <r>
    <n v="2183"/>
    <n v="253467"/>
    <s v="P"/>
    <s v="Capitalized"/>
    <s v="5 YD Container"/>
    <m/>
    <m/>
    <n v="258"/>
    <m/>
    <n v="0"/>
    <m/>
    <m/>
    <s v="CONTAINERS"/>
    <s v="TBA"/>
    <m/>
    <m/>
    <m/>
    <d v="2008-11-03T00:00:00"/>
    <d v="2008-11-03T00:00:00"/>
    <m/>
    <n v="700"/>
    <n v="14050"/>
    <n v="25800"/>
    <n v="14056"/>
    <n v="258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307.14285714285717"/>
    <n v="3685.7142857142862"/>
    <n v="0"/>
    <n v="25800"/>
    <n v="25800"/>
    <n v="0"/>
    <s v="No"/>
  </r>
  <r>
    <n v="2183"/>
    <n v="253466"/>
    <s v="P"/>
    <s v="Capitalized"/>
    <s v="4 YD Container"/>
    <m/>
    <m/>
    <n v="97"/>
    <m/>
    <n v="0"/>
    <m/>
    <m/>
    <s v="CONTAINERS"/>
    <s v="TBA"/>
    <m/>
    <m/>
    <m/>
    <d v="2008-11-03T00:00:00"/>
    <d v="2008-11-03T00:00:00"/>
    <m/>
    <n v="700"/>
    <n v="14050"/>
    <n v="9700"/>
    <n v="14056"/>
    <n v="97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115.47619047619048"/>
    <n v="1385.7142857142858"/>
    <n v="0"/>
    <n v="9700"/>
    <n v="9700"/>
    <n v="0"/>
    <s v="No"/>
  </r>
  <r>
    <n v="2183"/>
    <n v="253465"/>
    <s v="P"/>
    <s v="Capitalized"/>
    <s v="3 YD Container"/>
    <m/>
    <m/>
    <n v="164"/>
    <m/>
    <n v="0"/>
    <m/>
    <m/>
    <s v="CONTAINERS"/>
    <s v="TBA"/>
    <m/>
    <m/>
    <m/>
    <d v="2008-11-03T00:00:00"/>
    <d v="2008-11-03T00:00:00"/>
    <m/>
    <n v="700"/>
    <n v="14050"/>
    <n v="16400"/>
    <n v="14056"/>
    <n v="164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195.23809523809521"/>
    <n v="2342.8571428571427"/>
    <n v="0"/>
    <n v="16400"/>
    <n v="16400"/>
    <n v="0"/>
    <s v="No"/>
  </r>
  <r>
    <n v="2183"/>
    <n v="253464"/>
    <s v="P"/>
    <s v="Capitalized"/>
    <s v="22 YD Storage Containers"/>
    <m/>
    <m/>
    <n v="5"/>
    <m/>
    <n v="0"/>
    <m/>
    <m/>
    <s v="CONTAINERS"/>
    <s v="TBA"/>
    <m/>
    <m/>
    <m/>
    <d v="2008-11-03T00:00:00"/>
    <d v="2008-11-03T00:00:00"/>
    <m/>
    <n v="700"/>
    <n v="14050"/>
    <n v="500"/>
    <n v="14056"/>
    <n v="5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5.9523809523809526"/>
    <n v="71.428571428571431"/>
    <n v="0"/>
    <n v="500"/>
    <n v="500"/>
    <n v="0"/>
    <s v="No"/>
  </r>
  <r>
    <n v="2183"/>
    <n v="253463"/>
    <s v="P"/>
    <s v="Capitalized"/>
    <s v="2 YD Container"/>
    <m/>
    <m/>
    <n v="680"/>
    <m/>
    <n v="0"/>
    <m/>
    <m/>
    <s v="CONTAINERS"/>
    <s v="TBA"/>
    <m/>
    <m/>
    <m/>
    <d v="2008-11-03T00:00:00"/>
    <d v="2008-11-03T00:00:00"/>
    <m/>
    <n v="700"/>
    <n v="14050"/>
    <n v="68000"/>
    <n v="14056"/>
    <n v="680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809.52380952380952"/>
    <n v="9714.2857142857138"/>
    <n v="0"/>
    <n v="68000"/>
    <n v="68000"/>
    <n v="0"/>
    <s v="No"/>
  </r>
  <r>
    <n v="2183"/>
    <n v="253461"/>
    <s v="P"/>
    <s v="Capitalized"/>
    <s v="1.5 YD Container"/>
    <m/>
    <m/>
    <n v="121"/>
    <m/>
    <n v="0"/>
    <m/>
    <m/>
    <s v="CONTAINERS"/>
    <s v="TBA"/>
    <m/>
    <m/>
    <m/>
    <d v="2008-11-03T00:00:00"/>
    <d v="2008-11-03T00:00:00"/>
    <m/>
    <n v="700"/>
    <n v="14050"/>
    <n v="12100"/>
    <n v="14056"/>
    <n v="121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144.04761904761907"/>
    <n v="1728.5714285714289"/>
    <n v="0"/>
    <n v="12100"/>
    <n v="12100"/>
    <n v="0"/>
    <s v="No"/>
  </r>
  <r>
    <n v="2183"/>
    <n v="253460"/>
    <s v="P"/>
    <s v="Capitalized"/>
    <s v="1 YD Container"/>
    <m/>
    <m/>
    <n v="428"/>
    <m/>
    <n v="0"/>
    <m/>
    <m/>
    <s v="CONTAINERS"/>
    <s v="TBA"/>
    <m/>
    <m/>
    <m/>
    <d v="2008-11-03T00:00:00"/>
    <d v="2008-11-03T00:00:00"/>
    <m/>
    <n v="700"/>
    <n v="14050"/>
    <n v="42800"/>
    <n v="14056"/>
    <n v="42800"/>
    <n v="0"/>
    <n v="0"/>
    <n v="0"/>
    <n v="54260"/>
    <n v="0"/>
    <n v="0"/>
    <n v="0"/>
    <s v="A"/>
    <s v="LeMay Enterprises"/>
    <s v="NA"/>
    <s v=""/>
    <x v="19"/>
    <s v="Old"/>
    <n v="11"/>
    <n v="2008"/>
    <n v="2015"/>
    <n v="2015.9166666666667"/>
    <n v="509.52380952380958"/>
    <n v="6114.2857142857147"/>
    <n v="0"/>
    <n v="42800"/>
    <n v="42800"/>
    <n v="0"/>
    <s v="No"/>
  </r>
  <r>
    <n v="2183"/>
    <n v="253161"/>
    <s v="P"/>
    <s v="Capitalized"/>
    <s v="95 Gallon Recycle Totes"/>
    <m/>
    <m/>
    <n v="702"/>
    <m/>
    <n v="0"/>
    <s v="REHRIG PACIFIC COMPANY IN"/>
    <m/>
    <s v="CONTAINERS"/>
    <s v="TBA"/>
    <m/>
    <m/>
    <m/>
    <d v="2021-06-07T00:00:00"/>
    <d v="2021-06-07T00:00:00"/>
    <s v="2183-21-0012-1"/>
    <n v="700"/>
    <n v="14050"/>
    <n v="42116.46"/>
    <n v="14056"/>
    <n v="17548.55"/>
    <n v="0"/>
    <n v="24567.91"/>
    <n v="2005.56"/>
    <n v="54260"/>
    <n v="501.39"/>
    <n v="0"/>
    <n v="501.39"/>
    <s v="P"/>
    <m/>
    <m/>
    <s v=""/>
    <x v="5"/>
    <s v="Recycling Carts"/>
    <n v="6"/>
    <n v="2021"/>
    <n v="2028"/>
    <n v="2028.5"/>
    <n v="501.38642857142855"/>
    <n v="6016.6371428571429"/>
    <n v="6016.6371428571429"/>
    <n v="11531.887857143312"/>
    <n v="17548.525000000456"/>
    <n v="24567.934999999543"/>
    <s v="No"/>
  </r>
  <r>
    <n v="2183"/>
    <n v="253110"/>
    <n v="251931"/>
    <s v="Capitalized"/>
    <s v="Resi Truck 3705 Decals"/>
    <m/>
    <m/>
    <n v="1"/>
    <m/>
    <n v="2021"/>
    <m/>
    <m/>
    <s v="TRUCKS AND TRAILERS"/>
    <s v="TBA"/>
    <s v="Non-Rolling Stock"/>
    <m/>
    <m/>
    <d v="2021-05-01T00:00:00"/>
    <d v="2021-05-01T00:00:00"/>
    <s v="2183-21-0004"/>
    <n v="1000"/>
    <n v="14040"/>
    <n v="869.73"/>
    <n v="14046"/>
    <n v="260.92"/>
    <n v="0"/>
    <n v="608.80999999999995"/>
    <n v="29"/>
    <n v="51260"/>
    <n v="7.25"/>
    <n v="0"/>
    <n v="7.25"/>
    <s v="P"/>
    <m/>
    <m/>
    <n v="3705"/>
    <x v="16"/>
    <s v="Res/Comm MSW Truck"/>
    <n v="5"/>
    <n v="2021"/>
    <n v="2031"/>
    <n v="2031.4166666666667"/>
    <n v="7.2477499999999999"/>
    <n v="86.972999999999999"/>
    <n v="86.972999999999999"/>
    <n v="173.94600000000003"/>
    <n v="260.91900000000004"/>
    <n v="608.81099999999992"/>
    <s v="No"/>
  </r>
  <r>
    <n v="2183"/>
    <n v="252620"/>
    <s v="P"/>
    <s v="Capitalized"/>
    <s v="65 Gallon Refuse Totes"/>
    <m/>
    <m/>
    <n v="936"/>
    <m/>
    <n v="0"/>
    <s v="REHRIG PACIFIC COMPANY IN"/>
    <m/>
    <s v="CONTAINERS"/>
    <s v="TBA"/>
    <m/>
    <m/>
    <m/>
    <d v="2021-05-17T00:00:00"/>
    <d v="2021-05-17T00:00:00"/>
    <s v="2183-21-0012-1"/>
    <n v="700"/>
    <n v="14050"/>
    <n v="50349.29"/>
    <n v="14056"/>
    <n v="20978.9"/>
    <n v="0"/>
    <n v="29370.39"/>
    <n v="2397.6"/>
    <n v="54260"/>
    <n v="599.4"/>
    <n v="0"/>
    <n v="599.4"/>
    <s v="P"/>
    <m/>
    <m/>
    <s v=""/>
    <x v="14"/>
    <s v="MSW Carts"/>
    <n v="5"/>
    <n v="2021"/>
    <n v="2028"/>
    <n v="2028.4166666666667"/>
    <n v="599.39630952380946"/>
    <n v="7192.7557142857131"/>
    <n v="7192.7557142857131"/>
    <n v="14385.51142857143"/>
    <n v="21578.267142857141"/>
    <n v="28771.02285714286"/>
    <s v="No"/>
  </r>
  <r>
    <n v="2183"/>
    <n v="252491"/>
    <n v="249940"/>
    <s v="Capitalized"/>
    <s v="Drive Cam"/>
    <m/>
    <m/>
    <n v="1"/>
    <m/>
    <n v="2021"/>
    <m/>
    <m/>
    <s v="TRUCKS AND TRAILERS"/>
    <s v="TBA"/>
    <s v="Non-Rolling Stock"/>
    <m/>
    <m/>
    <d v="2021-04-02T00:00:00"/>
    <d v="2021-04-02T00:00:00"/>
    <s v="2183-21-0003"/>
    <n v="500"/>
    <n v="14040"/>
    <n v="596.24"/>
    <n v="14046"/>
    <n v="367.7"/>
    <n v="0"/>
    <n v="228.54000000000002"/>
    <n v="39.76"/>
    <n v="51260"/>
    <n v="9.94"/>
    <n v="0"/>
    <n v="9.94"/>
    <s v="P"/>
    <m/>
    <m/>
    <n v="3704"/>
    <x v="16"/>
    <s v="Res/Comm MSW Truck"/>
    <n v="4"/>
    <n v="2021"/>
    <n v="2026"/>
    <n v="2026.3333333333333"/>
    <n v="9.9373333333333331"/>
    <n v="119.24799999999999"/>
    <n v="119.24799999999999"/>
    <n v="248.43333333335141"/>
    <n v="367.6813333333514"/>
    <n v="228.55866666664861"/>
    <s v="No"/>
  </r>
  <r>
    <n v="2183"/>
    <n v="251932"/>
    <n v="251931"/>
    <s v="Capitalized"/>
    <s v="2021 Peterbilt ASL Truck- Body"/>
    <m/>
    <m/>
    <n v="1"/>
    <s v="3BPDLK0XXMF110112"/>
    <n v="2021"/>
    <m/>
    <m/>
    <s v="TRUCKS AND TRAILERS"/>
    <s v="TBA"/>
    <s v="Non-Rolling Stock"/>
    <m/>
    <m/>
    <d v="2021-05-01T00:00:00"/>
    <d v="2021-05-01T00:00:00"/>
    <s v="2183-21-0004"/>
    <n v="1000"/>
    <n v="14040"/>
    <n v="180547"/>
    <n v="14046"/>
    <n v="54164.11"/>
    <n v="0"/>
    <n v="126382.89"/>
    <n v="6018.24"/>
    <n v="51260"/>
    <n v="1504.56"/>
    <n v="0"/>
    <n v="1504.56"/>
    <s v="P"/>
    <m/>
    <m/>
    <n v="3705"/>
    <x v="16"/>
    <s v="Res/Comm MSW Truck"/>
    <n v="5"/>
    <n v="2021"/>
    <n v="2031"/>
    <n v="2031.4166666666667"/>
    <n v="1504.5583333333334"/>
    <n v="18054.7"/>
    <n v="18054.7"/>
    <n v="36109.399999999994"/>
    <n v="54164.099999999991"/>
    <n v="126382.90000000001"/>
    <s v="No"/>
  </r>
  <r>
    <n v="2183"/>
    <n v="251931"/>
    <s v="P"/>
    <s v="Capitalized"/>
    <s v="2021 Peterbilt ASL Truck- Chassis"/>
    <m/>
    <m/>
    <n v="1"/>
    <s v="3BPDLK0XXMF110112"/>
    <n v="2021"/>
    <s v="Peterbilt"/>
    <s v="Labrie"/>
    <s v="TRUCKS AND TRAILERS"/>
    <s v="TBA"/>
    <s v="Automated Side Loader"/>
    <m/>
    <m/>
    <d v="2021-05-01T00:00:00"/>
    <d v="2021-05-01T00:00:00"/>
    <s v="2183-20-0023"/>
    <n v="1000"/>
    <n v="14040"/>
    <n v="184139.1"/>
    <n v="14046"/>
    <n v="55241.69"/>
    <n v="0"/>
    <n v="128897.41"/>
    <n v="6137.96"/>
    <n v="51260"/>
    <n v="1534.49"/>
    <n v="0"/>
    <n v="1534.49"/>
    <s v="P"/>
    <m/>
    <n v="3705"/>
    <n v="3705"/>
    <x v="16"/>
    <s v="Res/Comm MSW Truck"/>
    <n v="5"/>
    <n v="2021"/>
    <n v="2031"/>
    <n v="2031.4166666666667"/>
    <n v="1534.4925000000001"/>
    <n v="18413.91"/>
    <n v="18413.91"/>
    <n v="36827.820000000007"/>
    <n v="55241.73000000001"/>
    <n v="128897.37"/>
    <s v="No"/>
  </r>
  <r>
    <n v="2183"/>
    <n v="250273"/>
    <s v="P"/>
    <s v="Capitalized"/>
    <s v="95 Gallon Yardwaste Totes"/>
    <m/>
    <m/>
    <n v="702"/>
    <m/>
    <n v="0"/>
    <s v="REHRIG PACIFIC COMPANY IN"/>
    <m/>
    <s v="CONTAINERS"/>
    <s v="TBA"/>
    <m/>
    <m/>
    <m/>
    <d v="2021-03-31T00:00:00"/>
    <d v="2021-03-31T00:00:00"/>
    <s v="2183-21-0012-1"/>
    <n v="700"/>
    <n v="14050"/>
    <n v="36924.870000000003"/>
    <n v="14056"/>
    <n v="16264.52"/>
    <n v="0"/>
    <n v="20660.350000000002"/>
    <n v="1758.32"/>
    <n v="54260"/>
    <n v="439.58"/>
    <n v="0"/>
    <n v="439.58"/>
    <s v="P"/>
    <m/>
    <m/>
    <s v=""/>
    <x v="4"/>
    <s v="YW Carts"/>
    <n v="3"/>
    <n v="2021"/>
    <n v="2028"/>
    <n v="2028.25"/>
    <n v="439.58178571428579"/>
    <n v="5274.9814285714292"/>
    <n v="5274.9814285714292"/>
    <n v="11429.126428571828"/>
    <n v="16704.107857143259"/>
    <n v="20220.762142856744"/>
    <s v="No"/>
  </r>
  <r>
    <n v="2183"/>
    <n v="250272"/>
    <s v="P"/>
    <s v="Capitalized"/>
    <s v="95 Gallon Refuse Totes"/>
    <m/>
    <m/>
    <n v="702"/>
    <m/>
    <n v="0"/>
    <s v="REHRIG PACIFIC COMPANY IN"/>
    <m/>
    <s v="CONTAINERS"/>
    <s v="TBA"/>
    <m/>
    <m/>
    <m/>
    <d v="2021-03-31T00:00:00"/>
    <d v="2021-03-31T00:00:00"/>
    <s v="2183-21-0012-1"/>
    <n v="700"/>
    <n v="14050"/>
    <n v="36924.86"/>
    <n v="14056"/>
    <n v="16264.52"/>
    <n v="0"/>
    <n v="20660.34"/>
    <n v="1758.32"/>
    <n v="54260"/>
    <n v="439.58"/>
    <n v="0"/>
    <n v="439.58"/>
    <s v="P"/>
    <m/>
    <m/>
    <s v=""/>
    <x v="14"/>
    <s v="MSW Carts"/>
    <n v="3"/>
    <n v="2021"/>
    <n v="2028"/>
    <n v="2028.25"/>
    <n v="439.58166666666671"/>
    <n v="5274.9800000000005"/>
    <n v="5274.9800000000005"/>
    <n v="11429.123333333733"/>
    <n v="16704.103333333733"/>
    <n v="20220.756666666268"/>
    <s v="No"/>
  </r>
  <r>
    <n v="2183"/>
    <n v="249941"/>
    <n v="249940"/>
    <s v="Capitalized"/>
    <s v="2021 Peterbilt ASL Truck- Body"/>
    <m/>
    <m/>
    <n v="1"/>
    <s v="3BPDLK0XXMF110109"/>
    <n v="2021"/>
    <m/>
    <m/>
    <s v="TRUCKS AND TRAILERS"/>
    <s v="TBA"/>
    <s v="Non-Rolling Stock"/>
    <m/>
    <m/>
    <d v="2021-04-02T00:00:00"/>
    <d v="2021-04-02T00:00:00"/>
    <s v="2183-21-0003"/>
    <n v="1000"/>
    <n v="14040"/>
    <n v="184138.36"/>
    <n v="14046"/>
    <n v="56776.02"/>
    <n v="0"/>
    <n v="127362.34"/>
    <n v="6137.96"/>
    <n v="51260"/>
    <n v="1534.49"/>
    <n v="0"/>
    <n v="1534.49"/>
    <s v="P"/>
    <m/>
    <m/>
    <n v="3704"/>
    <x v="16"/>
    <s v="Res/Comm MSW Truck"/>
    <n v="4"/>
    <n v="2021"/>
    <n v="2031"/>
    <n v="2031.3333333333333"/>
    <n v="1534.4863333333333"/>
    <n v="18413.835999999999"/>
    <n v="18413.835999999999"/>
    <n v="38362.15833333612"/>
    <n v="56775.994333336115"/>
    <n v="127362.36566666387"/>
    <s v="No"/>
  </r>
  <r>
    <n v="2183"/>
    <n v="249940"/>
    <s v="P"/>
    <s v="Capitalized"/>
    <s v="2021 Peterbilt ASL Truck- Chassis"/>
    <m/>
    <m/>
    <n v="1"/>
    <s v="3BPDLK0XXMF110109"/>
    <n v="2021"/>
    <s v="Peterbilt"/>
    <s v="Labrie"/>
    <s v="TRUCKS AND TRAILERS"/>
    <s v="TBA"/>
    <s v="Automated Side Loader"/>
    <m/>
    <m/>
    <d v="2021-04-02T00:00:00"/>
    <d v="2021-04-02T00:00:00"/>
    <s v="2183-20-0024"/>
    <n v="1000"/>
    <n v="14040"/>
    <n v="184139.1"/>
    <n v="14046"/>
    <n v="56776.18"/>
    <n v="0"/>
    <n v="127362.92000000001"/>
    <n v="6137.96"/>
    <n v="51260"/>
    <n v="1534.49"/>
    <n v="0"/>
    <n v="1534.49"/>
    <s v="P"/>
    <m/>
    <n v="3704"/>
    <n v="3704"/>
    <x v="16"/>
    <s v="Res/Comm MSW Truck"/>
    <n v="4"/>
    <n v="2021"/>
    <n v="2031"/>
    <n v="2031.3333333333333"/>
    <n v="1534.4925000000001"/>
    <n v="18413.91"/>
    <n v="18413.91"/>
    <n v="38362.312500002794"/>
    <n v="56776.222500002797"/>
    <n v="127362.87749999721"/>
    <s v="No"/>
  </r>
  <r>
    <n v="2183"/>
    <n v="249589"/>
    <n v="243666"/>
    <s v="Capitalized"/>
    <s v="REL Truck 1088 Decals"/>
    <m/>
    <m/>
    <n v="1"/>
    <m/>
    <n v="0"/>
    <s v="Larsen SIgn Co."/>
    <m/>
    <s v="TRUCKS AND TRAILERS"/>
    <s v="TBA"/>
    <s v="Non-Rolling Stock"/>
    <m/>
    <m/>
    <d v="2021-01-01T00:00:00"/>
    <d v="2021-01-01T00:00:00"/>
    <s v="2183-20-0028-1"/>
    <n v="1000"/>
    <n v="14040"/>
    <n v="738.45"/>
    <n v="14046"/>
    <n v="246.15"/>
    <n v="0"/>
    <n v="492.30000000000007"/>
    <n v="24.6"/>
    <n v="51260"/>
    <n v="6.15"/>
    <n v="0"/>
    <n v="6.15"/>
    <s v="P"/>
    <m/>
    <m/>
    <n v="1088"/>
    <x v="13"/>
    <s v="Commercial MSW Truck"/>
    <n v="1"/>
    <n v="2021"/>
    <n v="2031"/>
    <n v="2031.0833333333333"/>
    <n v="6.1537499999999996"/>
    <n v="73.844999999999999"/>
    <n v="73.844999999999999"/>
    <n v="172.30500000001132"/>
    <n v="246.15000000001132"/>
    <n v="492.2999999999887"/>
    <s v="No"/>
  </r>
  <r>
    <n v="2183"/>
    <n v="249588"/>
    <n v="242814"/>
    <s v="Capitalized"/>
    <s v="Glass Truck 5051 Decals"/>
    <m/>
    <m/>
    <n v="1"/>
    <m/>
    <n v="0"/>
    <s v="Larsen Sign Co."/>
    <m/>
    <s v="TRUCKS AND TRAILERS"/>
    <s v="TBA"/>
    <s v="Non-Rolling Stock"/>
    <m/>
    <m/>
    <d v="2021-01-01T00:00:00"/>
    <d v="2021-01-01T00:00:00"/>
    <s v="2183-20-0026-1"/>
    <n v="1000"/>
    <n v="14040"/>
    <n v="705.63"/>
    <n v="14046"/>
    <n v="235.2"/>
    <n v="0"/>
    <n v="470.43"/>
    <n v="23.52"/>
    <n v="51260"/>
    <n v="5.88"/>
    <n v="0"/>
    <n v="5.88"/>
    <s v="P"/>
    <m/>
    <m/>
    <n v="5051"/>
    <x v="0"/>
    <s v="Residential Recycling Truck"/>
    <n v="1"/>
    <n v="2021"/>
    <n v="2031"/>
    <n v="2031.0833333333333"/>
    <n v="5.8802500000000002"/>
    <n v="70.563000000000002"/>
    <n v="70.563000000000002"/>
    <n v="164.64700000001062"/>
    <n v="235.21000000001061"/>
    <n v="470.41999999998939"/>
    <s v="No"/>
  </r>
  <r>
    <n v="2183"/>
    <n v="247406"/>
    <n v="219336"/>
    <s v="Capitalized"/>
    <s v="Tommie Vaugh Rebate"/>
    <m/>
    <m/>
    <n v="1"/>
    <m/>
    <n v="0"/>
    <m/>
    <m/>
    <s v="TRUCKS AND TRAILERS"/>
    <s v="TBA"/>
    <s v="Non-Rolling Stock"/>
    <m/>
    <m/>
    <d v="2021-02-01T00:00:00"/>
    <d v="2021-02-01T00:00:00"/>
    <s v="2183-19-0017"/>
    <n v="806"/>
    <n v="14040"/>
    <n v="-300"/>
    <n v="14046"/>
    <n v="-114.7"/>
    <n v="0"/>
    <n v="-185.3"/>
    <n v="-11.76"/>
    <n v="51260"/>
    <n v="-2.94"/>
    <n v="0"/>
    <n v="-2.94"/>
    <s v="P"/>
    <m/>
    <m/>
    <n v="6060"/>
    <x v="15"/>
    <s v="Service Equip"/>
    <n v="2"/>
    <n v="2021"/>
    <n v="2029.06"/>
    <n v="2029.2266666666667"/>
    <n v="-3.1017369727047144"/>
    <n v="-37.220843672456574"/>
    <n v="-37.220843672456574"/>
    <n v="-83.746898263029351"/>
    <n v="-120.96774193548592"/>
    <n v="-179.03225806451408"/>
    <s v="No"/>
  </r>
  <r>
    <n v="2183"/>
    <n v="245845"/>
    <s v="P"/>
    <s v="Capitalized"/>
    <s v="95 Gallon Yardwaste Totes"/>
    <m/>
    <m/>
    <n v="702"/>
    <m/>
    <n v="0"/>
    <s v="REHRIG PACIFIC COMPANY IN"/>
    <m/>
    <s v="CONTAINERS"/>
    <s v="TBA"/>
    <m/>
    <m/>
    <m/>
    <d v="2021-01-11T00:00:00"/>
    <d v="2021-01-11T00:00:00"/>
    <s v="2183-21-0012-1"/>
    <n v="700"/>
    <n v="14050"/>
    <n v="32670.21"/>
    <n v="14056"/>
    <n v="15557.2"/>
    <n v="0"/>
    <n v="17113.009999999998"/>
    <n v="1555.72"/>
    <n v="54260"/>
    <n v="388.93"/>
    <n v="0"/>
    <n v="388.93"/>
    <s v="P"/>
    <m/>
    <m/>
    <s v=""/>
    <x v="4"/>
    <s v="YW Carts"/>
    <n v="1"/>
    <n v="2021"/>
    <n v="2028"/>
    <n v="2028.0833333333333"/>
    <n v="388.93107142857139"/>
    <n v="4667.1728571428566"/>
    <n v="4667.1728571428566"/>
    <n v="10890.070000000709"/>
    <n v="15557.242857143567"/>
    <n v="17112.967142856432"/>
    <s v="No"/>
  </r>
  <r>
    <n v="2183"/>
    <n v="245844"/>
    <s v="P"/>
    <s v="Capitalized"/>
    <s v="95 Gallon Recycle Totes"/>
    <m/>
    <m/>
    <n v="702"/>
    <m/>
    <n v="0"/>
    <s v="REHRIG PACIFIC COMPANY IN"/>
    <m/>
    <s v="CONTAINERS"/>
    <s v="TBA"/>
    <m/>
    <m/>
    <m/>
    <d v="2021-01-11T00:00:00"/>
    <d v="2021-01-11T00:00:00"/>
    <s v="2183-21-0012-1"/>
    <n v="700"/>
    <n v="14050"/>
    <n v="32670.21"/>
    <n v="14056"/>
    <n v="15557.2"/>
    <n v="0"/>
    <n v="17113.009999999998"/>
    <n v="1555.72"/>
    <n v="54260"/>
    <n v="388.93"/>
    <n v="0"/>
    <n v="388.93"/>
    <s v="P"/>
    <m/>
    <m/>
    <s v=""/>
    <x v="5"/>
    <s v="Recycling Carts"/>
    <n v="1"/>
    <n v="2021"/>
    <n v="2028"/>
    <n v="2028.0833333333333"/>
    <n v="388.93107142857139"/>
    <n v="4667.1728571428566"/>
    <n v="4667.1728571428566"/>
    <n v="10890.070000000709"/>
    <n v="15557.242857143567"/>
    <n v="17112.967142856432"/>
    <s v="No"/>
  </r>
  <r>
    <n v="2183"/>
    <n v="245709"/>
    <n v="242814"/>
    <s v="Capitalized"/>
    <s v="Truck 5051 Radio"/>
    <m/>
    <m/>
    <n v="1"/>
    <m/>
    <n v="0"/>
    <s v="WHISLER COMMUNICATIONS"/>
    <m/>
    <s v="TRUCKS AND TRAILERS"/>
    <s v="TBA"/>
    <s v="Non-Rolling Stock"/>
    <m/>
    <m/>
    <d v="2021-01-01T00:00:00"/>
    <d v="2021-01-01T00:00:00"/>
    <s v="2183-20-0026-1"/>
    <n v="500"/>
    <n v="14040"/>
    <n v="784.07"/>
    <n v="14046"/>
    <n v="522.71"/>
    <n v="0"/>
    <n v="261.36"/>
    <n v="52.28"/>
    <n v="51260"/>
    <n v="13.07"/>
    <n v="0"/>
    <n v="13.07"/>
    <s v="P"/>
    <m/>
    <m/>
    <s v=" "/>
    <x v="20"/>
    <s v="YES"/>
    <m/>
    <m/>
    <m/>
    <m/>
    <m/>
    <m/>
    <m/>
    <m/>
    <m/>
    <m/>
    <s v="No"/>
  </r>
  <r>
    <n v="2183"/>
    <n v="244803"/>
    <n v="243666"/>
    <s v="Capitalized"/>
    <s v="Truck 1088 Radio"/>
    <m/>
    <m/>
    <n v="1"/>
    <m/>
    <n v="0"/>
    <s v="WHISLER COMMUNICATIONS"/>
    <m/>
    <s v="TRUCKS AND TRAILERS"/>
    <s v="TBA"/>
    <s v="Non-Rolling Stock"/>
    <m/>
    <m/>
    <d v="2020-10-01T00:00:00"/>
    <d v="2020-10-01T00:00:00"/>
    <s v="2183-20-0028-1"/>
    <n v="500"/>
    <n v="14040"/>
    <n v="784.07"/>
    <n v="14046"/>
    <n v="561.91"/>
    <n v="0"/>
    <n v="222.16000000000008"/>
    <n v="52.28"/>
    <n v="51260"/>
    <n v="13.07"/>
    <n v="0"/>
    <n v="13.07"/>
    <s v="P"/>
    <m/>
    <m/>
    <s v=" "/>
    <x v="20"/>
    <s v="YES"/>
    <m/>
    <m/>
    <m/>
    <m/>
    <m/>
    <m/>
    <m/>
    <m/>
    <m/>
    <m/>
    <s v="No"/>
  </r>
  <r>
    <n v="2183"/>
    <n v="244706"/>
    <s v="P"/>
    <s v="Capitalized"/>
    <s v="(2) SF300 DriveCams"/>
    <m/>
    <m/>
    <n v="2"/>
    <m/>
    <n v="0"/>
    <s v="Lytx"/>
    <m/>
    <s v="SHOP EQUIPMENT"/>
    <s v="TBA"/>
    <m/>
    <m/>
    <m/>
    <d v="2020-12-23T00:00:00"/>
    <d v="2020-12-23T00:00:00"/>
    <s v="2183-20-0036-1"/>
    <n v="500"/>
    <n v="14070"/>
    <n v="675.01"/>
    <n v="14076"/>
    <n v="450"/>
    <n v="0"/>
    <n v="225.01"/>
    <n v="45"/>
    <n v="51260"/>
    <n v="11.25"/>
    <n v="0"/>
    <n v="11.25"/>
    <s v="P"/>
    <m/>
    <m/>
    <s v=" "/>
    <x v="20"/>
    <s v="YES"/>
    <m/>
    <m/>
    <m/>
    <m/>
    <m/>
    <m/>
    <m/>
    <m/>
    <m/>
    <m/>
    <s v="No"/>
  </r>
  <r>
    <n v="2183"/>
    <n v="244666"/>
    <n v="243666"/>
    <s v="Capitalized"/>
    <s v="DriveCam"/>
    <m/>
    <m/>
    <n v="1"/>
    <m/>
    <n v="0"/>
    <s v="Lytx"/>
    <m/>
    <s v="TRUCKS AND TRAILERS"/>
    <s v="TBA"/>
    <s v="Non-Rolling Stock"/>
    <m/>
    <m/>
    <d v="2020-12-22T00:00:00"/>
    <d v="2020-12-22T00:00:00"/>
    <s v="2183-20-0028-1"/>
    <n v="500"/>
    <n v="14040"/>
    <n v="588.59"/>
    <n v="14046"/>
    <n v="392.4"/>
    <n v="0"/>
    <n v="196.19000000000005"/>
    <n v="39.24"/>
    <n v="51260"/>
    <n v="9.81"/>
    <n v="0"/>
    <n v="9.81"/>
    <s v="P"/>
    <m/>
    <m/>
    <s v=" "/>
    <x v="20"/>
    <s v="YES"/>
    <m/>
    <m/>
    <m/>
    <m/>
    <m/>
    <m/>
    <m/>
    <m/>
    <m/>
    <m/>
    <s v="No"/>
  </r>
  <r>
    <n v="2183"/>
    <n v="244665"/>
    <n v="242814"/>
    <s v="Capitalized"/>
    <s v="Drive Cam"/>
    <m/>
    <m/>
    <n v="1"/>
    <m/>
    <n v="0"/>
    <s v="Lytx"/>
    <m/>
    <s v="TRUCKS AND TRAILERS"/>
    <s v="TBA"/>
    <s v="Non-Rolling Stock"/>
    <m/>
    <m/>
    <d v="2020-12-29T00:00:00"/>
    <d v="2020-12-29T00:00:00"/>
    <s v="2183-20-0026-1"/>
    <n v="500"/>
    <n v="14040"/>
    <n v="592.41999999999996"/>
    <n v="14046"/>
    <n v="394.89"/>
    <n v="0"/>
    <n v="197.52999999999997"/>
    <n v="39.479999999999997"/>
    <n v="51260"/>
    <n v="9.8699999999999992"/>
    <n v="0"/>
    <n v="9.8699999999999992"/>
    <s v="P"/>
    <m/>
    <m/>
    <s v=" "/>
    <x v="20"/>
    <s v="YES"/>
    <m/>
    <m/>
    <m/>
    <m/>
    <m/>
    <m/>
    <m/>
    <m/>
    <m/>
    <m/>
    <s v="No"/>
  </r>
  <r>
    <n v="2183"/>
    <n v="244033"/>
    <s v="P"/>
    <s v="Capitalized"/>
    <s v="35 YD Rolloff"/>
    <m/>
    <m/>
    <n v="1"/>
    <m/>
    <n v="0"/>
    <m/>
    <m/>
    <s v="CONTAINERS"/>
    <s v="TBA"/>
    <m/>
    <s v="35 YD"/>
    <s v="RO Box"/>
    <d v="2019-04-15T00:00:00"/>
    <d v="2019-04-15T00:00:00"/>
    <m/>
    <n v="700"/>
    <n v="14050"/>
    <n v="3000"/>
    <n v="14056"/>
    <n v="2178.5500000000002"/>
    <n v="0"/>
    <n v="821.44999999999982"/>
    <n v="142.84"/>
    <n v="54260"/>
    <n v="35.71"/>
    <n v="0"/>
    <n v="35.71"/>
    <s v="A"/>
    <s v="Lewis Clark"/>
    <n v="14050"/>
    <s v=" "/>
    <x v="20"/>
    <s v="YES"/>
    <m/>
    <m/>
    <m/>
    <m/>
    <m/>
    <m/>
    <m/>
    <m/>
    <m/>
    <m/>
    <s v="No"/>
  </r>
  <r>
    <n v="2183"/>
    <n v="243666"/>
    <s v="P"/>
    <s v="Capitalized"/>
    <s v="2021 Peterbilt REL Truck"/>
    <m/>
    <m/>
    <n v="1"/>
    <s v="3BPDLK0X4MF110199"/>
    <n v="2021"/>
    <s v="Peterbilt"/>
    <s v="Leach"/>
    <s v="TRUCKS AND TRAILERS"/>
    <s v="TBA"/>
    <s v="Rear Loader"/>
    <m/>
    <m/>
    <d v="2020-10-01T00:00:00"/>
    <d v="2020-10-01T00:00:00"/>
    <s v="2183-20-0028"/>
    <n v="1000"/>
    <n v="14040"/>
    <n v="302791.59999999998"/>
    <n v="14046"/>
    <n v="108500.28"/>
    <n v="0"/>
    <n v="194291.31999999998"/>
    <n v="10093.040000000001"/>
    <n v="51260"/>
    <n v="2523.2600000000002"/>
    <n v="0"/>
    <n v="2523.2600000000002"/>
    <s v="P"/>
    <m/>
    <n v="1088"/>
    <s v=" "/>
    <x v="20"/>
    <s v="YES"/>
    <m/>
    <m/>
    <m/>
    <m/>
    <m/>
    <m/>
    <m/>
    <m/>
    <m/>
    <m/>
    <s v="No"/>
  </r>
  <r>
    <n v="2183"/>
    <n v="243353"/>
    <s v="P"/>
    <s v="Capitalized"/>
    <s v="2 Yd REL Metal Commercial Containers"/>
    <m/>
    <m/>
    <n v="20"/>
    <m/>
    <n v="0"/>
    <s v="WASTEQUIP LLC"/>
    <m/>
    <s v="CONTAINERS"/>
    <s v="TBA"/>
    <m/>
    <s v="2 YD"/>
    <s v="FEL/REL/SL Metal"/>
    <d v="2020-11-04T00:00:00"/>
    <d v="2020-11-04T00:00:00"/>
    <s v="2183-20-0035-1"/>
    <n v="1200"/>
    <n v="14050"/>
    <n v="12230.92"/>
    <n v="14056"/>
    <n v="3567.35"/>
    <n v="0"/>
    <n v="8663.57"/>
    <n v="339.76"/>
    <n v="54260"/>
    <n v="84.94"/>
    <n v="0"/>
    <n v="84.94"/>
    <s v="P"/>
    <m/>
    <m/>
    <s v=" "/>
    <x v="20"/>
    <s v="YES"/>
    <m/>
    <m/>
    <m/>
    <m/>
    <m/>
    <m/>
    <m/>
    <m/>
    <m/>
    <m/>
    <s v="No"/>
  </r>
  <r>
    <n v="2183"/>
    <n v="243352"/>
    <s v="P"/>
    <s v="Capitalized"/>
    <s v="1 Yd REL Metal Commercial Containers"/>
    <m/>
    <m/>
    <n v="15"/>
    <m/>
    <n v="0"/>
    <s v="WASTEQUIP LLC"/>
    <m/>
    <s v="CONTAINERS"/>
    <s v="TBA"/>
    <m/>
    <s v="1 YD"/>
    <s v="FEL/REL/SL Metal"/>
    <d v="2020-11-04T00:00:00"/>
    <d v="2020-11-04T00:00:00"/>
    <s v="2183-20-0035-1"/>
    <n v="1200"/>
    <n v="14050"/>
    <n v="7614.24"/>
    <n v="14056"/>
    <n v="2220.83"/>
    <n v="0"/>
    <n v="5393.41"/>
    <n v="211.52"/>
    <n v="54260"/>
    <n v="52.88"/>
    <n v="0"/>
    <n v="52.88"/>
    <s v="P"/>
    <m/>
    <m/>
    <s v=" "/>
    <x v="20"/>
    <s v="YES"/>
    <m/>
    <m/>
    <m/>
    <m/>
    <m/>
    <m/>
    <m/>
    <m/>
    <m/>
    <m/>
    <s v="No"/>
  </r>
  <r>
    <n v="2183"/>
    <n v="243351"/>
    <s v="P"/>
    <s v="Capitalized"/>
    <s v="5 YD FEL Metal Commercial Containers"/>
    <m/>
    <m/>
    <n v="13"/>
    <m/>
    <n v="0"/>
    <s v="WASTEQUIP LLC"/>
    <m/>
    <s v="CONTAINERS"/>
    <s v="TBA"/>
    <m/>
    <s v="5 YD"/>
    <s v="FEL/REL/SL Metal"/>
    <d v="2020-11-04T00:00:00"/>
    <d v="2020-11-04T00:00:00"/>
    <s v="2183-20-0035-1"/>
    <n v="1200"/>
    <n v="14050"/>
    <n v="10026.52"/>
    <n v="14056"/>
    <n v="2924.4"/>
    <n v="0"/>
    <n v="7102.1200000000008"/>
    <n v="278.52"/>
    <n v="54260"/>
    <n v="69.63"/>
    <n v="0"/>
    <n v="69.63"/>
    <s v="P"/>
    <m/>
    <m/>
    <s v=" "/>
    <x v="20"/>
    <s v="YES"/>
    <m/>
    <m/>
    <m/>
    <m/>
    <m/>
    <m/>
    <m/>
    <m/>
    <m/>
    <m/>
    <s v="No"/>
  </r>
  <r>
    <n v="2183"/>
    <n v="243350"/>
    <s v="P"/>
    <s v="Capitalized"/>
    <s v="5 Yd FEL Metal Commercial Container"/>
    <m/>
    <m/>
    <n v="2"/>
    <m/>
    <n v="0"/>
    <s v="WASTEQUIP LLC"/>
    <m/>
    <s v="CONTAINERS"/>
    <s v="TBA"/>
    <m/>
    <s v="5 YD"/>
    <s v="FEL/REL/SL Metal"/>
    <d v="2020-11-04T00:00:00"/>
    <d v="2020-11-04T00:00:00"/>
    <s v="2183-20-0035-1"/>
    <n v="1200"/>
    <n v="14050"/>
    <n v="1542.56"/>
    <n v="14056"/>
    <n v="449.92"/>
    <n v="0"/>
    <n v="1092.6399999999999"/>
    <n v="42.84"/>
    <n v="54260"/>
    <n v="10.71"/>
    <n v="0"/>
    <n v="10.71"/>
    <s v="P"/>
    <m/>
    <m/>
    <s v=" "/>
    <x v="20"/>
    <s v="YES"/>
    <m/>
    <m/>
    <m/>
    <m/>
    <m/>
    <m/>
    <m/>
    <m/>
    <m/>
    <m/>
    <s v="No"/>
  </r>
  <r>
    <n v="2183"/>
    <n v="243349"/>
    <s v="P"/>
    <s v="Capitalized"/>
    <s v="3 Yd FEL Metal Commercial Containers"/>
    <m/>
    <m/>
    <n v="15"/>
    <m/>
    <n v="0"/>
    <s v="WASTEQUIP LLC"/>
    <m/>
    <s v="CONTAINERS"/>
    <s v="TBA"/>
    <m/>
    <s v="3 YD"/>
    <s v="FEL/REL/SL Metal"/>
    <d v="2020-11-04T00:00:00"/>
    <d v="2020-11-04T00:00:00"/>
    <s v="2183-20-0035-1"/>
    <n v="1200"/>
    <n v="14050"/>
    <n v="7072.71"/>
    <n v="14056"/>
    <n v="2062.88"/>
    <n v="0"/>
    <n v="5009.83"/>
    <n v="196.48"/>
    <n v="54260"/>
    <n v="49.12"/>
    <n v="0"/>
    <n v="49.12"/>
    <s v="P"/>
    <m/>
    <m/>
    <s v=" "/>
    <x v="20"/>
    <s v="YES"/>
    <m/>
    <m/>
    <m/>
    <m/>
    <m/>
    <m/>
    <m/>
    <m/>
    <m/>
    <m/>
    <s v="No"/>
  </r>
  <r>
    <n v="2183"/>
    <n v="243348"/>
    <s v="P"/>
    <s v="Capitalized"/>
    <s v="2 Yd FEL Metal Commercial Containers"/>
    <m/>
    <m/>
    <n v="10"/>
    <m/>
    <n v="0"/>
    <s v="WASTEQUIP LLC"/>
    <m/>
    <s v="CONTAINERS"/>
    <s v="TBA"/>
    <m/>
    <s v="2 YD"/>
    <s v="FEL/REL/SL Metal"/>
    <d v="2020-11-04T00:00:00"/>
    <d v="2020-11-04T00:00:00"/>
    <s v="2183-20-0035-1"/>
    <n v="1200"/>
    <n v="14050"/>
    <n v="4638.5600000000004"/>
    <n v="14056"/>
    <n v="1352.92"/>
    <n v="0"/>
    <n v="3285.6400000000003"/>
    <n v="128.84"/>
    <n v="54260"/>
    <n v="32.21"/>
    <n v="0"/>
    <n v="32.21"/>
    <s v="P"/>
    <m/>
    <m/>
    <s v=" "/>
    <x v="20"/>
    <s v="YES"/>
    <m/>
    <m/>
    <m/>
    <m/>
    <m/>
    <m/>
    <m/>
    <m/>
    <m/>
    <m/>
    <s v="No"/>
  </r>
  <r>
    <n v="2183"/>
    <n v="243347"/>
    <s v="P"/>
    <s v="Capitalized"/>
    <s v="1 Yd FEL Metal Commercial Containers"/>
    <m/>
    <m/>
    <n v="15"/>
    <m/>
    <n v="0"/>
    <s v="WASTEQUIP LLC"/>
    <m/>
    <s v="CONTAINERS"/>
    <s v="TBA"/>
    <m/>
    <s v="1 YD"/>
    <s v="FEL/REL/SL Metal"/>
    <d v="2020-11-04T00:00:00"/>
    <d v="2020-11-04T00:00:00"/>
    <s v="2183-20-0035-1"/>
    <n v="1200"/>
    <n v="14050"/>
    <n v="6252.21"/>
    <n v="14056"/>
    <n v="1823.58"/>
    <n v="0"/>
    <n v="4428.63"/>
    <n v="173.68"/>
    <n v="54260"/>
    <n v="43.42"/>
    <n v="0"/>
    <n v="43.42"/>
    <s v="P"/>
    <m/>
    <m/>
    <s v=" "/>
    <x v="20"/>
    <s v="YES"/>
    <m/>
    <m/>
    <m/>
    <m/>
    <m/>
    <m/>
    <m/>
    <m/>
    <m/>
    <m/>
    <s v="No"/>
  </r>
  <r>
    <n v="2183"/>
    <n v="243346"/>
    <s v="P"/>
    <s v="Capitalized"/>
    <s v="6Yd Metal Commercial Containers"/>
    <m/>
    <m/>
    <n v="2"/>
    <m/>
    <n v="0"/>
    <s v="WASTEQUIP LLC"/>
    <m/>
    <s v="CONTAINERS"/>
    <s v="TBA"/>
    <m/>
    <s v="6 YD"/>
    <s v="FEL/REL/SL Metal"/>
    <d v="2020-11-04T00:00:00"/>
    <d v="2020-11-04T00:00:00"/>
    <s v="2183-20-0035-1"/>
    <n v="1200"/>
    <n v="14050"/>
    <n v="1525.04"/>
    <n v="14056"/>
    <n v="444.81"/>
    <n v="0"/>
    <n v="1080.23"/>
    <n v="42.36"/>
    <n v="54260"/>
    <n v="10.59"/>
    <n v="0"/>
    <n v="10.59"/>
    <s v="P"/>
    <m/>
    <m/>
    <s v=" "/>
    <x v="20"/>
    <s v="YES"/>
    <m/>
    <m/>
    <m/>
    <m/>
    <m/>
    <m/>
    <m/>
    <m/>
    <m/>
    <m/>
    <s v="No"/>
  </r>
  <r>
    <n v="2183"/>
    <n v="243345"/>
    <s v="P"/>
    <s v="Capitalized"/>
    <s v="4 Yd Metal Commercial Containers"/>
    <m/>
    <m/>
    <n v="15"/>
    <m/>
    <n v="0"/>
    <s v="WASTEQUIP LLC"/>
    <m/>
    <s v="CONTAINERS"/>
    <s v="TBA"/>
    <m/>
    <s v="4 YD"/>
    <s v="FEL/REL/SL Metal"/>
    <d v="2020-11-04T00:00:00"/>
    <d v="2020-11-04T00:00:00"/>
    <s v="2183-20-0035-1"/>
    <n v="1200"/>
    <n v="14050"/>
    <n v="7876.8"/>
    <n v="14056"/>
    <n v="2297.4"/>
    <n v="0"/>
    <n v="5579.4"/>
    <n v="218.8"/>
    <n v="54260"/>
    <n v="54.7"/>
    <n v="0"/>
    <n v="54.7"/>
    <s v="P"/>
    <m/>
    <m/>
    <s v=" "/>
    <x v="20"/>
    <s v="YES"/>
    <m/>
    <m/>
    <m/>
    <m/>
    <m/>
    <m/>
    <m/>
    <m/>
    <m/>
    <m/>
    <s v="No"/>
  </r>
  <r>
    <n v="2183"/>
    <n v="242995"/>
    <s v="P"/>
    <s v="Capitalized"/>
    <s v="6yd FEL Metal Commercial Containers"/>
    <m/>
    <m/>
    <n v="13"/>
    <m/>
    <n v="0"/>
    <s v="WASTEQUIP LLC"/>
    <m/>
    <s v="CONTAINERS"/>
    <s v="TBA"/>
    <m/>
    <s v="6 YD"/>
    <s v="FEL/REL/SL Metal"/>
    <d v="2020-11-04T00:00:00"/>
    <d v="2020-11-04T00:00:00"/>
    <s v="2183-20-0035-1"/>
    <n v="1200"/>
    <n v="14050"/>
    <n v="9912.74"/>
    <n v="14056"/>
    <n v="2891.22"/>
    <n v="0"/>
    <n v="7021.52"/>
    <n v="275.36"/>
    <n v="54260"/>
    <n v="68.84"/>
    <n v="0"/>
    <n v="68.84"/>
    <s v="P"/>
    <m/>
    <m/>
    <s v=" "/>
    <x v="20"/>
    <s v="YES"/>
    <m/>
    <m/>
    <m/>
    <m/>
    <m/>
    <m/>
    <m/>
    <m/>
    <m/>
    <m/>
    <s v="No"/>
  </r>
  <r>
    <n v="2183"/>
    <n v="242814"/>
    <s v="P"/>
    <s v="Capitalized"/>
    <s v="2021 Peterbilt Recycle Truck"/>
    <m/>
    <m/>
    <n v="1"/>
    <s v="3BPDHJ7X5MF110195"/>
    <n v="2021"/>
    <s v="Peterbilt"/>
    <s v="Kann"/>
    <s v="TRUCKS AND TRAILERS"/>
    <s v="TBA"/>
    <s v="Recycle Truck"/>
    <m/>
    <m/>
    <d v="2020-11-01T00:00:00"/>
    <d v="2020-11-01T00:00:00"/>
    <s v="2183-20-0026"/>
    <n v="1000"/>
    <n v="14040"/>
    <n v="247824.64000000001"/>
    <n v="14046"/>
    <n v="86738.6"/>
    <n v="0"/>
    <n v="161086.04"/>
    <n v="8260.84"/>
    <n v="51260"/>
    <n v="2065.21"/>
    <n v="0"/>
    <n v="2065.21"/>
    <s v="P"/>
    <m/>
    <n v="5051"/>
    <s v=" "/>
    <x v="20"/>
    <s v="YES"/>
    <m/>
    <m/>
    <m/>
    <m/>
    <m/>
    <m/>
    <m/>
    <m/>
    <m/>
    <m/>
    <s v="No"/>
  </r>
  <r>
    <n v="2183"/>
    <n v="242699"/>
    <n v="241234"/>
    <s v="Capitalized"/>
    <s v="Radio"/>
    <m/>
    <m/>
    <n v="1"/>
    <m/>
    <n v="0"/>
    <s v="WHISLER COMMUNICATIONS"/>
    <m/>
    <s v="TRUCKS AND TRAILERS"/>
    <s v="TBA"/>
    <s v="Non-Rolling Stock"/>
    <m/>
    <m/>
    <d v="2020-11-17T00:00:00"/>
    <d v="2020-11-17T00:00:00"/>
    <s v="2183-20-0025-1"/>
    <n v="500"/>
    <n v="14040"/>
    <n v="667.34"/>
    <n v="14046"/>
    <n v="456.01"/>
    <n v="0"/>
    <n v="211.33000000000004"/>
    <n v="44.48"/>
    <n v="51260"/>
    <n v="11.12"/>
    <n v="0"/>
    <n v="11.12"/>
    <s v="P"/>
    <m/>
    <m/>
    <s v=" "/>
    <x v="20"/>
    <s v="YES"/>
    <m/>
    <m/>
    <m/>
    <m/>
    <m/>
    <m/>
    <m/>
    <m/>
    <m/>
    <m/>
    <s v="No"/>
  </r>
  <r>
    <n v="2183"/>
    <n v="242536"/>
    <n v="241234"/>
    <s v="Capitalized"/>
    <s v="DriveCam"/>
    <m/>
    <m/>
    <n v="1"/>
    <m/>
    <n v="0"/>
    <s v="Lytx"/>
    <m/>
    <s v="TRUCKS AND TRAILERS"/>
    <s v="TBA"/>
    <s v="Non-Rolling Stock"/>
    <m/>
    <m/>
    <d v="2020-11-17T00:00:00"/>
    <d v="2020-11-17T00:00:00"/>
    <s v="2183-20-0025-1"/>
    <n v="500"/>
    <n v="14040"/>
    <n v="584.21"/>
    <n v="14046"/>
    <n v="399.22"/>
    <n v="0"/>
    <n v="184.99"/>
    <n v="38.96"/>
    <n v="51260"/>
    <n v="9.74"/>
    <n v="0"/>
    <n v="9.74"/>
    <s v="P"/>
    <m/>
    <m/>
    <s v=" "/>
    <x v="20"/>
    <s v="YES"/>
    <m/>
    <m/>
    <m/>
    <m/>
    <m/>
    <m/>
    <m/>
    <m/>
    <m/>
    <m/>
    <s v="No"/>
  </r>
  <r>
    <n v="2183"/>
    <n v="242363"/>
    <n v="241234"/>
    <s v="Capitalized"/>
    <s v="Truck 3703 Decals"/>
    <m/>
    <m/>
    <n v="1"/>
    <m/>
    <n v="0"/>
    <s v="Larsen Sign Co."/>
    <m/>
    <s v="TRUCKS AND TRAILERS"/>
    <s v="TBA"/>
    <s v="Non-Rolling Stock"/>
    <m/>
    <m/>
    <d v="2020-11-17T00:00:00"/>
    <d v="2020-11-17T00:00:00"/>
    <s v="2183-20-0025-1"/>
    <n v="1000"/>
    <n v="14040"/>
    <n v="957.25"/>
    <n v="14046"/>
    <n v="327.08999999999997"/>
    <n v="0"/>
    <n v="630.16000000000008"/>
    <n v="31.92"/>
    <n v="51260"/>
    <n v="7.98"/>
    <n v="0"/>
    <n v="7.98"/>
    <s v="P"/>
    <m/>
    <m/>
    <s v=" "/>
    <x v="20"/>
    <s v="YES"/>
    <m/>
    <m/>
    <m/>
    <m/>
    <m/>
    <m/>
    <m/>
    <m/>
    <m/>
    <m/>
    <s v="No"/>
  </r>
  <r>
    <n v="2183"/>
    <n v="241480"/>
    <s v="P"/>
    <s v="Capitalized"/>
    <s v="95 Gallon Yardwaste Totes"/>
    <m/>
    <m/>
    <n v="702"/>
    <m/>
    <n v="0"/>
    <s v="REHRIG PACIFIC COMPANY IN"/>
    <m/>
    <s v="CONTAINERS"/>
    <s v="TBA"/>
    <m/>
    <m/>
    <m/>
    <d v="2020-11-13T00:00:00"/>
    <d v="2020-11-13T00:00:00"/>
    <s v="2183-20-0037-1"/>
    <n v="700"/>
    <n v="14050"/>
    <n v="31902.22"/>
    <n v="14056"/>
    <n v="15951.12"/>
    <n v="0"/>
    <n v="15951.1"/>
    <n v="1519.16"/>
    <n v="54260"/>
    <n v="379.79"/>
    <n v="0"/>
    <n v="379.79"/>
    <s v="P"/>
    <m/>
    <m/>
    <s v=" "/>
    <x v="20"/>
    <s v="YES"/>
    <m/>
    <m/>
    <m/>
    <m/>
    <m/>
    <m/>
    <m/>
    <m/>
    <m/>
    <m/>
    <s v="No"/>
  </r>
  <r>
    <n v="2183"/>
    <n v="241479"/>
    <s v="P"/>
    <s v="Capitalized"/>
    <s v="95 Gallon Recycle Totes"/>
    <m/>
    <m/>
    <n v="702"/>
    <m/>
    <n v="0"/>
    <s v="REHRIG PACIFIC COMPANY IN"/>
    <m/>
    <s v="CONTAINERS"/>
    <s v="TBA"/>
    <m/>
    <m/>
    <m/>
    <d v="2020-11-13T00:00:00"/>
    <d v="2020-11-13T00:00:00"/>
    <s v="2183-20-0037-1"/>
    <n v="700"/>
    <n v="14050"/>
    <n v="31902.22"/>
    <n v="14056"/>
    <n v="15951.12"/>
    <n v="0"/>
    <n v="15951.1"/>
    <n v="1519.16"/>
    <n v="54260"/>
    <n v="379.79"/>
    <n v="0"/>
    <n v="379.79"/>
    <s v="P"/>
    <m/>
    <m/>
    <s v=" "/>
    <x v="20"/>
    <s v="YES"/>
    <m/>
    <m/>
    <m/>
    <m/>
    <m/>
    <m/>
    <m/>
    <m/>
    <m/>
    <m/>
    <s v="No"/>
  </r>
  <r>
    <n v="2183"/>
    <n v="241478"/>
    <s v="P"/>
    <s v="Capitalized"/>
    <s v="65 Gallon MSW Totes"/>
    <m/>
    <m/>
    <n v="972"/>
    <m/>
    <n v="0"/>
    <s v="REHRIG PACIFIC COMPANY IN"/>
    <m/>
    <s v="CONTAINERS"/>
    <s v="TBA"/>
    <m/>
    <m/>
    <m/>
    <d v="2020-11-13T00:00:00"/>
    <d v="2020-11-13T00:00:00"/>
    <s v="2183-20-0037-1"/>
    <n v="700"/>
    <n v="14050"/>
    <n v="38855.47"/>
    <n v="14056"/>
    <n v="19427.75"/>
    <n v="0"/>
    <n v="19427.72"/>
    <n v="1850.28"/>
    <n v="54260"/>
    <n v="462.57"/>
    <n v="0"/>
    <n v="462.57"/>
    <s v="P"/>
    <m/>
    <m/>
    <s v=" "/>
    <x v="20"/>
    <s v="YES"/>
    <m/>
    <m/>
    <m/>
    <m/>
    <m/>
    <m/>
    <m/>
    <m/>
    <m/>
    <m/>
    <s v="No"/>
  </r>
  <r>
    <n v="2183"/>
    <n v="241477"/>
    <s v="P"/>
    <s v="Capitalized"/>
    <s v="95 Gallon MSW Totes"/>
    <m/>
    <m/>
    <n v="702"/>
    <m/>
    <n v="0"/>
    <s v="REHRIG PACIFIC COMPANY IN"/>
    <m/>
    <s v="CONTAINERS"/>
    <s v="TBA"/>
    <m/>
    <m/>
    <m/>
    <d v="2020-11-13T00:00:00"/>
    <d v="2020-11-13T00:00:00"/>
    <s v="2183-20-0037-1"/>
    <n v="700"/>
    <n v="14050"/>
    <n v="31902.22"/>
    <n v="14056"/>
    <n v="15951.12"/>
    <n v="0"/>
    <n v="15951.1"/>
    <n v="1519.16"/>
    <n v="54260"/>
    <n v="379.79"/>
    <n v="0"/>
    <n v="379.79"/>
    <s v="P"/>
    <m/>
    <m/>
    <s v=" "/>
    <x v="20"/>
    <s v="YES"/>
    <m/>
    <m/>
    <m/>
    <m/>
    <m/>
    <m/>
    <m/>
    <m/>
    <m/>
    <m/>
    <s v="No"/>
  </r>
  <r>
    <n v="2183"/>
    <n v="241476"/>
    <s v="P"/>
    <s v="Capitalized"/>
    <s v="35 Gallons MSW Totes"/>
    <m/>
    <m/>
    <n v="540"/>
    <m/>
    <n v="0"/>
    <s v="REHRIG PACIFIC COMPANY IN"/>
    <m/>
    <s v="CONTAINERS"/>
    <s v="TBA"/>
    <m/>
    <m/>
    <m/>
    <d v="2020-11-13T00:00:00"/>
    <d v="2020-11-13T00:00:00"/>
    <s v="2183-20-0037-1"/>
    <n v="700"/>
    <n v="14050"/>
    <n v="18632.57"/>
    <n v="14056"/>
    <n v="9316.31"/>
    <n v="0"/>
    <n v="9316.26"/>
    <n v="887.28"/>
    <n v="54260"/>
    <n v="221.82"/>
    <n v="0"/>
    <n v="221.82"/>
    <s v="P"/>
    <m/>
    <m/>
    <s v=" "/>
    <x v="20"/>
    <s v="YES"/>
    <m/>
    <m/>
    <m/>
    <m/>
    <m/>
    <m/>
    <m/>
    <m/>
    <m/>
    <m/>
    <s v="No"/>
  </r>
  <r>
    <n v="2183"/>
    <n v="241234"/>
    <s v="P"/>
    <s v="Capitalized"/>
    <s v="2020 Peterbilt ASL Truck"/>
    <m/>
    <m/>
    <n v="1"/>
    <s v="3BPDLK0X7LF108414"/>
    <n v="2020"/>
    <s v="Peterbilt"/>
    <s v="Labrie"/>
    <s v="TRUCKS AND TRAILERS"/>
    <s v="TBA"/>
    <s v="Automated Side Loader"/>
    <m/>
    <m/>
    <d v="2020-10-01T00:00:00"/>
    <d v="2020-10-01T00:00:00"/>
    <s v="2183-20-0025"/>
    <n v="1000"/>
    <n v="14040"/>
    <n v="368277.46"/>
    <n v="14046"/>
    <n v="131966.10999999999"/>
    <n v="0"/>
    <n v="236311.35000000003"/>
    <n v="12275.92"/>
    <n v="51260"/>
    <n v="3068.98"/>
    <n v="0"/>
    <n v="3068.98"/>
    <s v="P"/>
    <m/>
    <n v="3703"/>
    <s v=" "/>
    <x v="20"/>
    <s v="YES"/>
    <m/>
    <m/>
    <m/>
    <m/>
    <m/>
    <m/>
    <m/>
    <m/>
    <m/>
    <m/>
    <s v="No"/>
  </r>
  <r>
    <n v="2183"/>
    <n v="240655"/>
    <n v="236404"/>
    <s v="Capitalized"/>
    <s v="Licensing for Truck 4523"/>
    <m/>
    <m/>
    <n v="1"/>
    <m/>
    <n v="0"/>
    <s v="WA DOL"/>
    <m/>
    <s v="TRUCKS AND TRAILERS"/>
    <s v="TBA"/>
    <s v="Non-Rolling Stock"/>
    <m/>
    <m/>
    <d v="2020-09-11T00:00:00"/>
    <d v="2020-09-11T00:00:00"/>
    <s v="2183-20-0027-1"/>
    <n v="1000"/>
    <n v="14040"/>
    <n v="537.99"/>
    <n v="14046"/>
    <n v="197.25"/>
    <n v="0"/>
    <n v="340.74"/>
    <n v="17.920000000000002"/>
    <n v="51260"/>
    <n v="4.4800000000000004"/>
    <n v="0"/>
    <n v="4.4800000000000004"/>
    <s v="P"/>
    <m/>
    <m/>
    <s v=" "/>
    <x v="20"/>
    <s v="YES"/>
    <m/>
    <m/>
    <m/>
    <m/>
    <m/>
    <m/>
    <m/>
    <m/>
    <m/>
    <m/>
    <s v="No"/>
  </r>
  <r>
    <n v="2183"/>
    <n v="240654"/>
    <n v="236404"/>
    <s v="Capitalized"/>
    <s v="New RO Truck 4523 Decals"/>
    <m/>
    <m/>
    <n v="1"/>
    <m/>
    <n v="0"/>
    <s v="Larsen Sign Co."/>
    <m/>
    <s v="TRUCKS AND TRAILERS"/>
    <s v="TBA"/>
    <s v="Non-Rolling Stock"/>
    <m/>
    <m/>
    <d v="2020-09-11T00:00:00"/>
    <d v="2020-09-11T00:00:00"/>
    <s v="2183-20-0027-1"/>
    <n v="1000"/>
    <n v="14040"/>
    <n v="268.02999999999997"/>
    <n v="14046"/>
    <n v="98.26"/>
    <n v="0"/>
    <n v="169.76999999999998"/>
    <n v="8.92"/>
    <n v="51260"/>
    <n v="2.23"/>
    <n v="0"/>
    <n v="2.23"/>
    <s v="P"/>
    <m/>
    <m/>
    <s v=" "/>
    <x v="20"/>
    <s v="YES"/>
    <m/>
    <m/>
    <m/>
    <m/>
    <m/>
    <m/>
    <m/>
    <m/>
    <m/>
    <m/>
    <s v="No"/>
  </r>
  <r>
    <n v="2183"/>
    <n v="240653"/>
    <n v="237513"/>
    <s v="Capitalized"/>
    <s v="Decals"/>
    <m/>
    <m/>
    <n v="1"/>
    <m/>
    <n v="0"/>
    <s v="Larsen Sign Co"/>
    <m/>
    <s v="TRUCKS AND TRAILERS"/>
    <s v="TBA"/>
    <s v="Non-Rolling Stock"/>
    <m/>
    <m/>
    <d v="2020-08-12T00:00:00"/>
    <d v="2020-08-12T00:00:00"/>
    <s v="2183-20-0021-1"/>
    <n v="1000"/>
    <n v="14040"/>
    <n v="220.99"/>
    <n v="14046"/>
    <n v="82.87"/>
    <n v="0"/>
    <n v="138.12"/>
    <n v="7.36"/>
    <n v="51260"/>
    <n v="1.84"/>
    <n v="0"/>
    <n v="1.84"/>
    <s v="P"/>
    <m/>
    <m/>
    <s v=" "/>
    <x v="20"/>
    <s v="YES"/>
    <m/>
    <m/>
    <m/>
    <m/>
    <m/>
    <m/>
    <m/>
    <m/>
    <m/>
    <m/>
    <s v="No"/>
  </r>
  <r>
    <n v="2183"/>
    <n v="240614"/>
    <n v="240613"/>
    <s v="Capitalized"/>
    <s v="(30) Power Harnesses for new DriveCams"/>
    <m/>
    <m/>
    <n v="30"/>
    <m/>
    <n v="0"/>
    <s v="Lytx"/>
    <m/>
    <s v="SHOP EQUIPMENT"/>
    <s v="TBA"/>
    <m/>
    <m/>
    <m/>
    <d v="2020-10-22T00:00:00"/>
    <d v="2020-10-22T00:00:00"/>
    <s v="2183-20-0036-1"/>
    <n v="500"/>
    <n v="14070"/>
    <n v="1148.7"/>
    <n v="14076"/>
    <n v="804.11"/>
    <n v="0"/>
    <n v="344.59000000000003"/>
    <n v="76.599999999999994"/>
    <n v="51260"/>
    <n v="19.149999999999999"/>
    <n v="0"/>
    <n v="19.149999999999999"/>
    <s v="P"/>
    <m/>
    <m/>
    <s v=" "/>
    <x v="20"/>
    <s v="YES"/>
    <m/>
    <m/>
    <m/>
    <m/>
    <m/>
    <m/>
    <m/>
    <m/>
    <m/>
    <m/>
    <s v="No"/>
  </r>
  <r>
    <n v="2183"/>
    <n v="240613"/>
    <s v="P"/>
    <s v="Capitalized"/>
    <s v="(108) SF300 DriveCams"/>
    <m/>
    <m/>
    <n v="108"/>
    <m/>
    <n v="0"/>
    <s v="Lytx"/>
    <m/>
    <s v="SHOP EQUIPMENT"/>
    <s v="TBA"/>
    <m/>
    <m/>
    <m/>
    <d v="2020-10-01T00:00:00"/>
    <d v="2020-10-01T00:00:00"/>
    <s v="2183-20-0036-1"/>
    <n v="500"/>
    <n v="14070"/>
    <n v="99074.29"/>
    <n v="14076"/>
    <n v="71003.259999999995"/>
    <n v="0"/>
    <n v="28071.03"/>
    <n v="6604.96"/>
    <n v="51260"/>
    <n v="1651.24"/>
    <n v="0"/>
    <n v="1651.24"/>
    <s v="P"/>
    <m/>
    <m/>
    <s v=" "/>
    <x v="20"/>
    <s v="YES"/>
    <m/>
    <m/>
    <m/>
    <m/>
    <m/>
    <m/>
    <m/>
    <m/>
    <m/>
    <m/>
    <s v="No"/>
  </r>
  <r>
    <n v="2183"/>
    <n v="240306"/>
    <s v="P"/>
    <s v="Capitalized"/>
    <s v="30YD Containers"/>
    <m/>
    <m/>
    <n v="1"/>
    <m/>
    <n v="0"/>
    <m/>
    <m/>
    <s v="CONTAINERS"/>
    <s v="TBA"/>
    <m/>
    <s v="30 YD"/>
    <s v="RO Box"/>
    <d v="2008-11-03T00:00:00"/>
    <d v="2008-11-03T00:00:00"/>
    <m/>
    <n v="700"/>
    <n v="14050"/>
    <n v="135.63999999999999"/>
    <n v="14056"/>
    <n v="135.63999999999999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40299"/>
    <s v="P"/>
    <s v="Capitalized"/>
    <s v="20 Yard R/O Containers"/>
    <m/>
    <m/>
    <n v="28"/>
    <m/>
    <n v="0"/>
    <m/>
    <m/>
    <s v="CONTAINERS"/>
    <s v="TBA"/>
    <m/>
    <s v="20 YD"/>
    <s v="RO Box"/>
    <d v="2008-11-03T00:00:00"/>
    <d v="2008-11-03T00:00:00"/>
    <m/>
    <n v="700"/>
    <n v="14050"/>
    <n v="5076.1899999999996"/>
    <n v="14056"/>
    <n v="5076.1899999999996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40153"/>
    <s v="P"/>
    <s v="Capitalized"/>
    <s v="30 Yard R/O Containers"/>
    <m/>
    <m/>
    <n v="2"/>
    <m/>
    <n v="0"/>
    <m/>
    <m/>
    <s v="CONTAINERS"/>
    <s v="TBA"/>
    <m/>
    <s v="30 YD"/>
    <s v="RO Box"/>
    <d v="2008-11-03T00:00:00"/>
    <d v="2008-11-03T00:00:00"/>
    <m/>
    <n v="700"/>
    <n v="14050"/>
    <n v="3060"/>
    <n v="14056"/>
    <n v="306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39456"/>
    <n v="236404"/>
    <s v="Capitalized"/>
    <s v="Drive Cam"/>
    <m/>
    <m/>
    <n v="1"/>
    <m/>
    <n v="0"/>
    <s v="Lytx"/>
    <m/>
    <s v="TRUCKS AND TRAILERS"/>
    <s v="TBA"/>
    <s v="Non-Rolling Stock"/>
    <m/>
    <m/>
    <d v="2020-08-01T00:00:00"/>
    <d v="2020-08-01T00:00:00"/>
    <s v="2183-20-0027-1"/>
    <n v="500"/>
    <n v="14040"/>
    <n v="342.97"/>
    <n v="14046"/>
    <n v="257.23"/>
    <n v="0"/>
    <n v="85.740000000000009"/>
    <n v="22.88"/>
    <n v="51260"/>
    <n v="5.72"/>
    <n v="0"/>
    <n v="5.72"/>
    <s v="P"/>
    <m/>
    <m/>
    <s v=" "/>
    <x v="20"/>
    <s v="YES"/>
    <m/>
    <m/>
    <m/>
    <m/>
    <m/>
    <m/>
    <m/>
    <m/>
    <m/>
    <m/>
    <s v="No"/>
  </r>
  <r>
    <n v="2183"/>
    <n v="239455"/>
    <n v="237513"/>
    <s v="Capitalized"/>
    <s v="License"/>
    <m/>
    <m/>
    <n v="1"/>
    <m/>
    <n v="0"/>
    <s v="WA DOL"/>
    <m/>
    <s v="TRUCKS AND TRAILERS"/>
    <s v="TBA"/>
    <s v="Non-Rolling Stock"/>
    <m/>
    <m/>
    <d v="2020-09-01T00:00:00"/>
    <d v="2020-09-01T00:00:00"/>
    <s v="2183-20-0021-1"/>
    <n v="1000"/>
    <n v="14040"/>
    <n v="1009.58"/>
    <n v="14046"/>
    <n v="370.13"/>
    <n v="0"/>
    <n v="639.45000000000005"/>
    <n v="33.64"/>
    <n v="51260"/>
    <n v="8.41"/>
    <n v="0"/>
    <n v="8.41"/>
    <s v="P"/>
    <m/>
    <m/>
    <s v=" "/>
    <x v="20"/>
    <s v="YES"/>
    <m/>
    <m/>
    <m/>
    <m/>
    <m/>
    <m/>
    <m/>
    <m/>
    <m/>
    <m/>
    <s v="No"/>
  </r>
  <r>
    <n v="2183"/>
    <n v="239454"/>
    <n v="237513"/>
    <s v="Capitalized"/>
    <s v="License on RO Truck"/>
    <m/>
    <m/>
    <n v="1"/>
    <m/>
    <n v="0"/>
    <s v="WA DOL"/>
    <m/>
    <s v="TRUCKS AND TRAILERS"/>
    <s v="TBA"/>
    <s v="Non-Rolling Stock"/>
    <m/>
    <m/>
    <d v="2020-09-01T00:00:00"/>
    <d v="2020-09-01T00:00:00"/>
    <s v="2183-20-0021-1"/>
    <n v="1000"/>
    <n v="14040"/>
    <n v="427.45"/>
    <n v="14046"/>
    <n v="156.74"/>
    <n v="0"/>
    <n v="270.70999999999998"/>
    <n v="14.24"/>
    <n v="51260"/>
    <n v="3.56"/>
    <n v="0"/>
    <n v="3.56"/>
    <s v="P"/>
    <m/>
    <m/>
    <s v=" "/>
    <x v="20"/>
    <s v="YES"/>
    <m/>
    <m/>
    <m/>
    <m/>
    <m/>
    <m/>
    <m/>
    <m/>
    <m/>
    <m/>
    <s v="No"/>
  </r>
  <r>
    <n v="2183"/>
    <n v="237687"/>
    <s v="P"/>
    <s v="Capitalized"/>
    <s v="30 Yard R/O Containers"/>
    <m/>
    <m/>
    <n v="25"/>
    <m/>
    <n v="0"/>
    <m/>
    <m/>
    <s v="CONTAINERS"/>
    <s v="TBA"/>
    <m/>
    <s v="30 YD"/>
    <s v="RO Box"/>
    <d v="2008-11-03T00:00:00"/>
    <d v="2008-11-03T00:00:00"/>
    <m/>
    <n v="700"/>
    <n v="14050"/>
    <n v="37543.25"/>
    <n v="14056"/>
    <n v="37543.25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37569"/>
    <s v="P"/>
    <s v="Capitalized"/>
    <s v="95 Gallon Refuse Containers"/>
    <m/>
    <m/>
    <n v="351"/>
    <m/>
    <n v="0"/>
    <s v="REHRIG PACIFIC COMPANY IN"/>
    <m/>
    <s v="CONTAINERS"/>
    <s v="TBA"/>
    <m/>
    <m/>
    <m/>
    <d v="2020-07-28T00:00:00"/>
    <d v="2020-07-28T00:00:00"/>
    <s v="2183-20-0033-1"/>
    <n v="700"/>
    <n v="14050"/>
    <n v="15029.53"/>
    <n v="14056"/>
    <n v="8051.54"/>
    <n v="0"/>
    <n v="6977.9900000000007"/>
    <n v="715.68"/>
    <n v="54260"/>
    <n v="178.92"/>
    <n v="0"/>
    <n v="178.92"/>
    <s v="P"/>
    <m/>
    <m/>
    <s v=" "/>
    <x v="20"/>
    <s v="YES"/>
    <m/>
    <m/>
    <m/>
    <m/>
    <m/>
    <m/>
    <m/>
    <m/>
    <m/>
    <m/>
    <s v="No"/>
  </r>
  <r>
    <n v="2183"/>
    <n v="237513"/>
    <s v="P"/>
    <s v="Capitalized"/>
    <s v="2020 Peterbilt ROL Truck"/>
    <m/>
    <m/>
    <n v="1"/>
    <s v="1NPCX4EX1LD730317"/>
    <n v="2020"/>
    <s v="Peterbilt"/>
    <s v="AA Welding"/>
    <s v="TRUCKS AND TRAILERS"/>
    <s v="TBA"/>
    <s v="Roll Off"/>
    <m/>
    <m/>
    <d v="2020-09-01T00:00:00"/>
    <d v="2020-09-01T00:00:00"/>
    <s v="2183-20-0021"/>
    <n v="1000"/>
    <n v="14040"/>
    <n v="269291.76"/>
    <n v="14046"/>
    <n v="98740.33"/>
    <n v="0"/>
    <n v="170551.43"/>
    <n v="8976.4"/>
    <n v="51260"/>
    <n v="2244.1"/>
    <n v="0"/>
    <n v="2244.1"/>
    <s v="P"/>
    <m/>
    <n v="4089"/>
    <s v=" "/>
    <x v="20"/>
    <s v="YES"/>
    <m/>
    <m/>
    <m/>
    <m/>
    <m/>
    <m/>
    <m/>
    <m/>
    <m/>
    <m/>
    <s v="No"/>
  </r>
  <r>
    <n v="2183"/>
    <n v="236859"/>
    <s v="P"/>
    <s v="Capitalized"/>
    <s v="2Yd FEL Metal Containers"/>
    <m/>
    <m/>
    <n v="15"/>
    <m/>
    <n v="0"/>
    <s v="WASTEQUIP LLC"/>
    <m/>
    <s v="CONTAINERS"/>
    <s v="TBA"/>
    <m/>
    <s v="2 YD"/>
    <s v="FEL/REL/SL Metal"/>
    <d v="2020-08-04T00:00:00"/>
    <d v="2020-08-04T00:00:00"/>
    <s v="2183-20-0034-1"/>
    <n v="1200"/>
    <n v="14050"/>
    <n v="7349.18"/>
    <n v="14056"/>
    <n v="2296.63"/>
    <n v="0"/>
    <n v="5052.55"/>
    <n v="204.16"/>
    <n v="54260"/>
    <n v="51.04"/>
    <n v="0"/>
    <n v="51.04"/>
    <s v="P"/>
    <m/>
    <m/>
    <s v=" "/>
    <x v="20"/>
    <s v="YES"/>
    <m/>
    <m/>
    <m/>
    <m/>
    <m/>
    <m/>
    <m/>
    <m/>
    <m/>
    <m/>
    <s v="No"/>
  </r>
  <r>
    <n v="2183"/>
    <n v="236858"/>
    <s v="P"/>
    <s v="Capitalized"/>
    <s v="2Yd REL Metal Containers"/>
    <m/>
    <m/>
    <n v="25"/>
    <m/>
    <n v="0"/>
    <s v="WASTEQUIP LLC"/>
    <m/>
    <s v="CONTAINERS"/>
    <s v="TBA"/>
    <m/>
    <s v="2 YD"/>
    <s v="FEL/REL/SL Metal"/>
    <d v="2020-08-04T00:00:00"/>
    <d v="2020-08-04T00:00:00"/>
    <s v="2183-20-0034-1"/>
    <n v="1200"/>
    <n v="14050"/>
    <n v="15940.84"/>
    <n v="14056"/>
    <n v="4981.5"/>
    <n v="0"/>
    <n v="10959.34"/>
    <n v="442.8"/>
    <n v="54260"/>
    <n v="110.7"/>
    <n v="0"/>
    <n v="110.7"/>
    <s v="P"/>
    <m/>
    <m/>
    <s v=" "/>
    <x v="20"/>
    <s v="YES"/>
    <m/>
    <m/>
    <m/>
    <m/>
    <m/>
    <m/>
    <m/>
    <m/>
    <m/>
    <m/>
    <s v="No"/>
  </r>
  <r>
    <n v="2183"/>
    <n v="236857"/>
    <s v="P"/>
    <s v="Capitalized"/>
    <s v="1.5yd REL Metal Containers"/>
    <m/>
    <m/>
    <n v="25"/>
    <m/>
    <n v="0"/>
    <s v="WASTEQUIP LLC"/>
    <m/>
    <s v="CONTAINERS"/>
    <s v="TBA"/>
    <m/>
    <s v="1.5 YD"/>
    <s v="FEL/REL/SL Metal"/>
    <d v="2020-08-04T00:00:00"/>
    <d v="2020-08-04T00:00:00"/>
    <s v="2183-20-0034-1"/>
    <n v="1200"/>
    <n v="14050"/>
    <n v="13862.24"/>
    <n v="14056"/>
    <n v="4331.9799999999996"/>
    <n v="0"/>
    <n v="9530.26"/>
    <n v="385.08"/>
    <n v="54260"/>
    <n v="96.27"/>
    <n v="0"/>
    <n v="96.27"/>
    <s v="P"/>
    <m/>
    <m/>
    <s v=" "/>
    <x v="20"/>
    <s v="YES"/>
    <m/>
    <m/>
    <m/>
    <m/>
    <m/>
    <m/>
    <m/>
    <m/>
    <m/>
    <m/>
    <s v="No"/>
  </r>
  <r>
    <n v="2183"/>
    <n v="236856"/>
    <s v="P"/>
    <s v="Capitalized"/>
    <s v="5Yd FEL Metal Containers"/>
    <m/>
    <m/>
    <n v="10"/>
    <m/>
    <n v="0"/>
    <s v="WASTEQUIP LLC"/>
    <m/>
    <s v="CONTAINERS"/>
    <s v="TBA"/>
    <m/>
    <s v="5 YD"/>
    <s v="FEL/REL/SL Metal"/>
    <d v="2020-08-04T00:00:00"/>
    <d v="2020-08-04T00:00:00"/>
    <s v="2183-20-0034-1"/>
    <n v="1200"/>
    <n v="14050"/>
    <n v="7868.98"/>
    <n v="14056"/>
    <n v="2459.08"/>
    <n v="0"/>
    <n v="5409.9"/>
    <n v="218.6"/>
    <n v="54260"/>
    <n v="54.65"/>
    <n v="0"/>
    <n v="54.65"/>
    <s v="P"/>
    <m/>
    <m/>
    <s v=" "/>
    <x v="20"/>
    <s v="YES"/>
    <m/>
    <m/>
    <m/>
    <m/>
    <m/>
    <m/>
    <m/>
    <m/>
    <m/>
    <m/>
    <s v="No"/>
  </r>
  <r>
    <n v="2183"/>
    <n v="236855"/>
    <s v="P"/>
    <s v="Capitalized"/>
    <s v="3Yd FEL Metal Containers"/>
    <m/>
    <m/>
    <n v="10"/>
    <m/>
    <n v="0"/>
    <s v="WASTEQUIP LLC"/>
    <m/>
    <s v="CONTAINERS"/>
    <s v="TBA"/>
    <m/>
    <s v="3 YD"/>
    <s v="FEL/REL/SL Metal"/>
    <d v="2020-08-04T00:00:00"/>
    <d v="2020-08-04T00:00:00"/>
    <s v="2183-20-0034-1"/>
    <n v="1200"/>
    <n v="14050"/>
    <n v="5123.05"/>
    <n v="14056"/>
    <n v="1600.96"/>
    <n v="0"/>
    <n v="3522.09"/>
    <n v="142.32"/>
    <n v="54260"/>
    <n v="35.58"/>
    <n v="0"/>
    <n v="35.58"/>
    <s v="P"/>
    <m/>
    <m/>
    <s v=" "/>
    <x v="20"/>
    <s v="YES"/>
    <m/>
    <m/>
    <m/>
    <m/>
    <m/>
    <m/>
    <m/>
    <m/>
    <m/>
    <m/>
    <s v="No"/>
  </r>
  <r>
    <n v="2183"/>
    <n v="236854"/>
    <s v="P"/>
    <s v="Capitalized"/>
    <s v="1Yd REL Metal Containers"/>
    <m/>
    <m/>
    <n v="15"/>
    <m/>
    <n v="0"/>
    <s v="WASTEQUIP LLC"/>
    <m/>
    <s v="CONTAINERS"/>
    <s v="TBA"/>
    <m/>
    <s v="1 YD"/>
    <s v="FEL/REL/SL Metal"/>
    <d v="2020-08-04T00:00:00"/>
    <d v="2020-08-04T00:00:00"/>
    <s v="2183-20-0034-1"/>
    <n v="1200"/>
    <n v="14050"/>
    <n v="8012.77"/>
    <n v="14056"/>
    <n v="2503.9699999999998"/>
    <n v="0"/>
    <n v="5508.8000000000011"/>
    <n v="222.56"/>
    <n v="54260"/>
    <n v="55.64"/>
    <n v="0"/>
    <n v="55.64"/>
    <s v="P"/>
    <m/>
    <m/>
    <s v=" "/>
    <x v="20"/>
    <s v="YES"/>
    <m/>
    <m/>
    <m/>
    <m/>
    <m/>
    <m/>
    <m/>
    <m/>
    <m/>
    <m/>
    <s v="No"/>
  </r>
  <r>
    <n v="2183"/>
    <n v="236853"/>
    <s v="P"/>
    <s v="Capitalized"/>
    <s v="95 Gallon Yardwaste Containers"/>
    <m/>
    <m/>
    <n v="702"/>
    <m/>
    <n v="0"/>
    <s v="REHRIG PACIFIC COMPANY IN"/>
    <m/>
    <s v="CONTAINERS"/>
    <s v="TBA"/>
    <m/>
    <m/>
    <m/>
    <d v="2020-07-28T00:00:00"/>
    <d v="2020-07-28T00:00:00"/>
    <s v="2183-20-0033-1"/>
    <n v="700"/>
    <n v="14050"/>
    <n v="30059.05"/>
    <n v="14056"/>
    <n v="16103.08"/>
    <n v="0"/>
    <n v="13955.97"/>
    <n v="1431.4"/>
    <n v="54260"/>
    <n v="357.85"/>
    <n v="0"/>
    <n v="357.85"/>
    <s v="P"/>
    <m/>
    <m/>
    <s v=" "/>
    <x v="20"/>
    <s v="YES"/>
    <m/>
    <m/>
    <m/>
    <m/>
    <m/>
    <m/>
    <m/>
    <m/>
    <m/>
    <m/>
    <s v="No"/>
  </r>
  <r>
    <n v="2183"/>
    <n v="236852"/>
    <s v="P"/>
    <s v="Capitalized"/>
    <s v="95 Gallon Recycle Containers"/>
    <m/>
    <m/>
    <n v="702"/>
    <m/>
    <n v="0"/>
    <s v="REHRIG PACIFIC COMPANY IN"/>
    <m/>
    <s v="CONTAINERS"/>
    <s v="TBA"/>
    <m/>
    <m/>
    <m/>
    <d v="2020-07-28T00:00:00"/>
    <d v="2020-07-28T00:00:00"/>
    <s v="2183-20-0033-1"/>
    <n v="700"/>
    <n v="14050"/>
    <n v="30059.05"/>
    <n v="14056"/>
    <n v="16103.08"/>
    <n v="0"/>
    <n v="13955.97"/>
    <n v="1431.4"/>
    <n v="54260"/>
    <n v="357.85"/>
    <n v="0"/>
    <n v="357.85"/>
    <s v="P"/>
    <m/>
    <m/>
    <s v=" "/>
    <x v="20"/>
    <s v="YES"/>
    <m/>
    <m/>
    <m/>
    <m/>
    <m/>
    <m/>
    <m/>
    <m/>
    <m/>
    <m/>
    <s v="No"/>
  </r>
  <r>
    <n v="2183"/>
    <n v="236851"/>
    <s v="P"/>
    <s v="Capitalized"/>
    <s v="64 Gallon Refuse Containers"/>
    <m/>
    <m/>
    <n v="864"/>
    <m/>
    <n v="0"/>
    <s v="TOTER LLC"/>
    <m/>
    <s v="CONTAINERS"/>
    <s v="TBA"/>
    <m/>
    <m/>
    <m/>
    <d v="2020-07-28T00:00:00"/>
    <d v="2020-07-28T00:00:00"/>
    <s v="2183-20-0033-1"/>
    <n v="700"/>
    <n v="14050"/>
    <n v="27326.2"/>
    <n v="14056"/>
    <n v="14639.02"/>
    <n v="0"/>
    <n v="12687.18"/>
    <n v="1301.24"/>
    <n v="54260"/>
    <n v="325.31"/>
    <n v="0"/>
    <n v="325.31"/>
    <s v="P"/>
    <m/>
    <m/>
    <s v=" "/>
    <x v="20"/>
    <s v="YES"/>
    <m/>
    <m/>
    <m/>
    <m/>
    <m/>
    <m/>
    <m/>
    <m/>
    <m/>
    <m/>
    <s v="No"/>
  </r>
  <r>
    <n v="2183"/>
    <n v="236404"/>
    <s v="P"/>
    <s v="Capitalized"/>
    <s v="2021 Peterbilt Hooklift Truck"/>
    <m/>
    <m/>
    <n v="1"/>
    <s v="3BPPHM7X2MF593773"/>
    <n v="2021"/>
    <s v="Peterbilt"/>
    <s v="Stellar"/>
    <s v="TRUCKS AND TRAILERS"/>
    <s v="TBA"/>
    <s v="Hooklift"/>
    <m/>
    <m/>
    <d v="2020-08-01T00:00:00"/>
    <d v="2020-08-01T00:00:00"/>
    <s v="2183-20-0027"/>
    <n v="1000"/>
    <n v="14040"/>
    <n v="154004.04"/>
    <n v="14046"/>
    <n v="57751.519999999997"/>
    <n v="0"/>
    <n v="96252.520000000019"/>
    <n v="5133.4799999999996"/>
    <n v="51260"/>
    <n v="1283.3699999999999"/>
    <n v="0"/>
    <n v="1283.3699999999999"/>
    <s v="P"/>
    <m/>
    <n v="4523"/>
    <s v=" "/>
    <x v="20"/>
    <s v="YES"/>
    <m/>
    <m/>
    <m/>
    <m/>
    <m/>
    <m/>
    <m/>
    <m/>
    <m/>
    <m/>
    <s v="No"/>
  </r>
  <r>
    <n v="2183"/>
    <n v="236330"/>
    <s v="P"/>
    <s v="Capitalized"/>
    <s v="6 Yd FEL Metal Containers"/>
    <m/>
    <m/>
    <n v="10"/>
    <m/>
    <n v="0"/>
    <s v="WASTEQUIP LLC"/>
    <m/>
    <s v="CONTAINERS"/>
    <s v="TBA"/>
    <m/>
    <s v="6 YD"/>
    <s v="FEL/REL/SL Metal"/>
    <d v="2020-08-04T00:00:00"/>
    <d v="2020-08-04T00:00:00"/>
    <s v="2183-20-0034-1"/>
    <n v="1200"/>
    <n v="14050"/>
    <n v="8281.58"/>
    <n v="14056"/>
    <n v="2587.9899999999998"/>
    <n v="0"/>
    <n v="5693.59"/>
    <n v="230.04"/>
    <n v="54260"/>
    <n v="57.51"/>
    <n v="0"/>
    <n v="57.51"/>
    <s v="P"/>
    <m/>
    <m/>
    <s v=" "/>
    <x v="20"/>
    <s v="YES"/>
    <m/>
    <m/>
    <m/>
    <m/>
    <m/>
    <m/>
    <m/>
    <m/>
    <m/>
    <m/>
    <s v="No"/>
  </r>
  <r>
    <n v="2183"/>
    <n v="236329"/>
    <s v="P"/>
    <s v="Capitalized"/>
    <s v="64 Gallon Refuse Carts"/>
    <m/>
    <m/>
    <n v="864"/>
    <m/>
    <n v="0"/>
    <s v="TOTER LLC"/>
    <m/>
    <s v="CONTAINERS"/>
    <s v="TBA"/>
    <m/>
    <m/>
    <m/>
    <d v="2020-07-28T00:00:00"/>
    <d v="2020-07-28T00:00:00"/>
    <s v="2183-20-0033-1"/>
    <n v="700"/>
    <n v="14050"/>
    <n v="27326.2"/>
    <n v="14056"/>
    <n v="14639.02"/>
    <n v="0"/>
    <n v="12687.18"/>
    <n v="1301.24"/>
    <n v="54260"/>
    <n v="325.31"/>
    <n v="0"/>
    <n v="325.31"/>
    <s v="P"/>
    <m/>
    <m/>
    <s v=" "/>
    <x v="20"/>
    <s v="YES"/>
    <m/>
    <m/>
    <m/>
    <m/>
    <m/>
    <m/>
    <m/>
    <m/>
    <m/>
    <m/>
    <s v="No"/>
  </r>
  <r>
    <n v="2183"/>
    <n v="236070"/>
    <s v="P"/>
    <s v="Capitalized"/>
    <s v="96gal MSW Totes"/>
    <m/>
    <m/>
    <n v="624"/>
    <m/>
    <n v="0"/>
    <s v="TOTER LLC"/>
    <m/>
    <s v="CONTAINERS"/>
    <s v="TBA"/>
    <m/>
    <m/>
    <m/>
    <d v="2020-07-28T00:00:00"/>
    <d v="2020-07-28T00:00:00"/>
    <s v="2183-20-0033-1"/>
    <n v="700"/>
    <n v="14050"/>
    <n v="23148.87"/>
    <n v="14056"/>
    <n v="12401.17"/>
    <n v="0"/>
    <n v="10747.699999999999"/>
    <n v="1102.32"/>
    <n v="54260"/>
    <n v="275.58"/>
    <n v="0"/>
    <n v="275.58"/>
    <s v="P"/>
    <m/>
    <m/>
    <s v=" "/>
    <x v="20"/>
    <s v="YES"/>
    <m/>
    <m/>
    <m/>
    <m/>
    <m/>
    <m/>
    <m/>
    <m/>
    <m/>
    <m/>
    <s v="No"/>
  </r>
  <r>
    <n v="2183"/>
    <n v="233736"/>
    <s v="P"/>
    <s v="Capitalized"/>
    <s v="96 Gallon Yardwaste Carts"/>
    <m/>
    <m/>
    <n v="351"/>
    <m/>
    <n v="0"/>
    <s v="REHRIG PACIFIC COMPANY IN"/>
    <m/>
    <s v="CONTAINERS"/>
    <s v="TBA"/>
    <m/>
    <m/>
    <m/>
    <d v="2020-06-16T00:00:00"/>
    <d v="2020-06-16T00:00:00"/>
    <s v="2183-20-0029-1"/>
    <n v="700"/>
    <n v="14050"/>
    <n v="14415.13"/>
    <n v="14056"/>
    <n v="7894.02"/>
    <n v="0"/>
    <n v="6521.1099999999988"/>
    <n v="686.44"/>
    <n v="54260"/>
    <n v="171.61"/>
    <n v="0"/>
    <n v="171.61"/>
    <s v="P"/>
    <m/>
    <m/>
    <s v=" "/>
    <x v="20"/>
    <s v="YES"/>
    <m/>
    <m/>
    <m/>
    <m/>
    <m/>
    <m/>
    <m/>
    <m/>
    <m/>
    <m/>
    <s v="No"/>
  </r>
  <r>
    <n v="2183"/>
    <n v="233561"/>
    <s v="P"/>
    <s v="Capitalized"/>
    <s v="95 Gallon Recycle Containers"/>
    <m/>
    <m/>
    <n v="702"/>
    <m/>
    <n v="0"/>
    <s v="REHRIG PACIFIC COMPANY IN"/>
    <m/>
    <s v="CONTAINERS"/>
    <s v="TBA"/>
    <m/>
    <m/>
    <m/>
    <d v="2020-05-04T00:00:00"/>
    <d v="2020-05-04T00:00:00"/>
    <s v="2183-20-0029-1"/>
    <n v="700"/>
    <n v="14050"/>
    <n v="25637.46"/>
    <n v="14056"/>
    <n v="14650"/>
    <n v="0"/>
    <n v="10987.46"/>
    <n v="1220.8399999999999"/>
    <n v="54260"/>
    <n v="305.20999999999998"/>
    <n v="0"/>
    <n v="305.20999999999998"/>
    <s v="P"/>
    <m/>
    <m/>
    <s v=" "/>
    <x v="20"/>
    <s v="YES"/>
    <m/>
    <m/>
    <m/>
    <m/>
    <m/>
    <m/>
    <m/>
    <m/>
    <m/>
    <m/>
    <s v="No"/>
  </r>
  <r>
    <n v="2183"/>
    <n v="233145"/>
    <n v="232602"/>
    <s v="Capitalized"/>
    <s v="License"/>
    <m/>
    <m/>
    <n v="1"/>
    <m/>
    <n v="0"/>
    <s v="WA DOL"/>
    <m/>
    <s v="TRUCKS AND TRAILERS"/>
    <s v="TBA"/>
    <s v="Non-Rolling Stock"/>
    <m/>
    <m/>
    <d v="2020-05-21T00:00:00"/>
    <d v="2020-05-21T00:00:00"/>
    <s v="2183-20-0008-1"/>
    <n v="500"/>
    <n v="14040"/>
    <n v="2570.6999999999998"/>
    <n v="14046"/>
    <n v="2013.74"/>
    <n v="0"/>
    <n v="556.95999999999981"/>
    <n v="171.4"/>
    <n v="51260"/>
    <n v="42.85"/>
    <n v="0"/>
    <n v="42.85"/>
    <s v="P"/>
    <m/>
    <m/>
    <s v=" "/>
    <x v="20"/>
    <s v="YES"/>
    <m/>
    <m/>
    <m/>
    <m/>
    <m/>
    <m/>
    <m/>
    <m/>
    <m/>
    <m/>
    <s v="No"/>
  </r>
  <r>
    <n v="2183"/>
    <n v="232776"/>
    <s v="P"/>
    <s v="Capitalized"/>
    <s v="95gal Yardwaste Totes"/>
    <m/>
    <m/>
    <n v="702"/>
    <m/>
    <n v="0"/>
    <s v="REHRIG PACIFIC COMPANY IN"/>
    <m/>
    <s v="CONTAINERS"/>
    <s v="TBA"/>
    <m/>
    <m/>
    <m/>
    <d v="2020-05-04T00:00:00"/>
    <d v="2020-05-04T00:00:00"/>
    <s v="2183-20-0029-1"/>
    <n v="700"/>
    <n v="14050"/>
    <n v="30066.73"/>
    <n v="14056"/>
    <n v="17181.009999999998"/>
    <n v="0"/>
    <n v="12885.720000000001"/>
    <n v="1431.76"/>
    <n v="54260"/>
    <n v="357.94"/>
    <n v="0"/>
    <n v="357.94"/>
    <s v="P"/>
    <m/>
    <m/>
    <s v=" "/>
    <x v="20"/>
    <s v="YES"/>
    <m/>
    <m/>
    <m/>
    <m/>
    <m/>
    <m/>
    <m/>
    <m/>
    <m/>
    <m/>
    <s v="No"/>
  </r>
  <r>
    <n v="2183"/>
    <n v="232602"/>
    <s v="P"/>
    <s v="Capitalized"/>
    <s v="2020 Ford Pickup Truck"/>
    <m/>
    <m/>
    <n v="1"/>
    <s v="1FTMF1CB5LKE11678"/>
    <n v="2020"/>
    <s v="Ford"/>
    <m/>
    <s v="TRUCKS AND TRAILERS"/>
    <s v="TBA"/>
    <s v="Pickup Truck"/>
    <m/>
    <m/>
    <d v="2020-05-01T00:00:00"/>
    <d v="2020-05-01T00:00:00"/>
    <s v="2183-20-0008"/>
    <n v="500"/>
    <n v="14040"/>
    <n v="24681.4"/>
    <n v="14046"/>
    <n v="19745.13"/>
    <n v="0"/>
    <n v="4936.2700000000004"/>
    <n v="1645.44"/>
    <n v="51260"/>
    <n v="411.36"/>
    <n v="0"/>
    <n v="411.36"/>
    <s v="P"/>
    <m/>
    <n v="6063"/>
    <s v=" "/>
    <x v="20"/>
    <s v="YES"/>
    <m/>
    <m/>
    <m/>
    <m/>
    <m/>
    <m/>
    <m/>
    <m/>
    <m/>
    <m/>
    <s v="No"/>
  </r>
  <r>
    <n v="2183"/>
    <n v="231609"/>
    <s v="P"/>
    <s v="Capitalized"/>
    <s v="35 Gallon refuse Containers"/>
    <m/>
    <m/>
    <n v="1080"/>
    <m/>
    <n v="0"/>
    <s v="REHRIG PACIFIC COMPANY IN"/>
    <m/>
    <s v="CONTAINERS"/>
    <s v="TBA"/>
    <m/>
    <m/>
    <m/>
    <d v="2020-02-19T00:00:00"/>
    <d v="2020-02-19T00:00:00"/>
    <s v="2183-20-0029-1"/>
    <n v="700"/>
    <n v="14050"/>
    <n v="35932.589999999997"/>
    <n v="14056"/>
    <n v="21388.46"/>
    <n v="0"/>
    <n v="14544.129999999997"/>
    <n v="1711.08"/>
    <n v="54260"/>
    <n v="427.77"/>
    <n v="0"/>
    <n v="427.77"/>
    <s v="P"/>
    <m/>
    <m/>
    <s v=" "/>
    <x v="20"/>
    <s v="YES"/>
    <m/>
    <m/>
    <m/>
    <m/>
    <m/>
    <m/>
    <m/>
    <m/>
    <m/>
    <m/>
    <s v="No"/>
  </r>
  <r>
    <n v="2183"/>
    <n v="231608"/>
    <s v="P"/>
    <s v="Capitalized"/>
    <s v="65 Gallon Refuse Containers"/>
    <m/>
    <m/>
    <n v="936"/>
    <m/>
    <n v="0"/>
    <s v="REHRIG PACIFIC COMPANY IN"/>
    <m/>
    <s v="CONTAINERS"/>
    <s v="TBA"/>
    <m/>
    <m/>
    <m/>
    <d v="2020-02-19T00:00:00"/>
    <d v="2020-02-19T00:00:00"/>
    <s v="2183-20-0029-1"/>
    <n v="700"/>
    <n v="14050"/>
    <n v="37525.410000000003"/>
    <n v="14056"/>
    <n v="22336.5"/>
    <n v="0"/>
    <n v="15188.910000000003"/>
    <n v="1786.92"/>
    <n v="54260"/>
    <n v="446.73"/>
    <n v="0"/>
    <n v="446.73"/>
    <s v="P"/>
    <m/>
    <m/>
    <s v=" "/>
    <x v="20"/>
    <s v="YES"/>
    <m/>
    <m/>
    <m/>
    <m/>
    <m/>
    <m/>
    <m/>
    <m/>
    <m/>
    <m/>
    <s v="No"/>
  </r>
  <r>
    <n v="2183"/>
    <n v="230207"/>
    <n v="61094"/>
    <s v="Capitalized"/>
    <s v="Cap Repair: Truck 1045 Engine Inframe Rebuild"/>
    <m/>
    <m/>
    <n v="1"/>
    <m/>
    <n v="0"/>
    <s v="DIRKS TRUCK REPAIR INC"/>
    <m/>
    <s v="TRUCKS AND TRAILERS"/>
    <s v="TBA"/>
    <s v="Non-Rolling Stock"/>
    <m/>
    <m/>
    <d v="2020-02-04T00:00:00"/>
    <d v="2020-02-04T00:00:00"/>
    <s v="2183-20-0031-1"/>
    <n v="300"/>
    <n v="14040"/>
    <n v="14301.64"/>
    <n v="14046"/>
    <n v="14301.6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29285"/>
    <s v="P"/>
    <s v="Capitalized"/>
    <s v="20 Gallon Refuse Container"/>
    <m/>
    <m/>
    <n v="875"/>
    <m/>
    <n v="0"/>
    <s v="REHRIG PACIFIC COMPANY IN"/>
    <m/>
    <s v="CONTAINERS"/>
    <s v="TBA"/>
    <m/>
    <m/>
    <m/>
    <d v="2020-02-19T00:00:00"/>
    <d v="2020-02-19T00:00:00"/>
    <s v="2183-20-0029-1"/>
    <n v="700"/>
    <n v="14050"/>
    <n v="29112.05"/>
    <n v="14056"/>
    <n v="17328.61"/>
    <n v="0"/>
    <n v="11783.439999999999"/>
    <n v="1386.28"/>
    <n v="54260"/>
    <n v="346.57"/>
    <n v="0"/>
    <n v="346.57"/>
    <s v="P"/>
    <m/>
    <m/>
    <s v=" "/>
    <x v="20"/>
    <s v="YES"/>
    <m/>
    <m/>
    <m/>
    <m/>
    <m/>
    <m/>
    <m/>
    <m/>
    <m/>
    <m/>
    <s v="No"/>
  </r>
  <r>
    <n v="2183"/>
    <n v="229180"/>
    <s v="P"/>
    <s v="Capitalized"/>
    <s v="HP Sb ProDesk 600 Serial-MXL9511WR2"/>
    <m/>
    <m/>
    <n v="1"/>
    <m/>
    <n v="0"/>
    <s v="CDW"/>
    <m/>
    <s v="HARDWARE AND SOFTWARE"/>
    <s v="TBA"/>
    <m/>
    <m/>
    <m/>
    <d v="2020-02-11T00:00:00"/>
    <d v="2020-02-11T00:00:00"/>
    <s v="2183-20-0030-1"/>
    <n v="300"/>
    <n v="14110"/>
    <n v="893.55"/>
    <n v="14116"/>
    <n v="893.5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29007"/>
    <s v="P"/>
    <s v="Capitalized"/>
    <s v="96 Gallon Yardwaste Containers"/>
    <m/>
    <m/>
    <n v="702"/>
    <m/>
    <n v="0"/>
    <s v="REHRIG PACIFIC COMPANY IN"/>
    <m/>
    <s v="CONTAINERS"/>
    <s v="TBA"/>
    <m/>
    <m/>
    <m/>
    <d v="2020-02-19T00:00:00"/>
    <d v="2020-02-19T00:00:00"/>
    <s v="2183-20-0029-1"/>
    <n v="700"/>
    <n v="14050"/>
    <n v="32333.43"/>
    <n v="14056"/>
    <n v="19246.080000000002"/>
    <n v="0"/>
    <n v="13087.349999999999"/>
    <n v="1539.68"/>
    <n v="54260"/>
    <n v="384.92"/>
    <n v="0"/>
    <n v="384.92"/>
    <s v="P"/>
    <m/>
    <m/>
    <s v=" "/>
    <x v="20"/>
    <s v="YES"/>
    <m/>
    <m/>
    <m/>
    <m/>
    <m/>
    <m/>
    <m/>
    <m/>
    <m/>
    <m/>
    <s v="No"/>
  </r>
  <r>
    <n v="2183"/>
    <n v="229006"/>
    <s v="P"/>
    <s v="Capitalized"/>
    <s v="96 Gallon Refuse Containers"/>
    <m/>
    <m/>
    <n v="702"/>
    <m/>
    <n v="0"/>
    <s v="REHRIG PACIFIC COMPANY IN"/>
    <m/>
    <s v="CONTAINERS"/>
    <s v="TBA"/>
    <m/>
    <m/>
    <m/>
    <d v="2020-02-19T00:00:00"/>
    <d v="2020-02-19T00:00:00"/>
    <s v="2183-20-0029-1"/>
    <n v="700"/>
    <n v="14050"/>
    <n v="32333.439999999999"/>
    <n v="14056"/>
    <n v="19246.080000000002"/>
    <n v="0"/>
    <n v="13087.359999999997"/>
    <n v="1539.68"/>
    <n v="54260"/>
    <n v="384.92"/>
    <n v="0"/>
    <n v="384.92"/>
    <s v="P"/>
    <m/>
    <m/>
    <s v=" "/>
    <x v="20"/>
    <s v="YES"/>
    <m/>
    <m/>
    <m/>
    <m/>
    <m/>
    <m/>
    <m/>
    <m/>
    <m/>
    <m/>
    <s v="No"/>
  </r>
  <r>
    <n v="2183"/>
    <n v="228950"/>
    <s v="P"/>
    <s v="Capitalized"/>
    <s v="96 Gallon Recycle Containers"/>
    <m/>
    <m/>
    <n v="702"/>
    <m/>
    <n v="0"/>
    <s v="REHRIG PACIFIC COMPANY IN"/>
    <m/>
    <s v="CONTAINERS"/>
    <s v="TBA"/>
    <m/>
    <m/>
    <m/>
    <d v="2020-02-18T00:00:00"/>
    <d v="2020-02-18T00:00:00"/>
    <s v="2183-20-0029-1"/>
    <n v="700"/>
    <n v="14050"/>
    <n v="32333.43"/>
    <n v="14056"/>
    <n v="19246.080000000002"/>
    <n v="0"/>
    <n v="13087.349999999999"/>
    <n v="1539.68"/>
    <n v="54260"/>
    <n v="384.92"/>
    <n v="0"/>
    <n v="384.92"/>
    <s v="P"/>
    <m/>
    <m/>
    <s v=" "/>
    <x v="20"/>
    <s v="YES"/>
    <m/>
    <m/>
    <m/>
    <m/>
    <m/>
    <m/>
    <m/>
    <m/>
    <m/>
    <m/>
    <s v="No"/>
  </r>
  <r>
    <n v="2183"/>
    <n v="227353"/>
    <s v="P"/>
    <s v="Capitalized"/>
    <s v="30yd RO Boxes"/>
    <m/>
    <m/>
    <n v="5"/>
    <m/>
    <n v="0"/>
    <s v="ENVIRONMENTAL METAL WORKS"/>
    <m/>
    <s v="CONTAINERS"/>
    <s v="TBA"/>
    <m/>
    <s v="30 YD"/>
    <s v="RO Box"/>
    <d v="2020-01-01T00:00:00"/>
    <d v="2020-01-01T00:00:00"/>
    <s v="2183-19-0025-1"/>
    <n v="1111"/>
    <n v="14050"/>
    <n v="25561.63"/>
    <n v="14056"/>
    <n v="9295.1200000000008"/>
    <n v="0"/>
    <n v="16266.51"/>
    <n v="715"/>
    <n v="54260"/>
    <n v="178.75"/>
    <n v="0"/>
    <n v="178.75"/>
    <s v="P"/>
    <m/>
    <m/>
    <s v=" "/>
    <x v="20"/>
    <s v="YES"/>
    <m/>
    <m/>
    <m/>
    <m/>
    <m/>
    <m/>
    <m/>
    <m/>
    <m/>
    <m/>
    <s v="No"/>
  </r>
  <r>
    <n v="2183"/>
    <n v="225953"/>
    <n v="223829"/>
    <s v="Capitalized"/>
    <s v="Decals"/>
    <m/>
    <m/>
    <n v="1"/>
    <m/>
    <n v="0"/>
    <s v="LARSEN SIGN"/>
    <m/>
    <s v="TRUCKS AND TRAILERS"/>
    <s v="TBA"/>
    <s v="Non-Rolling Stock"/>
    <m/>
    <m/>
    <d v="2019-11-01T00:00:00"/>
    <d v="2019-11-01T00:00:00"/>
    <s v="2183-19-0011-1"/>
    <n v="1000"/>
    <n v="14040"/>
    <n v="956.38"/>
    <n v="14046"/>
    <n v="430.38"/>
    <n v="0"/>
    <n v="526"/>
    <n v="31.88"/>
    <n v="51260"/>
    <n v="7.97"/>
    <n v="0"/>
    <n v="7.97"/>
    <s v="P"/>
    <m/>
    <m/>
    <s v=" "/>
    <x v="20"/>
    <s v="YES"/>
    <m/>
    <m/>
    <m/>
    <m/>
    <m/>
    <m/>
    <m/>
    <m/>
    <m/>
    <m/>
    <s v="No"/>
  </r>
  <r>
    <n v="2183"/>
    <n v="225952"/>
    <n v="219760"/>
    <s v="Capitalized"/>
    <s v="Decals"/>
    <m/>
    <m/>
    <n v="1"/>
    <m/>
    <n v="0"/>
    <s v="LARSEN SIGN"/>
    <m/>
    <s v="TRUCKS AND TRAILERS"/>
    <s v="TBA"/>
    <s v="Non-Rolling Stock"/>
    <m/>
    <m/>
    <d v="2019-09-30T00:00:00"/>
    <d v="2019-09-30T00:00:00"/>
    <s v="2183-19-0010-1"/>
    <n v="1000"/>
    <n v="14040"/>
    <n v="868.94"/>
    <n v="14046"/>
    <n v="398.16"/>
    <n v="0"/>
    <n v="470.78000000000003"/>
    <n v="28.96"/>
    <n v="51260"/>
    <n v="7.24"/>
    <n v="0"/>
    <n v="7.24"/>
    <s v="P"/>
    <m/>
    <m/>
    <s v=" "/>
    <x v="20"/>
    <s v="YES"/>
    <m/>
    <m/>
    <m/>
    <m/>
    <m/>
    <m/>
    <m/>
    <m/>
    <m/>
    <m/>
    <s v="No"/>
  </r>
  <r>
    <n v="2183"/>
    <n v="225450"/>
    <s v="P"/>
    <s v="Capitalized"/>
    <s v="2020 Peterbilt ASL Truck"/>
    <m/>
    <m/>
    <n v="1"/>
    <s v="3BPDLK0X0LF107430"/>
    <n v="2020"/>
    <s v="Peterbilt"/>
    <s v="Labrie"/>
    <s v="TRUCKS AND TRAILERS"/>
    <s v="TBA"/>
    <s v="Automated Side Loader"/>
    <m/>
    <m/>
    <d v="2019-12-31T00:00:00"/>
    <d v="2019-12-31T00:00:00"/>
    <s v="2183-19-0012"/>
    <n v="1000"/>
    <n v="14040"/>
    <n v="360730.61"/>
    <n v="14046"/>
    <n v="156316.6"/>
    <n v="0"/>
    <n v="204414.00999999998"/>
    <n v="12024.36"/>
    <n v="51260"/>
    <n v="3006.09"/>
    <n v="0"/>
    <n v="3006.09"/>
    <s v="P"/>
    <m/>
    <n v="3695"/>
    <s v=" "/>
    <x v="20"/>
    <s v="YES"/>
    <m/>
    <m/>
    <m/>
    <m/>
    <m/>
    <m/>
    <m/>
    <m/>
    <m/>
    <m/>
    <s v="No"/>
  </r>
  <r>
    <n v="2183"/>
    <n v="225390"/>
    <s v="P"/>
    <s v="Capitalized"/>
    <s v="6Yd FEL Metal Container"/>
    <m/>
    <m/>
    <n v="15"/>
    <m/>
    <n v="0"/>
    <s v="WASTEQUIP LLC"/>
    <m/>
    <s v="CONTAINERS"/>
    <s v="TBA"/>
    <m/>
    <s v="6 YD"/>
    <s v="FEL/REL/SL Metal"/>
    <d v="2019-11-14T00:00:00"/>
    <d v="2019-11-14T00:00:00"/>
    <s v="2183-19-0033-1"/>
    <n v="1200"/>
    <n v="14050"/>
    <n v="13074.53"/>
    <n v="14056"/>
    <n v="4902.99"/>
    <n v="0"/>
    <n v="8171.5400000000009"/>
    <n v="363.2"/>
    <n v="54260"/>
    <n v="90.8"/>
    <n v="0"/>
    <n v="90.8"/>
    <s v="P"/>
    <m/>
    <m/>
    <s v=" "/>
    <x v="20"/>
    <s v="YES"/>
    <m/>
    <m/>
    <m/>
    <m/>
    <m/>
    <m/>
    <m/>
    <m/>
    <m/>
    <m/>
    <s v="No"/>
  </r>
  <r>
    <n v="2183"/>
    <n v="225389"/>
    <s v="P"/>
    <s v="Capitalized"/>
    <s v="3Yd FEL Metal Containers"/>
    <m/>
    <m/>
    <n v="20"/>
    <m/>
    <n v="0"/>
    <s v="WASTEQUIP LLC"/>
    <m/>
    <s v="CONTAINERS"/>
    <s v="TBA"/>
    <m/>
    <s v="3 YD"/>
    <s v="FEL/REL/SL Metal"/>
    <d v="2019-11-14T00:00:00"/>
    <d v="2019-11-14T00:00:00"/>
    <s v="2183-19-0033-1"/>
    <n v="1200"/>
    <n v="14050"/>
    <n v="10646.34"/>
    <n v="14056"/>
    <n v="3992.39"/>
    <n v="0"/>
    <n v="6653.9500000000007"/>
    <n v="295.72000000000003"/>
    <n v="54260"/>
    <n v="73.930000000000007"/>
    <n v="0"/>
    <n v="73.930000000000007"/>
    <s v="P"/>
    <m/>
    <m/>
    <s v=" "/>
    <x v="20"/>
    <s v="YES"/>
    <m/>
    <m/>
    <m/>
    <m/>
    <m/>
    <m/>
    <m/>
    <m/>
    <m/>
    <m/>
    <s v="No"/>
  </r>
  <r>
    <n v="2183"/>
    <n v="225388"/>
    <s v="P"/>
    <s v="Capitalized"/>
    <s v="2yd FEL Metal Containers"/>
    <m/>
    <m/>
    <n v="35"/>
    <m/>
    <n v="0"/>
    <s v="WASTEQUIP LLC"/>
    <m/>
    <s v="CONTAINERS"/>
    <s v="TBA"/>
    <m/>
    <s v="2 YD"/>
    <s v="FEL/REL/SL Metal"/>
    <d v="2019-11-14T00:00:00"/>
    <d v="2019-11-14T00:00:00"/>
    <s v="2183-19-0033-1"/>
    <n v="1200"/>
    <n v="14050"/>
    <n v="20566.95"/>
    <n v="14056"/>
    <n v="7712.61"/>
    <n v="0"/>
    <n v="12854.34"/>
    <n v="571.32000000000005"/>
    <n v="54260"/>
    <n v="142.83000000000001"/>
    <n v="0"/>
    <n v="142.83000000000001"/>
    <s v="P"/>
    <m/>
    <m/>
    <s v=" "/>
    <x v="20"/>
    <s v="YES"/>
    <m/>
    <m/>
    <m/>
    <m/>
    <m/>
    <m/>
    <m/>
    <m/>
    <m/>
    <m/>
    <s v="No"/>
  </r>
  <r>
    <n v="2183"/>
    <n v="225387"/>
    <s v="P"/>
    <s v="Capitalized"/>
    <s v="1.5yd FEL Metal Containers"/>
    <m/>
    <m/>
    <n v="15"/>
    <m/>
    <n v="0"/>
    <s v="WASTEQUIP LLC"/>
    <m/>
    <s v="CONTAINERS"/>
    <s v="TBA"/>
    <m/>
    <s v="1.5 YD"/>
    <s v="FEL/REL/SL Metal"/>
    <d v="2019-11-14T00:00:00"/>
    <d v="2019-11-14T00:00:00"/>
    <s v="2183-19-0033-1"/>
    <n v="1200"/>
    <n v="14050"/>
    <n v="8893.2000000000007"/>
    <n v="14056"/>
    <n v="3334.96"/>
    <n v="0"/>
    <n v="5558.2400000000007"/>
    <n v="247.04"/>
    <n v="54260"/>
    <n v="61.76"/>
    <n v="0"/>
    <n v="61.76"/>
    <s v="P"/>
    <m/>
    <m/>
    <s v=" "/>
    <x v="20"/>
    <s v="YES"/>
    <m/>
    <m/>
    <m/>
    <m/>
    <m/>
    <m/>
    <m/>
    <m/>
    <m/>
    <m/>
    <s v="No"/>
  </r>
  <r>
    <n v="2183"/>
    <n v="225296"/>
    <n v="221755"/>
    <s v="Capitalized"/>
    <s v="License for Truck 3691"/>
    <m/>
    <m/>
    <n v="1"/>
    <m/>
    <n v="0"/>
    <s v="WA DOL LIC &amp; REG 57165"/>
    <m/>
    <s v="TRUCKS AND TRAILERS"/>
    <s v="TBA"/>
    <s v="Non-Rolling Stock"/>
    <m/>
    <m/>
    <d v="2019-11-01T00:00:00"/>
    <d v="2019-11-01T00:00:00"/>
    <s v="2183-19-0019-1"/>
    <n v="1000"/>
    <n v="14040"/>
    <n v="1079.17"/>
    <n v="14046"/>
    <n v="485.59"/>
    <n v="0"/>
    <n v="593.58000000000015"/>
    <n v="35.96"/>
    <n v="51260"/>
    <n v="8.99"/>
    <n v="0"/>
    <n v="8.99"/>
    <s v="P"/>
    <m/>
    <m/>
    <s v=" "/>
    <x v="20"/>
    <s v="YES"/>
    <m/>
    <m/>
    <m/>
    <m/>
    <m/>
    <m/>
    <m/>
    <m/>
    <m/>
    <m/>
    <s v="No"/>
  </r>
  <r>
    <n v="2183"/>
    <n v="225295"/>
    <n v="219763"/>
    <s v="Capitalized"/>
    <s v="License for Truck 4085"/>
    <m/>
    <m/>
    <n v="1"/>
    <m/>
    <n v="0"/>
    <s v="WA DOL LIC &amp; REG 57165"/>
    <m/>
    <s v="TRUCKS AND TRAILERS"/>
    <s v="TBA"/>
    <s v="Non-Rolling Stock"/>
    <m/>
    <m/>
    <d v="2019-11-01T00:00:00"/>
    <d v="2019-11-01T00:00:00"/>
    <s v="2183-19-0015-1"/>
    <n v="1000"/>
    <n v="14040"/>
    <n v="3988.84"/>
    <n v="14046"/>
    <n v="1794.96"/>
    <n v="0"/>
    <n v="2193.88"/>
    <n v="132.96"/>
    <n v="51260"/>
    <n v="33.24"/>
    <n v="0"/>
    <n v="33.24"/>
    <s v="P"/>
    <m/>
    <m/>
    <s v=" "/>
    <x v="20"/>
    <s v="YES"/>
    <m/>
    <m/>
    <m/>
    <m/>
    <m/>
    <m/>
    <m/>
    <m/>
    <m/>
    <m/>
    <s v="No"/>
  </r>
  <r>
    <n v="2183"/>
    <n v="225294"/>
    <n v="219761"/>
    <s v="Capitalized"/>
    <s v="License for Truck 3692"/>
    <m/>
    <m/>
    <n v="1"/>
    <m/>
    <n v="0"/>
    <s v="WA DOL LIC &amp; REG 57165"/>
    <m/>
    <s v="TRUCKS AND TRAILERS"/>
    <s v="TBA"/>
    <s v="Non-Rolling Stock"/>
    <m/>
    <m/>
    <d v="2019-11-01T00:00:00"/>
    <d v="2019-11-01T00:00:00"/>
    <s v="2183-19-0013-1"/>
    <n v="1000"/>
    <n v="14040"/>
    <n v="68.010000000000005"/>
    <n v="14046"/>
    <n v="30.61"/>
    <n v="0"/>
    <n v="37.400000000000006"/>
    <n v="2.2799999999999998"/>
    <n v="51260"/>
    <n v="0.56999999999999995"/>
    <n v="0"/>
    <n v="0.56999999999999995"/>
    <s v="P"/>
    <m/>
    <m/>
    <s v=" "/>
    <x v="20"/>
    <s v="YES"/>
    <m/>
    <m/>
    <m/>
    <m/>
    <m/>
    <m/>
    <m/>
    <m/>
    <m/>
    <m/>
    <s v="No"/>
  </r>
  <r>
    <n v="2183"/>
    <n v="225293"/>
    <n v="219761"/>
    <s v="Capitalized"/>
    <s v="License for Truck 3692"/>
    <m/>
    <m/>
    <n v="1"/>
    <m/>
    <n v="0"/>
    <s v="WA DOL LIC &amp; REG 57165"/>
    <m/>
    <s v="TRUCKS AND TRAILERS"/>
    <s v="TBA"/>
    <s v="Non-Rolling Stock"/>
    <m/>
    <m/>
    <d v="2019-11-01T00:00:00"/>
    <d v="2019-11-01T00:00:00"/>
    <s v="2183-19-0013-1"/>
    <n v="1000"/>
    <n v="14040"/>
    <n v="1011.16"/>
    <n v="14046"/>
    <n v="455.05"/>
    <n v="0"/>
    <n v="556.1099999999999"/>
    <n v="33.72"/>
    <n v="51260"/>
    <n v="8.43"/>
    <n v="0"/>
    <n v="8.43"/>
    <s v="P"/>
    <m/>
    <m/>
    <s v=" "/>
    <x v="20"/>
    <s v="YES"/>
    <m/>
    <m/>
    <m/>
    <m/>
    <m/>
    <m/>
    <m/>
    <m/>
    <m/>
    <m/>
    <s v="No"/>
  </r>
  <r>
    <n v="2183"/>
    <n v="224109"/>
    <n v="223830"/>
    <s v="Capitalized"/>
    <s v="decals"/>
    <m/>
    <m/>
    <n v="1"/>
    <m/>
    <n v="0"/>
    <s v="LARSEN SIGN CO"/>
    <m/>
    <s v="TRUCKS AND TRAILERS"/>
    <s v="TBA"/>
    <s v="Non-Rolling Stock"/>
    <m/>
    <m/>
    <d v="2019-11-01T00:00:00"/>
    <d v="2019-11-01T00:00:00"/>
    <s v="2183-19-0020-1"/>
    <n v="1000"/>
    <n v="14040"/>
    <n v="808.82"/>
    <n v="14046"/>
    <n v="363.96"/>
    <n v="0"/>
    <n v="444.86000000000007"/>
    <n v="26.96"/>
    <n v="51260"/>
    <n v="6.74"/>
    <n v="0"/>
    <n v="6.74"/>
    <s v="P"/>
    <m/>
    <m/>
    <s v=" "/>
    <x v="20"/>
    <s v="YES"/>
    <m/>
    <m/>
    <m/>
    <m/>
    <m/>
    <m/>
    <m/>
    <m/>
    <m/>
    <m/>
    <s v="No"/>
  </r>
  <r>
    <n v="2183"/>
    <n v="224108"/>
    <n v="223830"/>
    <s v="Capitalized"/>
    <s v="DriveCam"/>
    <m/>
    <m/>
    <n v="1"/>
    <m/>
    <n v="0"/>
    <s v="Lytx"/>
    <m/>
    <s v="TRUCKS AND TRAILERS"/>
    <s v="TBA"/>
    <s v="Non-Rolling Stock"/>
    <m/>
    <m/>
    <d v="2019-11-01T00:00:00"/>
    <d v="2019-11-01T00:00:00"/>
    <s v="2183-19-0020-1"/>
    <n v="500"/>
    <n v="14040"/>
    <n v="633.95000000000005"/>
    <n v="14046"/>
    <n v="570.57000000000005"/>
    <n v="0"/>
    <n v="63.379999999999995"/>
    <n v="42.28"/>
    <n v="51260"/>
    <n v="10.57"/>
    <n v="0"/>
    <n v="10.57"/>
    <s v="P"/>
    <m/>
    <m/>
    <s v=" "/>
    <x v="20"/>
    <s v="YES"/>
    <m/>
    <m/>
    <m/>
    <m/>
    <m/>
    <m/>
    <m/>
    <m/>
    <m/>
    <m/>
    <s v="No"/>
  </r>
  <r>
    <n v="2183"/>
    <n v="224107"/>
    <n v="221755"/>
    <s v="Capitalized"/>
    <s v="DriveCam"/>
    <m/>
    <m/>
    <n v="1"/>
    <m/>
    <n v="0"/>
    <s v="Lytx"/>
    <m/>
    <s v="TRUCKS AND TRAILERS"/>
    <s v="TBA"/>
    <s v="Non-Rolling Stock"/>
    <m/>
    <m/>
    <d v="2019-11-01T00:00:00"/>
    <d v="2019-11-01T00:00:00"/>
    <s v="2183-19-0019-1"/>
    <n v="500"/>
    <n v="14040"/>
    <n v="633.95000000000005"/>
    <n v="14046"/>
    <n v="570.57000000000005"/>
    <n v="0"/>
    <n v="63.379999999999995"/>
    <n v="42.28"/>
    <n v="51260"/>
    <n v="10.57"/>
    <n v="0"/>
    <n v="10.57"/>
    <s v="P"/>
    <m/>
    <m/>
    <s v=" "/>
    <x v="20"/>
    <s v="YES"/>
    <m/>
    <m/>
    <m/>
    <m/>
    <m/>
    <m/>
    <m/>
    <m/>
    <m/>
    <m/>
    <s v="No"/>
  </r>
  <r>
    <n v="2183"/>
    <n v="224106"/>
    <n v="221755"/>
    <s v="Capitalized"/>
    <s v="Decals"/>
    <m/>
    <m/>
    <n v="1"/>
    <m/>
    <n v="0"/>
    <s v="LARSEN SIGN"/>
    <m/>
    <s v="TRUCKS AND TRAILERS"/>
    <s v="TBA"/>
    <s v="Non-Rolling Stock"/>
    <m/>
    <m/>
    <d v="2019-11-01T00:00:00"/>
    <d v="2019-11-01T00:00:00"/>
    <s v="2183-19-0019-1"/>
    <n v="1000"/>
    <n v="14040"/>
    <n v="868.94"/>
    <n v="14046"/>
    <n v="390.92"/>
    <n v="0"/>
    <n v="478.02000000000004"/>
    <n v="28.96"/>
    <n v="51260"/>
    <n v="7.24"/>
    <n v="0"/>
    <n v="7.24"/>
    <s v="P"/>
    <m/>
    <m/>
    <s v=" "/>
    <x v="20"/>
    <s v="YES"/>
    <m/>
    <m/>
    <m/>
    <m/>
    <m/>
    <m/>
    <m/>
    <m/>
    <m/>
    <m/>
    <s v="No"/>
  </r>
  <r>
    <n v="2183"/>
    <n v="224105"/>
    <n v="219763"/>
    <s v="Capitalized"/>
    <s v="DriveCam"/>
    <m/>
    <m/>
    <n v="1"/>
    <m/>
    <n v="0"/>
    <s v="Lytx"/>
    <m/>
    <s v="TRUCKS AND TRAILERS"/>
    <s v="TBA"/>
    <s v="Non-Rolling Stock"/>
    <m/>
    <m/>
    <d v="2019-11-01T00:00:00"/>
    <d v="2019-11-01T00:00:00"/>
    <s v="2183-19-0015-1"/>
    <n v="500"/>
    <n v="14040"/>
    <n v="633.95000000000005"/>
    <n v="14046"/>
    <n v="570.57000000000005"/>
    <n v="0"/>
    <n v="63.379999999999995"/>
    <n v="42.28"/>
    <n v="51260"/>
    <n v="10.57"/>
    <n v="0"/>
    <n v="10.57"/>
    <s v="P"/>
    <m/>
    <m/>
    <s v=" "/>
    <x v="20"/>
    <s v="YES"/>
    <m/>
    <m/>
    <m/>
    <m/>
    <m/>
    <m/>
    <m/>
    <m/>
    <m/>
    <m/>
    <s v="No"/>
  </r>
  <r>
    <n v="2183"/>
    <n v="224104"/>
    <n v="219763"/>
    <s v="Capitalized"/>
    <s v="Decals"/>
    <m/>
    <m/>
    <n v="1"/>
    <m/>
    <n v="0"/>
    <s v="LARSEN SIGN"/>
    <m/>
    <s v="TRUCKS AND TRAILERS"/>
    <s v="TBA"/>
    <s v="Non-Rolling Stock"/>
    <m/>
    <m/>
    <d v="2019-11-01T00:00:00"/>
    <d v="2019-11-01T00:00:00"/>
    <s v="2183-19-0015-1"/>
    <n v="1000"/>
    <n v="14040"/>
    <n v="220.79"/>
    <n v="14046"/>
    <n v="99.36"/>
    <n v="0"/>
    <n v="121.42999999999999"/>
    <n v="7.36"/>
    <n v="51260"/>
    <n v="1.84"/>
    <n v="0"/>
    <n v="1.84"/>
    <s v="P"/>
    <m/>
    <m/>
    <s v=" "/>
    <x v="20"/>
    <s v="YES"/>
    <m/>
    <m/>
    <m/>
    <m/>
    <m/>
    <m/>
    <m/>
    <m/>
    <m/>
    <m/>
    <s v="No"/>
  </r>
  <r>
    <n v="2183"/>
    <n v="224103"/>
    <n v="219762"/>
    <s v="Capitalized"/>
    <s v="DriveCam"/>
    <m/>
    <m/>
    <n v="1"/>
    <m/>
    <n v="0"/>
    <s v="Lytx"/>
    <m/>
    <s v="TRUCKS AND TRAILERS"/>
    <s v="TBA"/>
    <s v="Non-Rolling Stock"/>
    <m/>
    <m/>
    <d v="2019-09-18T00:00:00"/>
    <d v="2019-09-18T00:00:00"/>
    <s v="2183-19-0014-1"/>
    <n v="500"/>
    <n v="14040"/>
    <n v="633.95000000000005"/>
    <n v="14046"/>
    <n v="581.14"/>
    <n v="0"/>
    <n v="52.810000000000059"/>
    <n v="42.28"/>
    <n v="51260"/>
    <n v="10.57"/>
    <n v="0"/>
    <n v="10.57"/>
    <s v="P"/>
    <m/>
    <m/>
    <s v=" "/>
    <x v="20"/>
    <s v="YES"/>
    <m/>
    <m/>
    <m/>
    <m/>
    <m/>
    <m/>
    <m/>
    <m/>
    <m/>
    <m/>
    <s v="No"/>
  </r>
  <r>
    <n v="2183"/>
    <n v="224102"/>
    <n v="219761"/>
    <s v="Capitalized"/>
    <s v="decals"/>
    <m/>
    <m/>
    <n v="1"/>
    <m/>
    <n v="0"/>
    <s v="LARSEN SIGN CO"/>
    <m/>
    <s v="TRUCKS AND TRAILERS"/>
    <s v="TBA"/>
    <s v="Non-Rolling Stock"/>
    <m/>
    <m/>
    <d v="2019-11-01T00:00:00"/>
    <d v="2019-11-01T00:00:00"/>
    <s v="2183-19-0013-1"/>
    <n v="1000"/>
    <n v="14040"/>
    <n v="956.38"/>
    <n v="14046"/>
    <n v="430.38"/>
    <n v="0"/>
    <n v="526"/>
    <n v="31.88"/>
    <n v="51260"/>
    <n v="7.97"/>
    <n v="0"/>
    <n v="7.97"/>
    <s v="P"/>
    <m/>
    <m/>
    <s v=" "/>
    <x v="20"/>
    <s v="YES"/>
    <m/>
    <m/>
    <m/>
    <m/>
    <m/>
    <m/>
    <m/>
    <m/>
    <m/>
    <m/>
    <s v="No"/>
  </r>
  <r>
    <n v="2183"/>
    <n v="224101"/>
    <n v="219760"/>
    <s v="Capitalized"/>
    <s v="DriveCam"/>
    <m/>
    <m/>
    <n v="1"/>
    <m/>
    <n v="0"/>
    <s v="Lytx"/>
    <m/>
    <s v="TRUCKS AND TRAILERS"/>
    <s v="TBA"/>
    <s v="Non-Rolling Stock"/>
    <m/>
    <m/>
    <d v="2019-11-01T00:00:00"/>
    <d v="2019-11-01T00:00:00"/>
    <s v="2183-19-0010-1"/>
    <n v="500"/>
    <n v="14040"/>
    <n v="633.95000000000005"/>
    <n v="14046"/>
    <n v="570.57000000000005"/>
    <n v="0"/>
    <n v="63.379999999999995"/>
    <n v="42.28"/>
    <n v="51260"/>
    <n v="10.57"/>
    <n v="0"/>
    <n v="10.57"/>
    <s v="P"/>
    <m/>
    <m/>
    <s v=" "/>
    <x v="20"/>
    <s v="YES"/>
    <m/>
    <m/>
    <m/>
    <m/>
    <m/>
    <m/>
    <m/>
    <m/>
    <m/>
    <m/>
    <s v="No"/>
  </r>
  <r>
    <n v="2183"/>
    <n v="223830"/>
    <s v="P"/>
    <s v="Capitalized"/>
    <s v="2020 Peterbilt FEL Truck"/>
    <m/>
    <m/>
    <n v="1"/>
    <s v="3BPDLK0X7LF107960"/>
    <n v="2020"/>
    <s v="Peterbilt"/>
    <s v="Labrie"/>
    <s v="TRUCKS AND TRAILERS"/>
    <s v="TBA"/>
    <s v="Front Loader"/>
    <m/>
    <m/>
    <d v="2019-11-01T00:00:00"/>
    <d v="2019-11-01T00:00:00"/>
    <s v="2183-19-0020"/>
    <n v="1000"/>
    <n v="14040"/>
    <n v="339497.26"/>
    <n v="14046"/>
    <n v="152773.76999999999"/>
    <n v="0"/>
    <n v="186723.49000000002"/>
    <n v="11316.56"/>
    <n v="51260"/>
    <n v="2829.14"/>
    <n v="0"/>
    <n v="2829.14"/>
    <s v="P"/>
    <m/>
    <n v="2056"/>
    <s v=" "/>
    <x v="20"/>
    <s v="YES"/>
    <m/>
    <m/>
    <m/>
    <m/>
    <m/>
    <m/>
    <m/>
    <m/>
    <m/>
    <m/>
    <s v="No"/>
  </r>
  <r>
    <n v="2183"/>
    <n v="223829"/>
    <s v="P"/>
    <s v="Capitalized"/>
    <s v="2020 Peterbilt ASL Truck"/>
    <m/>
    <m/>
    <n v="1"/>
    <s v="3BPDLK0X2LF107428"/>
    <n v="2020"/>
    <s v="Peterbilt"/>
    <s v="Labrie"/>
    <s v="TRUCKS AND TRAILERS"/>
    <s v="TBA"/>
    <s v="Automated Side Loader"/>
    <m/>
    <m/>
    <d v="2019-11-01T00:00:00"/>
    <d v="2019-11-01T00:00:00"/>
    <s v="2183-19-0011"/>
    <n v="1000"/>
    <n v="14040"/>
    <n v="360730.61"/>
    <n v="14046"/>
    <n v="162328.78"/>
    <n v="0"/>
    <n v="198401.83"/>
    <n v="12024.36"/>
    <n v="51260"/>
    <n v="3006.09"/>
    <n v="0"/>
    <n v="3006.09"/>
    <s v="P"/>
    <m/>
    <n v="3693"/>
    <s v=" "/>
    <x v="20"/>
    <s v="YES"/>
    <m/>
    <m/>
    <m/>
    <m/>
    <m/>
    <m/>
    <m/>
    <m/>
    <m/>
    <m/>
    <s v="No"/>
  </r>
  <r>
    <n v="2183"/>
    <n v="223699"/>
    <n v="221755"/>
    <s v="Capitalized"/>
    <s v="Mobile Radio"/>
    <m/>
    <m/>
    <n v="1"/>
    <m/>
    <n v="0"/>
    <s v="WHISLER COMMUNICATIONS"/>
    <m/>
    <s v="TRUCKS AND TRAILERS"/>
    <s v="TBA"/>
    <s v="Non-Rolling Stock"/>
    <m/>
    <m/>
    <d v="2019-11-01T00:00:00"/>
    <d v="2019-11-01T00:00:00"/>
    <s v="2183-19-0019-1"/>
    <n v="500"/>
    <n v="14040"/>
    <n v="791.55"/>
    <n v="14046"/>
    <n v="712.39"/>
    <n v="0"/>
    <n v="79.159999999999968"/>
    <n v="52.76"/>
    <n v="51260"/>
    <n v="13.19"/>
    <n v="0"/>
    <n v="13.19"/>
    <s v="P"/>
    <m/>
    <m/>
    <s v=" "/>
    <x v="20"/>
    <s v="YES"/>
    <m/>
    <m/>
    <m/>
    <m/>
    <m/>
    <m/>
    <m/>
    <m/>
    <m/>
    <m/>
    <s v="No"/>
  </r>
  <r>
    <n v="2183"/>
    <n v="223698"/>
    <n v="218238"/>
    <s v="Capitalized"/>
    <s v="Mobile Radio"/>
    <m/>
    <m/>
    <n v="1"/>
    <m/>
    <n v="0"/>
    <s v="WHISLER COMMUNICATIONS"/>
    <m/>
    <s v="TRUCKS AND TRAILERS"/>
    <s v="TBA"/>
    <s v="Non-Rolling Stock"/>
    <m/>
    <m/>
    <d v="2019-06-04T00:00:00"/>
    <d v="2019-06-04T00:00:00"/>
    <s v="2183-19-0018-1"/>
    <n v="500"/>
    <n v="14040"/>
    <n v="791.55"/>
    <n v="14046"/>
    <n v="778.35"/>
    <n v="0"/>
    <n v="13.199999999999932"/>
    <n v="52.76"/>
    <n v="51260"/>
    <n v="13.19"/>
    <n v="0"/>
    <n v="13.19"/>
    <s v="P"/>
    <m/>
    <m/>
    <s v=" "/>
    <x v="20"/>
    <s v="YES"/>
    <m/>
    <m/>
    <m/>
    <m/>
    <m/>
    <m/>
    <m/>
    <m/>
    <m/>
    <m/>
    <s v="No"/>
  </r>
  <r>
    <n v="2183"/>
    <n v="223697"/>
    <n v="219763"/>
    <s v="Capitalized"/>
    <s v="Mobile Radio"/>
    <m/>
    <m/>
    <n v="1"/>
    <m/>
    <n v="0"/>
    <s v="WHISLER COMMUNICATIONS"/>
    <m/>
    <s v="TRUCKS AND TRAILERS"/>
    <s v="TBA"/>
    <s v="Non-Rolling Stock"/>
    <m/>
    <m/>
    <d v="2019-11-01T00:00:00"/>
    <d v="2019-11-01T00:00:00"/>
    <s v="2183-19-0015-1"/>
    <n v="500"/>
    <n v="14040"/>
    <n v="791.55"/>
    <n v="14046"/>
    <n v="712.39"/>
    <n v="0"/>
    <n v="79.159999999999968"/>
    <n v="52.76"/>
    <n v="51260"/>
    <n v="13.19"/>
    <n v="0"/>
    <n v="13.19"/>
    <s v="P"/>
    <m/>
    <m/>
    <s v=" "/>
    <x v="20"/>
    <s v="YES"/>
    <m/>
    <m/>
    <m/>
    <m/>
    <m/>
    <m/>
    <m/>
    <m/>
    <m/>
    <m/>
    <s v="No"/>
  </r>
  <r>
    <n v="2183"/>
    <n v="223696"/>
    <n v="219762"/>
    <s v="Capitalized"/>
    <s v="Mobile Radio"/>
    <m/>
    <m/>
    <n v="1"/>
    <m/>
    <n v="0"/>
    <s v="WHISLER COMMUNICATIONS"/>
    <m/>
    <s v="TRUCKS AND TRAILERS"/>
    <s v="TBA"/>
    <s v="Non-Rolling Stock"/>
    <m/>
    <m/>
    <d v="2019-09-18T00:00:00"/>
    <d v="2019-09-18T00:00:00"/>
    <s v="2183-19-0014-1"/>
    <n v="500"/>
    <n v="14040"/>
    <n v="791.55"/>
    <n v="14046"/>
    <n v="725.58"/>
    <n v="0"/>
    <n v="65.969999999999914"/>
    <n v="52.76"/>
    <n v="51260"/>
    <n v="13.19"/>
    <n v="0"/>
    <n v="13.19"/>
    <s v="P"/>
    <m/>
    <m/>
    <s v=" "/>
    <x v="20"/>
    <s v="YES"/>
    <m/>
    <m/>
    <m/>
    <m/>
    <m/>
    <m/>
    <m/>
    <m/>
    <m/>
    <m/>
    <s v="No"/>
  </r>
  <r>
    <n v="2183"/>
    <n v="223695"/>
    <n v="219760"/>
    <s v="Capitalized"/>
    <s v="Mobile Radio"/>
    <m/>
    <m/>
    <n v="1"/>
    <m/>
    <n v="0"/>
    <s v="WHISLER COMMUNICATIONS"/>
    <m/>
    <s v="TRUCKS AND TRAILERS"/>
    <s v="TBA"/>
    <s v="Non-Rolling Stock"/>
    <m/>
    <m/>
    <d v="2019-11-01T00:00:00"/>
    <d v="2019-11-01T00:00:00"/>
    <s v="2183-19-0010-1"/>
    <n v="500"/>
    <n v="14040"/>
    <n v="791.55"/>
    <n v="14046"/>
    <n v="712.39"/>
    <n v="0"/>
    <n v="79.159999999999968"/>
    <n v="52.76"/>
    <n v="51260"/>
    <n v="13.19"/>
    <n v="0"/>
    <n v="13.19"/>
    <s v="P"/>
    <m/>
    <m/>
    <s v=" "/>
    <x v="20"/>
    <s v="YES"/>
    <m/>
    <m/>
    <m/>
    <m/>
    <m/>
    <m/>
    <m/>
    <m/>
    <m/>
    <m/>
    <s v="No"/>
  </r>
  <r>
    <n v="2183"/>
    <n v="223127"/>
    <s v="P"/>
    <s v="Capitalized"/>
    <s v="2 Yard Commercial Containers"/>
    <m/>
    <m/>
    <n v="77"/>
    <m/>
    <n v="0"/>
    <m/>
    <m/>
    <s v="CONTAINERS"/>
    <s v="TBA"/>
    <m/>
    <s v="2 YD"/>
    <s v="FEL/REL/SL Metal"/>
    <d v="2019-11-01T00:00:00"/>
    <d v="2019-11-01T00:00:00"/>
    <m/>
    <n v="0"/>
    <n v="14050"/>
    <n v="0"/>
    <n v="14056"/>
    <n v="0"/>
    <n v="0"/>
    <n v="0"/>
    <n v="0"/>
    <n v="54260"/>
    <n v="0"/>
    <n v="0"/>
    <n v="0"/>
    <s v="P"/>
    <m/>
    <m/>
    <s v=" "/>
    <x v="20"/>
    <s v="NO"/>
    <m/>
    <m/>
    <m/>
    <m/>
    <m/>
    <m/>
    <m/>
    <m/>
    <m/>
    <m/>
    <s v="No"/>
  </r>
  <r>
    <n v="2183"/>
    <n v="222715"/>
    <n v="219763"/>
    <s v="Capitalized"/>
    <s v="2020 Peterbilt ROL Truck-Body"/>
    <m/>
    <m/>
    <n v="1"/>
    <m/>
    <n v="2020"/>
    <s v="SOLID WASTE SYSTEMS"/>
    <m/>
    <s v="TRUCKS AND TRAILERS"/>
    <s v="TBA"/>
    <s v="Non-Rolling Stock"/>
    <m/>
    <m/>
    <d v="2019-11-01T00:00:00"/>
    <d v="2019-11-01T00:00:00"/>
    <s v="2183-19-0015-1"/>
    <n v="1000"/>
    <n v="14040"/>
    <n v="71276.72"/>
    <n v="14046"/>
    <n v="32074.51"/>
    <n v="0"/>
    <n v="39202.210000000006"/>
    <n v="2375.88"/>
    <n v="51260"/>
    <n v="593.97"/>
    <n v="0"/>
    <n v="593.97"/>
    <s v="P"/>
    <m/>
    <m/>
    <s v=" "/>
    <x v="20"/>
    <s v="YES"/>
    <m/>
    <m/>
    <m/>
    <m/>
    <m/>
    <m/>
    <m/>
    <m/>
    <m/>
    <m/>
    <s v="No"/>
  </r>
  <r>
    <n v="2183"/>
    <n v="222714"/>
    <n v="219760"/>
    <s v="Capitalized"/>
    <s v="2020 Peterbilt ASL Truck- Body"/>
    <m/>
    <m/>
    <n v="1"/>
    <m/>
    <n v="2020"/>
    <s v="SOLID WASTE SYSTEMS"/>
    <m/>
    <s v="TRUCKS AND TRAILERS"/>
    <s v="TBA"/>
    <s v="Non-Rolling Stock"/>
    <m/>
    <m/>
    <d v="2019-11-01T00:00:00"/>
    <d v="2019-11-01T00:00:00"/>
    <s v="2183-19-0010-1"/>
    <n v="1000"/>
    <n v="14040"/>
    <n v="175977.73"/>
    <n v="14046"/>
    <n v="79189.88"/>
    <n v="0"/>
    <n v="96787.85"/>
    <n v="5865.92"/>
    <n v="51260"/>
    <n v="1466.48"/>
    <n v="0"/>
    <n v="1466.48"/>
    <s v="P"/>
    <m/>
    <m/>
    <s v=" "/>
    <x v="20"/>
    <s v="YES"/>
    <m/>
    <m/>
    <m/>
    <m/>
    <m/>
    <m/>
    <m/>
    <m/>
    <m/>
    <m/>
    <s v="No"/>
  </r>
  <r>
    <n v="2183"/>
    <n v="222161"/>
    <n v="219336"/>
    <s v="Capitalized"/>
    <s v=": New Supervisor Pickup- TT&amp;L"/>
    <m/>
    <m/>
    <n v="1"/>
    <m/>
    <n v="0"/>
    <s v="WA DOL"/>
    <m/>
    <s v="TRUCKS AND TRAILERS"/>
    <s v="TBA"/>
    <s v="Non-Rolling Stock"/>
    <m/>
    <m/>
    <d v="2019-09-04T00:00:00"/>
    <d v="2019-09-04T00:00:00"/>
    <s v="2183-19-0017-1"/>
    <n v="500"/>
    <n v="14040"/>
    <n v="2471.54"/>
    <n v="14046"/>
    <n v="2306.77"/>
    <n v="0"/>
    <n v="164.76999999999998"/>
    <n v="164.76"/>
    <n v="51260"/>
    <n v="41.19"/>
    <n v="0"/>
    <n v="41.19"/>
    <s v="P"/>
    <m/>
    <m/>
    <s v=" "/>
    <x v="20"/>
    <s v="YES"/>
    <m/>
    <m/>
    <m/>
    <m/>
    <m/>
    <m/>
    <m/>
    <m/>
    <m/>
    <m/>
    <s v="No"/>
  </r>
  <r>
    <n v="2183"/>
    <n v="222160"/>
    <n v="219762"/>
    <s v="Capitalized"/>
    <s v="2020 Peterbilt RO Truck- Body"/>
    <m/>
    <m/>
    <n v="1"/>
    <s v="1NPCX4EX0LD633996"/>
    <n v="2020"/>
    <s v="WA DOL"/>
    <m/>
    <s v="TRUCKS AND TRAILERS"/>
    <s v="TBA"/>
    <s v="Non-Rolling Stock"/>
    <m/>
    <m/>
    <d v="2019-09-18T00:00:00"/>
    <d v="2019-09-18T00:00:00"/>
    <s v="2183-19-0014-1"/>
    <n v="1000"/>
    <n v="14040"/>
    <n v="4598.5"/>
    <n v="14046"/>
    <n v="2107.64"/>
    <n v="0"/>
    <n v="2490.86"/>
    <n v="153.28"/>
    <n v="51260"/>
    <n v="38.32"/>
    <n v="0"/>
    <n v="38.32"/>
    <s v="P"/>
    <m/>
    <m/>
    <s v=" "/>
    <x v="20"/>
    <s v="YES"/>
    <m/>
    <m/>
    <m/>
    <m/>
    <m/>
    <m/>
    <m/>
    <m/>
    <m/>
    <m/>
    <s v="No"/>
  </r>
  <r>
    <n v="2183"/>
    <n v="222098"/>
    <s v="P"/>
    <s v="Capitalized"/>
    <s v="Truck #9183 Unit Rebuild"/>
    <m/>
    <m/>
    <n v="1"/>
    <m/>
    <n v="0"/>
    <s v="Polar Service Centers"/>
    <m/>
    <s v="TRUCKS AND TRAILERS"/>
    <s v="TBA"/>
    <s v="Non-Rolling Stock"/>
    <m/>
    <m/>
    <d v="2015-09-30T00:00:00"/>
    <d v="2015-09-30T00:00:00"/>
    <s v="2180-15-0016-1"/>
    <n v="300"/>
    <n v="14040"/>
    <n v="18252.93"/>
    <n v="14046"/>
    <n v="18252.93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22097"/>
    <s v="P"/>
    <s v="Capitalized"/>
    <s v="2002 Type H Dump"/>
    <m/>
    <m/>
    <n v="1"/>
    <s v="1NKDXB0X42R890358"/>
    <n v="2002"/>
    <s v="Kenworth"/>
    <s v="Other"/>
    <s v="TRUCKS AND TRAILERS"/>
    <s v="TBA"/>
    <s v="Dump Truck"/>
    <m/>
    <m/>
    <d v="2008-11-03T00:00:00"/>
    <d v="2008-11-03T00:00:00"/>
    <m/>
    <n v="300"/>
    <n v="14040"/>
    <n v="36500"/>
    <n v="14046"/>
    <n v="36500"/>
    <n v="0"/>
    <n v="0"/>
    <n v="0"/>
    <n v="51260"/>
    <n v="0"/>
    <n v="0"/>
    <n v="0"/>
    <s v="A"/>
    <s v="LeMay Enterprises"/>
    <n v="9183"/>
    <s v=" "/>
    <x v="20"/>
    <s v="YES"/>
    <m/>
    <m/>
    <m/>
    <m/>
    <m/>
    <m/>
    <m/>
    <m/>
    <m/>
    <m/>
    <s v="No"/>
  </r>
  <r>
    <n v="2183"/>
    <n v="222096"/>
    <s v="P"/>
    <s v="Capitalized"/>
    <s v="Trailer #8496 Unit Rebuild"/>
    <m/>
    <m/>
    <n v="1"/>
    <m/>
    <n v="0"/>
    <s v="Polar Service Centers"/>
    <m/>
    <s v="TRUCKS AND TRAILERS"/>
    <s v="TBA"/>
    <s v="Non-Rolling Stock"/>
    <m/>
    <m/>
    <d v="2015-09-30T00:00:00"/>
    <d v="2015-09-30T00:00:00"/>
    <s v="2180-15-0041-1"/>
    <n v="300"/>
    <n v="14040"/>
    <n v="19982.97"/>
    <n v="14046"/>
    <n v="19982.9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22095"/>
    <s v="P"/>
    <s v="Capitalized"/>
    <s v="2002 Type H Pup Trailer"/>
    <m/>
    <m/>
    <n v="1"/>
    <s v="1BN1P17452X001002"/>
    <n v="2002"/>
    <s v="Pioneer"/>
    <s v="Other"/>
    <s v="TRUCKS AND TRAILERS"/>
    <s v="TBA"/>
    <s v="Other Trailer"/>
    <m/>
    <m/>
    <d v="2008-11-03T00:00:00"/>
    <d v="2008-11-03T00:00:00"/>
    <m/>
    <n v="300"/>
    <n v="14040"/>
    <n v="13500"/>
    <n v="14046"/>
    <n v="13500"/>
    <n v="0"/>
    <n v="0"/>
    <n v="0"/>
    <n v="51260"/>
    <n v="0"/>
    <n v="0"/>
    <n v="0"/>
    <s v="A"/>
    <s v="LeMay Enterprises"/>
    <n v="8496"/>
    <s v=" "/>
    <x v="20"/>
    <s v="YES"/>
    <m/>
    <m/>
    <m/>
    <m/>
    <m/>
    <m/>
    <m/>
    <m/>
    <m/>
    <m/>
    <s v="No"/>
  </r>
  <r>
    <n v="2183"/>
    <n v="222012"/>
    <n v="219761"/>
    <s v="Capitalized"/>
    <s v="2020 Peterbilt ASL Truck- Body"/>
    <m/>
    <m/>
    <n v="1"/>
    <s v="3BPDLK0X8LF107322"/>
    <n v="2020"/>
    <s v="SOLID WASTE SYSTEMS"/>
    <m/>
    <s v="TRUCKS AND TRAILERS"/>
    <s v="TBA"/>
    <s v="Non-Rolling Stock"/>
    <m/>
    <m/>
    <d v="2019-10-01T00:00:00"/>
    <d v="2019-10-01T00:00:00"/>
    <s v="2183-19-0013-1"/>
    <n v="1000"/>
    <n v="14040"/>
    <n v="175977.73"/>
    <n v="14046"/>
    <n v="80656.36"/>
    <n v="0"/>
    <n v="95321.37000000001"/>
    <n v="5865.92"/>
    <n v="51260"/>
    <n v="1466.48"/>
    <n v="0"/>
    <n v="1466.48"/>
    <s v="P"/>
    <m/>
    <m/>
    <s v=" "/>
    <x v="20"/>
    <s v="YES"/>
    <m/>
    <m/>
    <m/>
    <m/>
    <m/>
    <m/>
    <m/>
    <m/>
    <m/>
    <m/>
    <s v="No"/>
  </r>
  <r>
    <n v="2183"/>
    <n v="221755"/>
    <s v="P"/>
    <s v="Capitalized"/>
    <s v="2020 Peterbilt ASL Truck"/>
    <m/>
    <m/>
    <n v="1"/>
    <s v="3BPDLK0X2LF107431"/>
    <n v="2020"/>
    <s v="Peterbilt"/>
    <s v="Labrie"/>
    <s v="TRUCKS AND TRAILERS"/>
    <s v="TBA"/>
    <s v="Automated Side Loader"/>
    <m/>
    <m/>
    <d v="2019-10-31T00:00:00"/>
    <d v="2019-10-31T00:00:00"/>
    <s v="2183-19-0019"/>
    <n v="1000"/>
    <n v="14040"/>
    <n v="361686.99"/>
    <n v="14046"/>
    <n v="162759.16"/>
    <n v="0"/>
    <n v="198927.83"/>
    <n v="12056.24"/>
    <n v="51260"/>
    <n v="3014.06"/>
    <n v="0"/>
    <n v="3014.06"/>
    <s v="P"/>
    <m/>
    <n v="3691"/>
    <s v=" "/>
    <x v="20"/>
    <s v="YES"/>
    <m/>
    <m/>
    <m/>
    <m/>
    <m/>
    <m/>
    <m/>
    <m/>
    <m/>
    <m/>
    <s v="No"/>
  </r>
  <r>
    <n v="2183"/>
    <n v="221711"/>
    <s v="P"/>
    <s v="Capitalized"/>
    <s v="21 Gallon Refuse Containers"/>
    <m/>
    <m/>
    <n v="475"/>
    <m/>
    <n v="0"/>
    <s v="TOTER LLC"/>
    <m/>
    <s v="CONTAINERS"/>
    <s v="TBA"/>
    <m/>
    <m/>
    <m/>
    <d v="2019-09-17T00:00:00"/>
    <d v="2019-09-17T00:00:00"/>
    <s v="2183-19-0029-1"/>
    <n v="700"/>
    <n v="14050"/>
    <n v="16956.259999999998"/>
    <n v="14056"/>
    <n v="11102.3"/>
    <n v="0"/>
    <n v="5853.9599999999991"/>
    <n v="807.44"/>
    <n v="54260"/>
    <n v="201.86"/>
    <n v="0"/>
    <n v="201.86"/>
    <s v="P"/>
    <m/>
    <m/>
    <s v=" "/>
    <x v="20"/>
    <s v="YES"/>
    <m/>
    <m/>
    <m/>
    <m/>
    <m/>
    <m/>
    <m/>
    <m/>
    <m/>
    <m/>
    <s v="No"/>
  </r>
  <r>
    <n v="2183"/>
    <n v="221710"/>
    <s v="P"/>
    <s v="Capitalized"/>
    <s v="35 Gallon Refuse Containers"/>
    <m/>
    <m/>
    <n v="945"/>
    <m/>
    <n v="0"/>
    <s v="TOTER LLC"/>
    <m/>
    <s v="CONTAINERS"/>
    <s v="TBA"/>
    <m/>
    <m/>
    <m/>
    <d v="2019-09-17T00:00:00"/>
    <d v="2019-09-17T00:00:00"/>
    <s v="2183-19-0029-1"/>
    <n v="700"/>
    <n v="14050"/>
    <n v="37349.120000000003"/>
    <n v="14056"/>
    <n v="24454.78"/>
    <n v="0"/>
    <n v="12894.340000000004"/>
    <n v="1778.52"/>
    <n v="54260"/>
    <n v="444.63"/>
    <n v="0"/>
    <n v="444.63"/>
    <s v="P"/>
    <m/>
    <m/>
    <s v=" "/>
    <x v="20"/>
    <s v="YES"/>
    <m/>
    <m/>
    <m/>
    <m/>
    <m/>
    <m/>
    <m/>
    <m/>
    <m/>
    <m/>
    <s v="No"/>
  </r>
  <r>
    <n v="2183"/>
    <n v="221709"/>
    <s v="P"/>
    <s v="Capitalized"/>
    <s v="96 Gallon Refuse Containers"/>
    <m/>
    <m/>
    <n v="312"/>
    <m/>
    <n v="0"/>
    <s v="TOTER LLC"/>
    <m/>
    <s v="CONTAINERS"/>
    <s v="TBA"/>
    <m/>
    <m/>
    <m/>
    <d v="2019-09-17T00:00:00"/>
    <d v="2019-09-17T00:00:00"/>
    <s v="2183-19-0029-1"/>
    <n v="700"/>
    <n v="14050"/>
    <n v="15229.77"/>
    <n v="14056"/>
    <n v="9971.8799999999992"/>
    <n v="0"/>
    <n v="5257.8900000000012"/>
    <n v="725.24"/>
    <n v="54260"/>
    <n v="181.31"/>
    <n v="0"/>
    <n v="181.31"/>
    <s v="P"/>
    <m/>
    <m/>
    <s v=" "/>
    <x v="20"/>
    <s v="YES"/>
    <m/>
    <m/>
    <m/>
    <m/>
    <m/>
    <m/>
    <m/>
    <m/>
    <m/>
    <m/>
    <s v="No"/>
  </r>
  <r>
    <n v="2183"/>
    <n v="221429"/>
    <s v="P"/>
    <s v="Capitalized"/>
    <s v="96 Gallon Recycle Container"/>
    <m/>
    <m/>
    <n v="624"/>
    <m/>
    <n v="0"/>
    <s v="TOTER LLC"/>
    <m/>
    <s v="CONTAINERS"/>
    <s v="TBA"/>
    <m/>
    <m/>
    <m/>
    <d v="2019-09-17T00:00:00"/>
    <d v="2019-09-17T00:00:00"/>
    <s v="2183-19-0029-1"/>
    <n v="700"/>
    <n v="14050"/>
    <n v="30459.55"/>
    <n v="14056"/>
    <n v="19943.759999999998"/>
    <n v="0"/>
    <n v="10515.79"/>
    <n v="1450.44"/>
    <n v="54260"/>
    <n v="362.61"/>
    <n v="0"/>
    <n v="362.61"/>
    <s v="P"/>
    <m/>
    <m/>
    <s v=" "/>
    <x v="20"/>
    <s v="YES"/>
    <m/>
    <m/>
    <m/>
    <m/>
    <m/>
    <m/>
    <m/>
    <m/>
    <m/>
    <m/>
    <s v="No"/>
  </r>
  <r>
    <n v="2183"/>
    <n v="221428"/>
    <s v="P"/>
    <s v="Capitalized"/>
    <s v="64 Gallon Refuse Container"/>
    <m/>
    <m/>
    <n v="864"/>
    <m/>
    <n v="0"/>
    <s v="TOTER LLC"/>
    <m/>
    <s v="CONTAINERS"/>
    <s v="TBA"/>
    <m/>
    <m/>
    <m/>
    <d v="2019-09-17T00:00:00"/>
    <d v="2019-09-17T00:00:00"/>
    <s v="2183-19-0029-1"/>
    <n v="700"/>
    <n v="14050"/>
    <n v="38397.360000000001"/>
    <n v="14056"/>
    <n v="25141.1"/>
    <n v="0"/>
    <n v="13256.260000000002"/>
    <n v="1828.44"/>
    <n v="54260"/>
    <n v="457.11"/>
    <n v="0"/>
    <n v="457.11"/>
    <s v="P"/>
    <m/>
    <m/>
    <s v=" "/>
    <x v="20"/>
    <s v="YES"/>
    <m/>
    <m/>
    <m/>
    <m/>
    <m/>
    <m/>
    <m/>
    <m/>
    <m/>
    <m/>
    <s v="No"/>
  </r>
  <r>
    <n v="2183"/>
    <n v="221427"/>
    <s v="P"/>
    <s v="Capitalized"/>
    <s v="96 Gallon Yardwaste Containers"/>
    <m/>
    <m/>
    <n v="624"/>
    <m/>
    <n v="0"/>
    <s v="TOTER LLC"/>
    <m/>
    <s v="CONTAINERS"/>
    <s v="TBA"/>
    <m/>
    <m/>
    <m/>
    <d v="2019-09-17T00:00:00"/>
    <d v="2019-09-17T00:00:00"/>
    <s v="2183-19-0029-1"/>
    <n v="700"/>
    <n v="14050"/>
    <n v="30459.55"/>
    <n v="14056"/>
    <n v="19943.759999999998"/>
    <n v="0"/>
    <n v="10515.79"/>
    <n v="1450.44"/>
    <n v="54260"/>
    <n v="362.61"/>
    <n v="0"/>
    <n v="362.61"/>
    <s v="P"/>
    <m/>
    <m/>
    <s v=" "/>
    <x v="20"/>
    <s v="YES"/>
    <m/>
    <m/>
    <m/>
    <m/>
    <m/>
    <m/>
    <m/>
    <m/>
    <m/>
    <m/>
    <s v="No"/>
  </r>
  <r>
    <n v="2183"/>
    <n v="221315"/>
    <s v="P"/>
    <s v="Capitalized"/>
    <s v="1YD REL containers"/>
    <m/>
    <m/>
    <n v="14"/>
    <m/>
    <n v="0"/>
    <s v="CAPITAL INDUSTRIES INC"/>
    <m/>
    <s v="CONTAINERS"/>
    <s v="TBA"/>
    <m/>
    <s v="1 YD"/>
    <s v="FEL/REL/SL Metal"/>
    <d v="2013-09-30T00:00:00"/>
    <d v="2013-09-30T00:00:00"/>
    <s v="2188-13-0004-4"/>
    <n v="1200"/>
    <n v="14050"/>
    <n v="6199.2"/>
    <n v="14056"/>
    <n v="5467.35"/>
    <n v="0"/>
    <n v="731.84999999999945"/>
    <n v="172.2"/>
    <n v="54260"/>
    <n v="43.05"/>
    <n v="0"/>
    <n v="43.05"/>
    <s v="P"/>
    <m/>
    <m/>
    <s v=" "/>
    <x v="20"/>
    <s v="YES"/>
    <m/>
    <m/>
    <m/>
    <m/>
    <m/>
    <m/>
    <m/>
    <m/>
    <m/>
    <m/>
    <s v="No"/>
  </r>
  <r>
    <n v="2183"/>
    <n v="221314"/>
    <s v="P"/>
    <s v="Capitalized"/>
    <s v="6 Yard Commercial Containers"/>
    <m/>
    <m/>
    <n v="54"/>
    <m/>
    <n v="0"/>
    <m/>
    <m/>
    <s v="CONTAINERS"/>
    <s v="TBA"/>
    <m/>
    <s v="6 YD"/>
    <s v="FEL/REL/SL Metal"/>
    <d v="2008-11-03T00:00:00"/>
    <d v="2008-11-03T00:00:00"/>
    <m/>
    <n v="1200"/>
    <n v="14050"/>
    <n v="17280"/>
    <n v="14056"/>
    <n v="1728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21313"/>
    <s v="P"/>
    <s v="Capitalized"/>
    <s v="1 YD REL Containers"/>
    <m/>
    <m/>
    <n v="13"/>
    <m/>
    <n v="0"/>
    <s v="CAPITAL INDUSTRIES INC"/>
    <m/>
    <s v="CONTAINERS"/>
    <s v="TBA"/>
    <m/>
    <s v="1 YD"/>
    <s v="FEL/REL/SL Metal"/>
    <d v="2014-07-31T00:00:00"/>
    <d v="2014-07-31T00:00:00"/>
    <s v="2188-14-0024-2"/>
    <n v="1200"/>
    <n v="14050"/>
    <n v="5854.68"/>
    <n v="14056"/>
    <n v="4756.9399999999996"/>
    <n v="0"/>
    <n v="1097.7400000000007"/>
    <n v="162.63999999999999"/>
    <n v="54260"/>
    <n v="40.659999999999997"/>
    <n v="0"/>
    <n v="40.659999999999997"/>
    <s v="P"/>
    <m/>
    <m/>
    <s v=" "/>
    <x v="20"/>
    <s v="YES"/>
    <m/>
    <m/>
    <m/>
    <m/>
    <m/>
    <m/>
    <m/>
    <m/>
    <m/>
    <m/>
    <s v="No"/>
  </r>
  <r>
    <n v="2183"/>
    <n v="221312"/>
    <s v="P"/>
    <s v="Capitalized"/>
    <s v="4 Yard Commercial Containers"/>
    <m/>
    <m/>
    <n v="8"/>
    <m/>
    <n v="0"/>
    <m/>
    <m/>
    <s v="CONTAINERS"/>
    <s v="TBA"/>
    <m/>
    <s v="4 YD"/>
    <s v="FEL/REL/SL Metal"/>
    <d v="2008-11-03T00:00:00"/>
    <d v="2008-11-03T00:00:00"/>
    <m/>
    <n v="1200"/>
    <n v="14050"/>
    <n v="1840"/>
    <n v="14056"/>
    <n v="184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20531"/>
    <n v="114306"/>
    <s v="Capitalized"/>
    <s v="Capital Repair: Truck 1038 Engine Overhaul"/>
    <m/>
    <m/>
    <n v="1"/>
    <m/>
    <n v="0"/>
    <s v="Dirks Truck Repair, Inc"/>
    <m/>
    <s v="TRUCKS AND TRAILERS"/>
    <s v="TBA"/>
    <s v="Non-Rolling Stock"/>
    <m/>
    <m/>
    <d v="2019-07-03T00:00:00"/>
    <d v="2019-07-03T00:00:00"/>
    <s v="2183-19-0032-1"/>
    <n v="300"/>
    <n v="14040"/>
    <n v="11853.69"/>
    <n v="14046"/>
    <n v="11853.69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20530"/>
    <n v="218238"/>
    <s v="Capitalized"/>
    <s v="Drive Cam Unit"/>
    <m/>
    <m/>
    <n v="1"/>
    <m/>
    <n v="0"/>
    <s v="LYTX"/>
    <m/>
    <s v="TRUCKS AND TRAILERS"/>
    <s v="TBA"/>
    <s v="Non-Rolling Stock"/>
    <m/>
    <m/>
    <d v="2019-06-04T00:00:00"/>
    <d v="2019-06-04T00:00:00"/>
    <s v="2183-19-0018-1"/>
    <n v="500"/>
    <n v="14040"/>
    <n v="456.88"/>
    <n v="14046"/>
    <n v="449.26"/>
    <n v="0"/>
    <n v="7.6200000000000045"/>
    <n v="30.44"/>
    <n v="51260"/>
    <n v="7.61"/>
    <n v="0"/>
    <n v="7.61"/>
    <s v="P"/>
    <m/>
    <m/>
    <s v=" "/>
    <x v="20"/>
    <s v="YES"/>
    <m/>
    <m/>
    <m/>
    <m/>
    <m/>
    <m/>
    <m/>
    <m/>
    <m/>
    <m/>
    <s v="No"/>
  </r>
  <r>
    <n v="2183"/>
    <n v="220529"/>
    <n v="219762"/>
    <s v="Capitalized"/>
    <s v="Decals"/>
    <m/>
    <m/>
    <n v="1"/>
    <m/>
    <n v="0"/>
    <s v="LARSEN SIGN"/>
    <m/>
    <s v="TRUCKS AND TRAILERS"/>
    <s v="TBA"/>
    <s v="Non-Rolling Stock"/>
    <m/>
    <m/>
    <d v="2019-09-18T00:00:00"/>
    <d v="2019-09-18T00:00:00"/>
    <s v="2183-19-0014-1"/>
    <n v="1000"/>
    <n v="14040"/>
    <n v="220.79"/>
    <n v="14046"/>
    <n v="101.2"/>
    <n v="0"/>
    <n v="119.58999999999999"/>
    <n v="7.36"/>
    <n v="51260"/>
    <n v="1.84"/>
    <n v="0"/>
    <n v="1.84"/>
    <s v="P"/>
    <m/>
    <m/>
    <s v=" "/>
    <x v="20"/>
    <s v="YES"/>
    <m/>
    <m/>
    <m/>
    <m/>
    <m/>
    <m/>
    <m/>
    <m/>
    <m/>
    <m/>
    <s v="No"/>
  </r>
  <r>
    <n v="2183"/>
    <n v="220528"/>
    <n v="218237"/>
    <s v="Capitalized"/>
    <s v="Drive Cam Unit"/>
    <m/>
    <m/>
    <n v="1"/>
    <m/>
    <n v="0"/>
    <s v="LYTX"/>
    <m/>
    <s v="TRUCKS AND TRAILERS"/>
    <s v="TBA"/>
    <s v="Non-Rolling Stock"/>
    <m/>
    <m/>
    <d v="2019-06-14T00:00:00"/>
    <d v="2019-06-14T00:00:00"/>
    <s v="2183-19-0009-1"/>
    <n v="500"/>
    <n v="14040"/>
    <n v="456.88"/>
    <n v="14046"/>
    <n v="449.26"/>
    <n v="0"/>
    <n v="7.6200000000000045"/>
    <n v="30.44"/>
    <n v="51260"/>
    <n v="7.61"/>
    <n v="0"/>
    <n v="7.61"/>
    <s v="P"/>
    <m/>
    <m/>
    <s v=" "/>
    <x v="20"/>
    <s v="YES"/>
    <m/>
    <m/>
    <m/>
    <m/>
    <m/>
    <m/>
    <m/>
    <m/>
    <m/>
    <m/>
    <s v="No"/>
  </r>
  <r>
    <n v="2183"/>
    <n v="219763"/>
    <s v="P"/>
    <s v="Capitalized"/>
    <s v="2020 Peterbilt RO Truck-Chassis"/>
    <m/>
    <m/>
    <n v="1"/>
    <s v="1NPCX4EX0LD636445"/>
    <n v="2020"/>
    <s v="Peterbilt"/>
    <s v="AA Welding"/>
    <s v="TRUCKS AND TRAILERS"/>
    <s v="TBA"/>
    <s v="Roll Off"/>
    <m/>
    <m/>
    <d v="2019-09-30T00:00:00"/>
    <d v="2019-09-30T00:00:00"/>
    <s v="2183-19-0015"/>
    <n v="1000"/>
    <n v="14040"/>
    <n v="184414.76"/>
    <n v="14046"/>
    <n v="84523.45"/>
    <n v="0"/>
    <n v="99891.310000000012"/>
    <n v="6147.16"/>
    <n v="51260"/>
    <n v="1536.79"/>
    <n v="0"/>
    <n v="1536.79"/>
    <s v="P"/>
    <m/>
    <n v="4085"/>
    <s v=" "/>
    <x v="20"/>
    <s v="YES"/>
    <m/>
    <m/>
    <m/>
    <m/>
    <m/>
    <m/>
    <m/>
    <m/>
    <m/>
    <m/>
    <s v="No"/>
  </r>
  <r>
    <n v="2183"/>
    <n v="219762"/>
    <s v="P"/>
    <s v="Capitalized"/>
    <s v="2020 Peterbilt RO Truck"/>
    <m/>
    <m/>
    <n v="1"/>
    <s v="1NPCX4EX0LD633996"/>
    <n v="2020"/>
    <s v="Peterbilt"/>
    <s v="AA Welding"/>
    <s v="TRUCKS AND TRAILERS"/>
    <s v="TBA"/>
    <s v="Roll Off"/>
    <m/>
    <m/>
    <d v="2019-09-18T00:00:00"/>
    <d v="2019-09-18T00:00:00"/>
    <s v="2183-19-0014"/>
    <n v="1000"/>
    <n v="14040"/>
    <n v="255725.48"/>
    <n v="14046"/>
    <n v="117207.54"/>
    <n v="0"/>
    <n v="138517.94"/>
    <n v="8524.2000000000007"/>
    <n v="51260"/>
    <n v="2131.0500000000002"/>
    <n v="0"/>
    <n v="2131.0500000000002"/>
    <s v="P"/>
    <m/>
    <n v="4084"/>
    <s v=" "/>
    <x v="20"/>
    <s v="YES"/>
    <m/>
    <m/>
    <m/>
    <m/>
    <m/>
    <m/>
    <m/>
    <m/>
    <m/>
    <m/>
    <s v="No"/>
  </r>
  <r>
    <n v="2183"/>
    <n v="219761"/>
    <s v="P"/>
    <s v="Capitalized"/>
    <s v="2020 Peterbilt ASL Truck"/>
    <m/>
    <m/>
    <n v="1"/>
    <s v="3BPDLK0X8LF107322"/>
    <n v="2020"/>
    <s v="Peterbilt"/>
    <s v="Labrie"/>
    <s v="TRUCKS AND TRAILERS"/>
    <s v="TBA"/>
    <s v="Automated Side Loader"/>
    <m/>
    <m/>
    <d v="2019-09-30T00:00:00"/>
    <d v="2019-09-30T00:00:00"/>
    <s v="2183-19-0013"/>
    <n v="1000"/>
    <n v="14040"/>
    <n v="184752.88"/>
    <n v="14046"/>
    <n v="84678.42"/>
    <n v="0"/>
    <n v="100074.46"/>
    <n v="6158.44"/>
    <n v="51260"/>
    <n v="1539.61"/>
    <n v="0"/>
    <n v="1539.61"/>
    <s v="P"/>
    <m/>
    <n v="3692"/>
    <s v=" "/>
    <x v="20"/>
    <s v="YES"/>
    <m/>
    <m/>
    <m/>
    <m/>
    <m/>
    <m/>
    <m/>
    <m/>
    <m/>
    <m/>
    <s v="No"/>
  </r>
  <r>
    <n v="2183"/>
    <n v="219760"/>
    <s v="P"/>
    <s v="Capitalized"/>
    <s v="2020 Peterbilt ASL Truck- Chassis"/>
    <m/>
    <m/>
    <n v="1"/>
    <s v="3BPDLK0X6LF107321"/>
    <n v="2020"/>
    <s v="Peterbilt"/>
    <s v="Labrie"/>
    <s v="TRUCKS AND TRAILERS"/>
    <s v="TBA"/>
    <s v="Automated Side Loader"/>
    <m/>
    <m/>
    <d v="2019-09-30T00:00:00"/>
    <d v="2019-09-30T00:00:00"/>
    <s v="2183-19-0010"/>
    <n v="1000"/>
    <n v="14040"/>
    <n v="184752.88"/>
    <n v="14046"/>
    <n v="84678.42"/>
    <n v="0"/>
    <n v="100074.46"/>
    <n v="6158.44"/>
    <n v="51260"/>
    <n v="1539.61"/>
    <n v="0"/>
    <n v="1539.61"/>
    <s v="P"/>
    <m/>
    <n v="3694"/>
    <s v=" "/>
    <x v="20"/>
    <s v="YES"/>
    <m/>
    <m/>
    <m/>
    <m/>
    <m/>
    <m/>
    <m/>
    <m/>
    <m/>
    <m/>
    <s v="No"/>
  </r>
  <r>
    <n v="2183"/>
    <n v="219600"/>
    <s v="P"/>
    <s v="Capitalized"/>
    <s v="5 Yd Metal Containers"/>
    <m/>
    <m/>
    <n v="20"/>
    <m/>
    <n v="0"/>
    <s v="CAPITAL INDUSTRIES INC"/>
    <m/>
    <s v="CONTAINERS"/>
    <s v="TBA"/>
    <m/>
    <s v="5 YD"/>
    <s v="FEL/REL/SL Metal"/>
    <d v="2019-08-23T00:00:00"/>
    <d v="2019-08-23T00:00:00"/>
    <s v="2183-19-0028-1"/>
    <n v="1200"/>
    <n v="14050"/>
    <n v="19018.2"/>
    <n v="14056"/>
    <n v="7395.96"/>
    <n v="0"/>
    <n v="11622.240000000002"/>
    <n v="528.28"/>
    <n v="54260"/>
    <n v="132.07"/>
    <n v="0"/>
    <n v="132.07"/>
    <s v="P"/>
    <m/>
    <m/>
    <s v=" "/>
    <x v="20"/>
    <s v="YES"/>
    <m/>
    <m/>
    <m/>
    <m/>
    <m/>
    <m/>
    <m/>
    <m/>
    <m/>
    <m/>
    <s v="No"/>
  </r>
  <r>
    <n v="2183"/>
    <n v="219599"/>
    <s v="P"/>
    <s v="Capitalized"/>
    <s v="2 Yd Metal Containers"/>
    <m/>
    <m/>
    <n v="20"/>
    <m/>
    <n v="0"/>
    <s v="CAPITAL INDUSTRIES INC"/>
    <m/>
    <s v="CONTAINERS"/>
    <s v="TBA"/>
    <m/>
    <s v="2 YD"/>
    <s v="FEL/REL/SL Metal"/>
    <d v="2019-08-23T00:00:00"/>
    <d v="2019-08-23T00:00:00"/>
    <s v="2183-19-0028-1"/>
    <n v="1200"/>
    <n v="14050"/>
    <n v="13334.6"/>
    <n v="14056"/>
    <n v="5185.6899999999996"/>
    <n v="0"/>
    <n v="8148.9100000000008"/>
    <n v="370.4"/>
    <n v="54260"/>
    <n v="92.6"/>
    <n v="0"/>
    <n v="92.6"/>
    <s v="P"/>
    <m/>
    <m/>
    <s v=" "/>
    <x v="20"/>
    <s v="YES"/>
    <m/>
    <m/>
    <m/>
    <m/>
    <m/>
    <m/>
    <m/>
    <m/>
    <m/>
    <m/>
    <s v="No"/>
  </r>
  <r>
    <n v="2183"/>
    <n v="219336"/>
    <s v="P"/>
    <s v="Capitalized"/>
    <s v="2019 Ford Pickup"/>
    <m/>
    <m/>
    <n v="1"/>
    <s v="1FTMF1CB8KKE24892"/>
    <n v="2019"/>
    <s v="Ford"/>
    <m/>
    <s v="TRUCKS AND TRAILERS"/>
    <s v="TBA"/>
    <s v="Pickup Truck"/>
    <m/>
    <m/>
    <d v="2019-09-04T00:00:00"/>
    <d v="2019-09-04T00:00:00"/>
    <s v="2183-19-0017"/>
    <n v="500"/>
    <n v="14040"/>
    <n v="24177.57"/>
    <n v="14046"/>
    <n v="22565.72"/>
    <n v="0"/>
    <n v="1611.8499999999985"/>
    <n v="1611.84"/>
    <n v="51260"/>
    <n v="402.96"/>
    <n v="0"/>
    <n v="402.96"/>
    <s v="P"/>
    <m/>
    <n v="6060"/>
    <s v=" "/>
    <x v="20"/>
    <s v="YES"/>
    <m/>
    <m/>
    <m/>
    <m/>
    <m/>
    <m/>
    <m/>
    <m/>
    <m/>
    <m/>
    <s v="No"/>
  </r>
  <r>
    <n v="2183"/>
    <n v="218957"/>
    <s v="P"/>
    <s v="Capitalized"/>
    <s v="2yd Metal Containers"/>
    <m/>
    <m/>
    <n v="4"/>
    <m/>
    <n v="0"/>
    <s v="CAPITAL INDUSTRIES INC"/>
    <m/>
    <s v="CONTAINERS"/>
    <s v="TBA"/>
    <m/>
    <s v="2 YD"/>
    <s v="FEL/REL/SL Metal"/>
    <d v="2019-07-31T00:00:00"/>
    <d v="2019-07-31T00:00:00"/>
    <s v="2183-19-0028-1"/>
    <n v="1200"/>
    <n v="14050"/>
    <n v="2601.34"/>
    <n v="14056"/>
    <n v="1029.69"/>
    <n v="0"/>
    <n v="1571.65"/>
    <n v="72.239999999999995"/>
    <n v="54260"/>
    <n v="18.059999999999999"/>
    <n v="0"/>
    <n v="18.059999999999999"/>
    <s v="P"/>
    <m/>
    <m/>
    <s v=" "/>
    <x v="20"/>
    <s v="YES"/>
    <m/>
    <m/>
    <m/>
    <m/>
    <m/>
    <m/>
    <m/>
    <m/>
    <m/>
    <m/>
    <s v="No"/>
  </r>
  <r>
    <n v="2183"/>
    <n v="218956"/>
    <s v="P"/>
    <s v="Capitalized"/>
    <s v="5yd Metal Containers"/>
    <m/>
    <m/>
    <n v="10"/>
    <m/>
    <n v="0"/>
    <s v="CAPITAL INDUSTRIES INC"/>
    <m/>
    <s v="CONTAINERS"/>
    <s v="TBA"/>
    <m/>
    <s v="5 YD"/>
    <s v="FEL/REL/SL Metal"/>
    <d v="2019-08-23T00:00:00"/>
    <d v="2019-08-23T00:00:00"/>
    <s v="2183-19-0028-1"/>
    <n v="1200"/>
    <n v="14050"/>
    <n v="9290.5"/>
    <n v="14056"/>
    <n v="3612.99"/>
    <n v="0"/>
    <n v="5677.51"/>
    <n v="258.08"/>
    <n v="54260"/>
    <n v="64.52"/>
    <n v="0"/>
    <n v="64.52"/>
    <s v="P"/>
    <m/>
    <m/>
    <s v=" "/>
    <x v="20"/>
    <s v="YES"/>
    <m/>
    <m/>
    <m/>
    <m/>
    <m/>
    <m/>
    <m/>
    <m/>
    <m/>
    <m/>
    <s v="No"/>
  </r>
  <r>
    <n v="2183"/>
    <n v="218955"/>
    <s v="P"/>
    <s v="Capitalized"/>
    <s v="6yd Metal Containers"/>
    <m/>
    <m/>
    <n v="15"/>
    <m/>
    <n v="0"/>
    <s v="CAPITAL INDUSTRIES INC"/>
    <m/>
    <s v="CONTAINERS"/>
    <s v="TBA"/>
    <m/>
    <s v="6 YD"/>
    <s v="FEL/REL/SL Metal"/>
    <d v="2019-07-31T00:00:00"/>
    <d v="2019-07-31T00:00:00"/>
    <s v="2183-19-0028-1"/>
    <n v="1200"/>
    <n v="14050"/>
    <n v="14673.54"/>
    <n v="14056"/>
    <n v="5808.3"/>
    <n v="0"/>
    <n v="8865.2400000000016"/>
    <n v="407.6"/>
    <n v="54260"/>
    <n v="101.9"/>
    <n v="0"/>
    <n v="101.9"/>
    <s v="P"/>
    <m/>
    <m/>
    <s v=" "/>
    <x v="20"/>
    <s v="YES"/>
    <m/>
    <m/>
    <m/>
    <m/>
    <m/>
    <m/>
    <m/>
    <m/>
    <m/>
    <m/>
    <s v="No"/>
  </r>
  <r>
    <n v="2183"/>
    <n v="218238"/>
    <s v="P"/>
    <s v="Capitalized"/>
    <s v="2019 ASL Pete 320 RHD/Labrie Automizer 29YD"/>
    <m/>
    <m/>
    <n v="1"/>
    <s v="3BPDL70X8KF106277"/>
    <n v="2019"/>
    <s v="Peterbilt"/>
    <s v="Labrie"/>
    <s v="TRUCKS AND TRAILERS"/>
    <s v="TBA"/>
    <s v="Automated Side Loader"/>
    <m/>
    <m/>
    <d v="2019-06-04T00:00:00"/>
    <d v="2019-06-04T00:00:00"/>
    <s v="2183-19-0018-1"/>
    <n v="1000"/>
    <n v="14040"/>
    <n v="362237.01"/>
    <n v="14046"/>
    <n v="178099.85"/>
    <n v="0"/>
    <n v="184137.16"/>
    <n v="12074.56"/>
    <n v="51260"/>
    <n v="3018.64"/>
    <n v="0"/>
    <n v="3018.64"/>
    <s v="P"/>
    <m/>
    <n v="3689"/>
    <s v=" "/>
    <x v="20"/>
    <s v="YES"/>
    <m/>
    <m/>
    <m/>
    <m/>
    <m/>
    <m/>
    <m/>
    <m/>
    <m/>
    <m/>
    <s v="No"/>
  </r>
  <r>
    <n v="2183"/>
    <n v="218237"/>
    <s v="P"/>
    <s v="Capitalized"/>
    <s v="2019 ASL Pete 320 RHD/Labrie Automizer 29YD"/>
    <m/>
    <m/>
    <n v="1"/>
    <s v="3BPDL70XXKF106281"/>
    <n v="2019"/>
    <s v="Peterbilt"/>
    <s v="Labrie"/>
    <s v="TRUCKS AND TRAILERS"/>
    <s v="TBA"/>
    <s v="Automated Side Loader"/>
    <m/>
    <m/>
    <d v="2019-06-14T00:00:00"/>
    <d v="2019-06-14T00:00:00"/>
    <s v="2183-19-0009-1"/>
    <n v="1000"/>
    <n v="14040"/>
    <n v="361280.63"/>
    <n v="14046"/>
    <n v="177629.62"/>
    <n v="0"/>
    <n v="183651.01"/>
    <n v="12042.68"/>
    <n v="51260"/>
    <n v="3010.67"/>
    <n v="0"/>
    <n v="3010.67"/>
    <s v="P"/>
    <m/>
    <n v="3690"/>
    <s v=" "/>
    <x v="20"/>
    <s v="YES"/>
    <m/>
    <m/>
    <m/>
    <m/>
    <m/>
    <m/>
    <m/>
    <m/>
    <m/>
    <m/>
    <s v="No"/>
  </r>
  <r>
    <n v="2183"/>
    <n v="218186"/>
    <s v="P"/>
    <s v="Capitalized"/>
    <s v="2yd Metal Containers"/>
    <m/>
    <m/>
    <n v="16"/>
    <m/>
    <n v="0"/>
    <s v="CAPITAL INDUSTRIES INC"/>
    <m/>
    <s v="CONTAINERS"/>
    <s v="TBA"/>
    <m/>
    <s v="2 YD"/>
    <s v="FEL/REL/SL Metal"/>
    <d v="2019-07-31T00:00:00"/>
    <d v="2019-07-31T00:00:00"/>
    <s v="2183-19-0028-1"/>
    <n v="1200"/>
    <n v="14050"/>
    <n v="10405.36"/>
    <n v="14056"/>
    <n v="4118.78"/>
    <n v="0"/>
    <n v="6286.5800000000008"/>
    <n v="289.04000000000002"/>
    <n v="54260"/>
    <n v="72.260000000000005"/>
    <n v="0"/>
    <n v="72.260000000000005"/>
    <s v="P"/>
    <m/>
    <m/>
    <s v=" "/>
    <x v="20"/>
    <s v="YES"/>
    <m/>
    <m/>
    <m/>
    <m/>
    <m/>
    <m/>
    <m/>
    <m/>
    <m/>
    <m/>
    <s v="No"/>
  </r>
  <r>
    <n v="2183"/>
    <n v="217913"/>
    <s v="P"/>
    <s v="Capitalized"/>
    <s v="Shop Diagnostic Laptop w/ Software"/>
    <m/>
    <m/>
    <n v="1"/>
    <m/>
    <n v="0"/>
    <s v="NOREGON"/>
    <m/>
    <s v="HARDWARE AND SOFTWARE"/>
    <s v="TBA"/>
    <m/>
    <m/>
    <m/>
    <d v="2019-01-31T00:00:00"/>
    <d v="2019-01-31T00:00:00"/>
    <s v="2183-19-0022-1"/>
    <n v="300"/>
    <n v="14110"/>
    <n v="983.7"/>
    <n v="14116"/>
    <n v="983.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17873"/>
    <s v="P"/>
    <s v="Capitalized"/>
    <s v="40yd RO Boxes"/>
    <m/>
    <m/>
    <n v="6"/>
    <m/>
    <n v="0"/>
    <s v="ENVIRONMENTAL METAL WORKS"/>
    <m/>
    <s v="CONTAINERS"/>
    <s v="TBA"/>
    <m/>
    <s v="40 YD"/>
    <s v="RO Box"/>
    <d v="2019-06-14T00:00:00"/>
    <d v="2019-06-14T00:00:00"/>
    <s v="2183-19-0025-1"/>
    <n v="1200"/>
    <n v="14050"/>
    <n v="34135.760000000002"/>
    <n v="14056"/>
    <n v="13986.18"/>
    <n v="0"/>
    <n v="20149.580000000002"/>
    <n v="948.2"/>
    <n v="54260"/>
    <n v="237.05"/>
    <n v="0"/>
    <n v="237.05"/>
    <s v="P"/>
    <m/>
    <m/>
    <s v=" "/>
    <x v="20"/>
    <s v="YES"/>
    <m/>
    <m/>
    <m/>
    <m/>
    <m/>
    <m/>
    <m/>
    <m/>
    <m/>
    <m/>
    <s v="No"/>
  </r>
  <r>
    <n v="2183"/>
    <n v="217348"/>
    <s v="P"/>
    <s v="Capitalized"/>
    <s v="40yd RO Boxes"/>
    <m/>
    <m/>
    <n v="6"/>
    <m/>
    <n v="0"/>
    <s v="ENVIRONMENTAL METAL WORKS"/>
    <m/>
    <s v="CONTAINERS"/>
    <s v="TBA"/>
    <m/>
    <s v="40 YD"/>
    <s v="RO Box"/>
    <d v="2019-06-14T00:00:00"/>
    <d v="2019-06-14T00:00:00"/>
    <s v="2183-19-0025-1"/>
    <n v="1200"/>
    <n v="14050"/>
    <n v="33955.480000000003"/>
    <n v="14056"/>
    <n v="13912.29"/>
    <n v="0"/>
    <n v="20043.190000000002"/>
    <n v="943.2"/>
    <n v="54260"/>
    <n v="235.8"/>
    <n v="0"/>
    <n v="235.8"/>
    <s v="P"/>
    <m/>
    <m/>
    <s v=" "/>
    <x v="20"/>
    <s v="YES"/>
    <m/>
    <m/>
    <m/>
    <m/>
    <m/>
    <m/>
    <m/>
    <m/>
    <m/>
    <m/>
    <s v="No"/>
  </r>
  <r>
    <n v="2183"/>
    <n v="216734"/>
    <n v="210008"/>
    <s v="Capitalized"/>
    <s v="Software"/>
    <m/>
    <m/>
    <n v="1"/>
    <m/>
    <n v="0"/>
    <s v="Rush Truck Centers"/>
    <m/>
    <s v="HARDWARE AND SOFTWARE"/>
    <s v="TBA"/>
    <m/>
    <m/>
    <m/>
    <d v="2019-01-31T00:00:00"/>
    <d v="2019-01-31T00:00:00"/>
    <s v="2183-19-0022-1"/>
    <n v="300"/>
    <n v="14110"/>
    <n v="1311.6"/>
    <n v="14116"/>
    <n v="1311.6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16319"/>
    <s v="P"/>
    <s v="Capitalized"/>
    <s v="30yd RO Boxes"/>
    <m/>
    <m/>
    <n v="10"/>
    <m/>
    <n v="0"/>
    <s v="ENVIRONMENTAL METAL WORKS"/>
    <m/>
    <s v="CONTAINERS"/>
    <s v="TBA"/>
    <m/>
    <s v="30 YD"/>
    <s v="RO Box"/>
    <d v="2019-06-14T00:00:00"/>
    <d v="2019-06-14T00:00:00"/>
    <s v="2183-19-0025-1"/>
    <n v="1200"/>
    <n v="14050"/>
    <n v="48393.96"/>
    <n v="14056"/>
    <n v="19828.09"/>
    <n v="0"/>
    <n v="28565.87"/>
    <n v="1344.28"/>
    <n v="54260"/>
    <n v="336.07"/>
    <n v="0"/>
    <n v="336.07"/>
    <s v="P"/>
    <m/>
    <m/>
    <s v=" "/>
    <x v="20"/>
    <s v="YES"/>
    <m/>
    <m/>
    <m/>
    <m/>
    <m/>
    <m/>
    <m/>
    <m/>
    <m/>
    <m/>
    <s v="No"/>
  </r>
  <r>
    <n v="2183"/>
    <n v="215457"/>
    <s v="P"/>
    <s v="Capitalized"/>
    <s v="96 Gallon Yardwaste Carts"/>
    <m/>
    <m/>
    <n v="624"/>
    <m/>
    <n v="0"/>
    <s v="TOTER LLC"/>
    <m/>
    <s v="CONTAINERS"/>
    <s v="TBA"/>
    <m/>
    <m/>
    <m/>
    <d v="2019-05-06T00:00:00"/>
    <d v="2019-05-06T00:00:00"/>
    <s v="2183-19-0026-1"/>
    <n v="700"/>
    <n v="14050"/>
    <n v="30295.87"/>
    <n v="14056"/>
    <n v="21639.919999999998"/>
    <n v="0"/>
    <n v="8655.9500000000007"/>
    <n v="1442.68"/>
    <n v="54260"/>
    <n v="360.67"/>
    <n v="0"/>
    <n v="360.67"/>
    <s v="P"/>
    <m/>
    <m/>
    <s v=" "/>
    <x v="20"/>
    <s v="YES"/>
    <m/>
    <m/>
    <m/>
    <m/>
    <m/>
    <m/>
    <m/>
    <m/>
    <m/>
    <m/>
    <s v="No"/>
  </r>
  <r>
    <n v="2183"/>
    <n v="215136"/>
    <s v="P"/>
    <s v="Capitalized"/>
    <s v="96 Gallon Yardwaste Carts"/>
    <m/>
    <m/>
    <n v="312"/>
    <m/>
    <n v="0"/>
    <s v="TOTER LLC"/>
    <m/>
    <s v="CONTAINERS"/>
    <s v="TBA"/>
    <m/>
    <m/>
    <m/>
    <d v="2019-05-06T00:00:00"/>
    <d v="2019-05-06T00:00:00"/>
    <s v="2183-19-0026-1"/>
    <n v="700"/>
    <n v="14050"/>
    <n v="15147.93"/>
    <n v="14056"/>
    <n v="10819.94"/>
    <n v="0"/>
    <n v="4327.99"/>
    <n v="721.32"/>
    <n v="54260"/>
    <n v="180.33"/>
    <n v="0"/>
    <n v="180.33"/>
    <s v="P"/>
    <m/>
    <m/>
    <s v=" "/>
    <x v="20"/>
    <s v="YES"/>
    <m/>
    <m/>
    <m/>
    <m/>
    <m/>
    <m/>
    <m/>
    <m/>
    <m/>
    <m/>
    <s v="No"/>
  </r>
  <r>
    <n v="2183"/>
    <n v="215135"/>
    <s v="P"/>
    <s v="Capitalized"/>
    <s v="35 Gallon Refuse Carts"/>
    <m/>
    <m/>
    <n v="472"/>
    <m/>
    <n v="0"/>
    <s v="TOTER LLC"/>
    <m/>
    <s v="CONTAINERS"/>
    <s v="TBA"/>
    <m/>
    <m/>
    <m/>
    <d v="2019-05-06T00:00:00"/>
    <d v="2019-05-06T00:00:00"/>
    <s v="2183-19-0026-1"/>
    <n v="700"/>
    <n v="14050"/>
    <n v="18015.09"/>
    <n v="14056"/>
    <n v="12867.96"/>
    <n v="0"/>
    <n v="5147.130000000001"/>
    <n v="857.88"/>
    <n v="54260"/>
    <n v="214.47"/>
    <n v="0"/>
    <n v="214.47"/>
    <s v="P"/>
    <m/>
    <m/>
    <s v=" "/>
    <x v="20"/>
    <s v="YES"/>
    <m/>
    <m/>
    <m/>
    <m/>
    <m/>
    <m/>
    <m/>
    <m/>
    <m/>
    <m/>
    <s v="No"/>
  </r>
  <r>
    <n v="2183"/>
    <n v="215134"/>
    <s v="P"/>
    <s v="Capitalized"/>
    <s v="96 Gallon Refuse Carts"/>
    <m/>
    <m/>
    <n v="624"/>
    <m/>
    <n v="0"/>
    <s v="TOTER LLC"/>
    <m/>
    <s v="CONTAINERS"/>
    <s v="TBA"/>
    <m/>
    <m/>
    <m/>
    <d v="2019-05-06T00:00:00"/>
    <d v="2019-05-06T00:00:00"/>
    <s v="2183-19-0026-1"/>
    <n v="700"/>
    <n v="14050"/>
    <n v="30295.86"/>
    <n v="14056"/>
    <n v="21639.919999999998"/>
    <n v="0"/>
    <n v="8655.9400000000023"/>
    <n v="1442.68"/>
    <n v="54260"/>
    <n v="360.67"/>
    <n v="0"/>
    <n v="360.67"/>
    <s v="P"/>
    <m/>
    <m/>
    <s v=" "/>
    <x v="20"/>
    <s v="YES"/>
    <m/>
    <m/>
    <m/>
    <m/>
    <m/>
    <m/>
    <m/>
    <m/>
    <m/>
    <m/>
    <s v="No"/>
  </r>
  <r>
    <n v="2183"/>
    <n v="214065"/>
    <s v="P"/>
    <s v="Capitalized"/>
    <s v="2019 Peterbilt Body/AA welding Body RO Truck"/>
    <m/>
    <m/>
    <n v="1"/>
    <s v="1NPCX4EX6KD627974"/>
    <n v="2019"/>
    <s v="Peterbilt"/>
    <s v="AA Welding"/>
    <s v="TRUCKS AND TRAILERS"/>
    <s v="TBA"/>
    <s v="Roll Off"/>
    <m/>
    <m/>
    <d v="2019-05-31T00:00:00"/>
    <d v="2019-05-31T00:00:00"/>
    <s v="2183-19-0016-1"/>
    <n v="1000"/>
    <n v="14040"/>
    <n v="264453.88"/>
    <n v="14046"/>
    <n v="130023.15"/>
    <n v="0"/>
    <n v="134430.73000000001"/>
    <n v="8815.1200000000008"/>
    <n v="51260"/>
    <n v="2203.7800000000002"/>
    <n v="0"/>
    <n v="2203.7800000000002"/>
    <s v="P"/>
    <m/>
    <n v="4083"/>
    <s v=" "/>
    <x v="20"/>
    <s v="YES"/>
    <m/>
    <m/>
    <m/>
    <m/>
    <m/>
    <m/>
    <m/>
    <m/>
    <m/>
    <m/>
    <s v="No"/>
  </r>
  <r>
    <n v="2183"/>
    <n v="214016"/>
    <s v="P"/>
    <s v="Capitalized"/>
    <s v="96 Gallon Recycle Containers"/>
    <m/>
    <m/>
    <n v="624"/>
    <m/>
    <n v="0"/>
    <s v="TOTER LLC"/>
    <m/>
    <s v="CONTAINERS"/>
    <s v="TBA"/>
    <m/>
    <m/>
    <m/>
    <d v="2019-05-06T00:00:00"/>
    <d v="2019-05-06T00:00:00"/>
    <s v="2183-19-0026-1"/>
    <n v="700"/>
    <n v="14050"/>
    <n v="30295.87"/>
    <n v="14056"/>
    <n v="21639.919999999998"/>
    <n v="0"/>
    <n v="8655.9500000000007"/>
    <n v="1442.68"/>
    <n v="54260"/>
    <n v="360.67"/>
    <n v="0"/>
    <n v="360.67"/>
    <s v="P"/>
    <m/>
    <m/>
    <s v=" "/>
    <x v="20"/>
    <s v="YES"/>
    <m/>
    <m/>
    <m/>
    <m/>
    <m/>
    <m/>
    <m/>
    <m/>
    <m/>
    <m/>
    <s v="No"/>
  </r>
  <r>
    <n v="2183"/>
    <n v="213901"/>
    <s v="P"/>
    <s v="Capitalized"/>
    <s v="64 Gallon Refuse Carts"/>
    <m/>
    <m/>
    <n v="864"/>
    <m/>
    <n v="0"/>
    <s v="TOTER LLC"/>
    <m/>
    <s v="CONTAINERS"/>
    <s v="TBA"/>
    <m/>
    <m/>
    <m/>
    <d v="2019-05-06T00:00:00"/>
    <d v="2019-05-06T00:00:00"/>
    <s v="2183-19-0026-1"/>
    <n v="700"/>
    <n v="14050"/>
    <n v="37698.53"/>
    <n v="14056"/>
    <n v="26927.54"/>
    <n v="0"/>
    <n v="10770.989999999998"/>
    <n v="1795.16"/>
    <n v="54260"/>
    <n v="448.79"/>
    <n v="0"/>
    <n v="448.79"/>
    <s v="P"/>
    <m/>
    <m/>
    <s v=" "/>
    <x v="20"/>
    <s v="YES"/>
    <m/>
    <m/>
    <m/>
    <m/>
    <m/>
    <m/>
    <m/>
    <m/>
    <m/>
    <m/>
    <s v="No"/>
  </r>
  <r>
    <n v="2183"/>
    <n v="211617"/>
    <s v="P"/>
    <s v="Capitalized"/>
    <s v="HP ProBook 650 G4 Training Laptop"/>
    <m/>
    <m/>
    <n v="1"/>
    <m/>
    <n v="0"/>
    <s v="CDW"/>
    <m/>
    <s v="HARDWARE AND SOFTWARE"/>
    <s v="TBA"/>
    <m/>
    <m/>
    <m/>
    <d v="2019-02-22T00:00:00"/>
    <d v="2019-02-22T00:00:00"/>
    <s v="2183-19-0024-1"/>
    <n v="300"/>
    <n v="14110"/>
    <n v="1365.69"/>
    <n v="14116"/>
    <n v="1365.69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10490"/>
    <n v="61085"/>
    <s v="Capitalized"/>
    <s v="Capital Repair Truck 1041 in Frame Rebuild"/>
    <m/>
    <m/>
    <n v="1"/>
    <m/>
    <n v="0"/>
    <s v="Dirk's Truck Repair"/>
    <m/>
    <s v="TRUCKS AND TRAILERS"/>
    <s v="TBA"/>
    <s v="Non-Rolling Stock"/>
    <m/>
    <m/>
    <d v="2019-02-18T00:00:00"/>
    <d v="2019-02-18T00:00:00"/>
    <s v="2183-19-0023-1"/>
    <n v="300"/>
    <n v="14040"/>
    <n v="12037.33"/>
    <n v="14046"/>
    <n v="12037.33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10121"/>
    <s v="P"/>
    <s v="Capitalized"/>
    <s v="96 Gallon Refuse Containers"/>
    <m/>
    <m/>
    <n v="624"/>
    <m/>
    <n v="0"/>
    <s v="TOTER LLC"/>
    <m/>
    <s v="CONTAINERS"/>
    <s v="TBA"/>
    <m/>
    <m/>
    <m/>
    <d v="2019-01-21T00:00:00"/>
    <d v="2019-01-21T00:00:00"/>
    <s v="2183-19-0021-1"/>
    <n v="700"/>
    <n v="14050"/>
    <n v="31843.759999999998"/>
    <n v="14056"/>
    <n v="23882.82"/>
    <n v="0"/>
    <n v="7960.9399999999987"/>
    <n v="1516.36"/>
    <n v="54260"/>
    <n v="379.09"/>
    <n v="0"/>
    <n v="379.09"/>
    <s v="P"/>
    <m/>
    <m/>
    <s v=" "/>
    <x v="20"/>
    <s v="YES"/>
    <m/>
    <m/>
    <m/>
    <m/>
    <m/>
    <m/>
    <m/>
    <m/>
    <m/>
    <m/>
    <s v="No"/>
  </r>
  <r>
    <n v="2183"/>
    <n v="210120"/>
    <s v="P"/>
    <s v="Capitalized"/>
    <s v="96 Gallon Recycle Containers"/>
    <m/>
    <m/>
    <n v="624"/>
    <m/>
    <n v="0"/>
    <s v="TOTER LLC"/>
    <m/>
    <s v="CONTAINERS"/>
    <s v="TBA"/>
    <m/>
    <m/>
    <m/>
    <d v="2019-01-21T00:00:00"/>
    <d v="2019-01-21T00:00:00"/>
    <s v="2183-19-0021-1"/>
    <n v="700"/>
    <n v="14050"/>
    <n v="31843.759999999998"/>
    <n v="14056"/>
    <n v="23882.82"/>
    <n v="0"/>
    <n v="7960.9399999999987"/>
    <n v="1516.36"/>
    <n v="54260"/>
    <n v="379.09"/>
    <n v="0"/>
    <n v="379.09"/>
    <s v="P"/>
    <m/>
    <m/>
    <s v=" "/>
    <x v="20"/>
    <s v="YES"/>
    <m/>
    <m/>
    <m/>
    <m/>
    <m/>
    <m/>
    <m/>
    <m/>
    <m/>
    <m/>
    <s v="No"/>
  </r>
  <r>
    <n v="2183"/>
    <n v="210119"/>
    <s v="P"/>
    <s v="Capitalized"/>
    <s v="35 Gallon Refuse Containers"/>
    <m/>
    <m/>
    <n v="945"/>
    <m/>
    <n v="0"/>
    <s v="TOTER LLC"/>
    <m/>
    <s v="CONTAINERS"/>
    <s v="TBA"/>
    <m/>
    <m/>
    <m/>
    <d v="2019-01-21T00:00:00"/>
    <d v="2019-01-21T00:00:00"/>
    <s v="2183-19-0021-1"/>
    <n v="700"/>
    <n v="14050"/>
    <n v="37953.050000000003"/>
    <n v="14056"/>
    <n v="28464.799999999999"/>
    <n v="0"/>
    <n v="9488.2500000000036"/>
    <n v="1807.28"/>
    <n v="54260"/>
    <n v="451.82"/>
    <n v="0"/>
    <n v="451.82"/>
    <s v="P"/>
    <m/>
    <m/>
    <s v=" "/>
    <x v="20"/>
    <s v="YES"/>
    <m/>
    <m/>
    <m/>
    <m/>
    <m/>
    <m/>
    <m/>
    <m/>
    <m/>
    <m/>
    <s v="No"/>
  </r>
  <r>
    <n v="2183"/>
    <n v="210118"/>
    <s v="P"/>
    <s v="Capitalized"/>
    <s v="64 Gallon Refuse Containers"/>
    <m/>
    <m/>
    <n v="864"/>
    <m/>
    <n v="0"/>
    <s v="TOTER LLC"/>
    <m/>
    <s v="CONTAINERS"/>
    <s v="TBA"/>
    <m/>
    <m/>
    <m/>
    <d v="2019-01-21T00:00:00"/>
    <d v="2019-01-21T00:00:00"/>
    <s v="2183-19-0021-1"/>
    <n v="700"/>
    <n v="14050"/>
    <n v="39187.980000000003"/>
    <n v="14056"/>
    <n v="29390.959999999999"/>
    <n v="0"/>
    <n v="9797.0200000000041"/>
    <n v="1866.08"/>
    <n v="54260"/>
    <n v="466.52"/>
    <n v="0"/>
    <n v="466.52"/>
    <s v="P"/>
    <m/>
    <m/>
    <s v=" "/>
    <x v="20"/>
    <s v="YES"/>
    <m/>
    <m/>
    <m/>
    <m/>
    <m/>
    <m/>
    <m/>
    <m/>
    <m/>
    <m/>
    <s v="No"/>
  </r>
  <r>
    <n v="2183"/>
    <n v="210117"/>
    <s v="P"/>
    <s v="Capitalized"/>
    <s v="96 Gallon Yardwaste Containers"/>
    <m/>
    <m/>
    <n v="624"/>
    <m/>
    <n v="0"/>
    <s v="TOTER LLC"/>
    <m/>
    <s v="CONTAINERS"/>
    <s v="TBA"/>
    <m/>
    <m/>
    <m/>
    <d v="2019-01-21T00:00:00"/>
    <d v="2019-01-21T00:00:00"/>
    <s v="2183-19-0021-1"/>
    <n v="700"/>
    <n v="14050"/>
    <n v="31843.759999999998"/>
    <n v="14056"/>
    <n v="23882.82"/>
    <n v="0"/>
    <n v="7960.9399999999987"/>
    <n v="1516.36"/>
    <n v="54260"/>
    <n v="379.09"/>
    <n v="0"/>
    <n v="379.09"/>
    <s v="P"/>
    <m/>
    <m/>
    <s v=" "/>
    <x v="20"/>
    <s v="YES"/>
    <m/>
    <m/>
    <m/>
    <m/>
    <m/>
    <m/>
    <m/>
    <m/>
    <m/>
    <m/>
    <s v="No"/>
  </r>
  <r>
    <n v="2183"/>
    <n v="210008"/>
    <s v="P"/>
    <s v="Capitalized"/>
    <s v="Shop Diagnostic Laptop w/ Software"/>
    <m/>
    <m/>
    <n v="1"/>
    <m/>
    <n v="0"/>
    <s v="CDW"/>
    <m/>
    <s v="HARDWARE AND SOFTWARE"/>
    <s v="TBA"/>
    <m/>
    <m/>
    <m/>
    <d v="2019-01-31T00:00:00"/>
    <d v="2019-01-31T00:00:00"/>
    <s v="2183-19-0022-1"/>
    <n v="300"/>
    <n v="14110"/>
    <n v="1555.07"/>
    <n v="14116"/>
    <n v="1555.0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7446"/>
    <s v="P"/>
    <s v="Capitalized"/>
    <s v="4 yd Metal Containers"/>
    <m/>
    <m/>
    <n v="22"/>
    <m/>
    <n v="0"/>
    <s v="ENVIRONMENTAL METAL WORKS"/>
    <m/>
    <s v="CONTAINERS"/>
    <s v="TBA"/>
    <m/>
    <s v="4 YD"/>
    <s v="FEL/REL/SL Metal"/>
    <d v="2018-11-07T00:00:00"/>
    <d v="2018-11-07T00:00:00"/>
    <s v="2183-18-0028-1"/>
    <n v="1200"/>
    <n v="14050"/>
    <n v="16484.080000000002"/>
    <n v="14056"/>
    <n v="7555.18"/>
    <n v="0"/>
    <n v="8928.9000000000015"/>
    <n v="457.88"/>
    <n v="54260"/>
    <n v="114.47"/>
    <n v="0"/>
    <n v="114.47"/>
    <s v="P"/>
    <m/>
    <m/>
    <s v=" "/>
    <x v="20"/>
    <s v="YES"/>
    <m/>
    <m/>
    <m/>
    <m/>
    <m/>
    <m/>
    <m/>
    <m/>
    <m/>
    <m/>
    <s v="No"/>
  </r>
  <r>
    <n v="2183"/>
    <n v="207445"/>
    <s v="P"/>
    <s v="Capitalized"/>
    <s v="3 yd Metal Containers"/>
    <m/>
    <m/>
    <n v="22"/>
    <m/>
    <n v="0"/>
    <s v="ENVIRONMENTAL METAL WORKS"/>
    <m/>
    <s v="CONTAINERS"/>
    <s v="TBA"/>
    <m/>
    <s v="3 YD"/>
    <s v="FEL/REL/SL Metal"/>
    <d v="2018-11-07T00:00:00"/>
    <d v="2018-11-07T00:00:00"/>
    <s v="2183-18-0028-1"/>
    <n v="1200"/>
    <n v="14050"/>
    <n v="17253.61"/>
    <n v="14056"/>
    <n v="7907.91"/>
    <n v="0"/>
    <n v="9345.7000000000007"/>
    <n v="479.28"/>
    <n v="54260"/>
    <n v="119.82"/>
    <n v="0"/>
    <n v="119.82"/>
    <s v="P"/>
    <m/>
    <m/>
    <s v=" "/>
    <x v="20"/>
    <s v="YES"/>
    <m/>
    <m/>
    <m/>
    <m/>
    <m/>
    <m/>
    <m/>
    <m/>
    <m/>
    <m/>
    <s v="No"/>
  </r>
  <r>
    <n v="2183"/>
    <n v="207444"/>
    <s v="P"/>
    <s v="Capitalized"/>
    <s v="1 yd Metal Containers"/>
    <m/>
    <m/>
    <n v="48"/>
    <m/>
    <n v="0"/>
    <s v="ENVIRONMENTAL METAL WORKS"/>
    <m/>
    <s v="CONTAINERS"/>
    <s v="TBA"/>
    <m/>
    <s v="1 YD"/>
    <s v="FEL/REL/SL Metal"/>
    <d v="2018-11-07T00:00:00"/>
    <d v="2018-11-07T00:00:00"/>
    <s v="2183-18-0028-1"/>
    <n v="1200"/>
    <n v="14050"/>
    <n v="29272.880000000001"/>
    <n v="14056"/>
    <n v="13416.74"/>
    <n v="0"/>
    <n v="15856.140000000001"/>
    <n v="813.12"/>
    <n v="54260"/>
    <n v="203.28"/>
    <n v="0"/>
    <n v="203.28"/>
    <s v="P"/>
    <m/>
    <m/>
    <s v=" "/>
    <x v="20"/>
    <s v="YES"/>
    <m/>
    <m/>
    <m/>
    <m/>
    <m/>
    <m/>
    <m/>
    <m/>
    <m/>
    <m/>
    <s v="No"/>
  </r>
  <r>
    <n v="2183"/>
    <n v="207237"/>
    <s v="P"/>
    <s v="Capitalized"/>
    <s v="2019 RO Truck"/>
    <m/>
    <m/>
    <n v="1"/>
    <s v="1NPCX4EX3KD276215"/>
    <n v="2019"/>
    <s v="Peterbilt"/>
    <s v="AA Welding"/>
    <s v="TRUCKS AND TRAILERS"/>
    <s v="TBA"/>
    <s v="Roll Off"/>
    <m/>
    <m/>
    <d v="2018-12-06T00:00:00"/>
    <d v="2018-12-06T00:00:00"/>
    <s v="2183-18-0006-1"/>
    <n v="1000"/>
    <n v="14040"/>
    <n v="250296.54"/>
    <n v="14046"/>
    <n v="135577.21"/>
    <n v="0"/>
    <n v="114719.33000000002"/>
    <n v="8343.2000000000007"/>
    <n v="51260"/>
    <n v="2085.8000000000002"/>
    <n v="0"/>
    <n v="2085.8000000000002"/>
    <s v="P"/>
    <m/>
    <n v="4082"/>
    <s v=" "/>
    <x v="20"/>
    <s v="YES"/>
    <m/>
    <m/>
    <m/>
    <m/>
    <m/>
    <m/>
    <m/>
    <m/>
    <m/>
    <m/>
    <s v="No"/>
  </r>
  <r>
    <n v="2183"/>
    <n v="206758"/>
    <s v="P"/>
    <s v="Capitalized"/>
    <s v="6 yd Metal Containers"/>
    <m/>
    <m/>
    <n v="24"/>
    <m/>
    <n v="0"/>
    <s v="ENVIRONMENTAL METAL WORKS"/>
    <m/>
    <s v="CONTAINERS"/>
    <s v="TBA"/>
    <m/>
    <s v="6 YD"/>
    <s v="FEL/REL/SL Metal"/>
    <d v="2018-11-07T00:00:00"/>
    <d v="2018-11-07T00:00:00"/>
    <s v="2183-18-0028-1"/>
    <n v="1200"/>
    <n v="14050"/>
    <n v="22721.59"/>
    <n v="14056"/>
    <n v="10414.09"/>
    <n v="0"/>
    <n v="12307.5"/>
    <n v="631.16"/>
    <n v="54260"/>
    <n v="157.79"/>
    <n v="0"/>
    <n v="157.79"/>
    <s v="P"/>
    <m/>
    <m/>
    <s v=" "/>
    <x v="20"/>
    <s v="YES"/>
    <m/>
    <m/>
    <m/>
    <m/>
    <m/>
    <m/>
    <m/>
    <m/>
    <m/>
    <m/>
    <s v="No"/>
  </r>
  <r>
    <n v="2183"/>
    <n v="206757"/>
    <s v="P"/>
    <s v="Capitalized"/>
    <s v="2 yd Metal Containers"/>
    <m/>
    <m/>
    <n v="20"/>
    <m/>
    <n v="0"/>
    <s v="ENVIRONMENTAL METAL WORKS"/>
    <m/>
    <s v="CONTAINERS"/>
    <s v="TBA"/>
    <m/>
    <s v="2 YD"/>
    <s v="FEL/REL/SL Metal"/>
    <d v="2018-11-07T00:00:00"/>
    <d v="2018-11-07T00:00:00"/>
    <s v="2183-18-0028-1"/>
    <n v="1200"/>
    <n v="14050"/>
    <n v="13835.75"/>
    <n v="14056"/>
    <n v="6341.38"/>
    <n v="0"/>
    <n v="7494.37"/>
    <n v="384.32"/>
    <n v="54260"/>
    <n v="96.08"/>
    <n v="0"/>
    <n v="96.08"/>
    <s v="P"/>
    <m/>
    <m/>
    <s v=" "/>
    <x v="20"/>
    <s v="YES"/>
    <m/>
    <m/>
    <m/>
    <m/>
    <m/>
    <m/>
    <m/>
    <m/>
    <m/>
    <m/>
    <s v="No"/>
  </r>
  <r>
    <n v="2183"/>
    <n v="206416"/>
    <s v="P"/>
    <s v="Capitalized"/>
    <s v="30Yd Containers"/>
    <m/>
    <m/>
    <n v="5"/>
    <m/>
    <n v="0"/>
    <s v="ENVIRONMENTAL METAL WORKS"/>
    <m/>
    <s v="CONTAINERS"/>
    <s v="TBA"/>
    <m/>
    <s v="30 YD"/>
    <s v="RO Box"/>
    <d v="2018-10-04T00:00:00"/>
    <d v="2018-10-04T00:00:00"/>
    <s v="2183-18-0025-1"/>
    <n v="1200"/>
    <n v="14050"/>
    <n v="33480.65"/>
    <n v="14056"/>
    <n v="15577.81"/>
    <n v="0"/>
    <n v="17902.840000000004"/>
    <n v="930"/>
    <n v="54260"/>
    <n v="232.5"/>
    <n v="0"/>
    <n v="232.5"/>
    <s v="P"/>
    <m/>
    <m/>
    <s v=" "/>
    <x v="20"/>
    <s v="YES"/>
    <m/>
    <m/>
    <m/>
    <m/>
    <m/>
    <m/>
    <m/>
    <m/>
    <m/>
    <m/>
    <s v="No"/>
  </r>
  <r>
    <n v="2183"/>
    <n v="206415"/>
    <s v="P"/>
    <s v="Capitalized"/>
    <s v="96 Gallon Yardwaste Containers"/>
    <m/>
    <m/>
    <n v="624"/>
    <m/>
    <n v="0"/>
    <s v="TOTER LLC"/>
    <m/>
    <s v="CONTAINERS"/>
    <s v="TBA"/>
    <m/>
    <m/>
    <m/>
    <d v="2018-10-19T00:00:00"/>
    <d v="2018-10-19T00:00:00"/>
    <s v="2183-18-0027-1"/>
    <n v="700"/>
    <n v="14050"/>
    <n v="33383.51"/>
    <n v="14056"/>
    <n v="26229.88"/>
    <n v="0"/>
    <n v="7153.630000000001"/>
    <n v="1589.68"/>
    <n v="54260"/>
    <n v="397.42"/>
    <n v="0"/>
    <n v="397.42"/>
    <s v="P"/>
    <m/>
    <m/>
    <s v=" "/>
    <x v="20"/>
    <s v="YES"/>
    <m/>
    <m/>
    <m/>
    <m/>
    <m/>
    <m/>
    <m/>
    <m/>
    <m/>
    <m/>
    <s v="No"/>
  </r>
  <r>
    <n v="2183"/>
    <n v="206320"/>
    <n v="202167"/>
    <s v="Capitalized"/>
    <s v="Radio"/>
    <m/>
    <m/>
    <n v="1"/>
    <m/>
    <n v="0"/>
    <s v="Whisler Communications"/>
    <m/>
    <s v="TRUCKS AND TRAILERS"/>
    <s v="TBA"/>
    <s v="Non-Rolling Stock"/>
    <m/>
    <m/>
    <d v="2018-08-01T00:00:00"/>
    <d v="2018-08-01T00:00:00"/>
    <s v="2183-18-0017-1"/>
    <n v="500"/>
    <n v="14040"/>
    <n v="731.05"/>
    <n v="14046"/>
    <n v="731.0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6195"/>
    <n v="205327"/>
    <s v="Capitalized"/>
    <s v="License for Truck 3687"/>
    <m/>
    <m/>
    <n v="1"/>
    <m/>
    <n v="0"/>
    <s v="WA DOL"/>
    <m/>
    <s v="TRUCKS AND TRAILERS"/>
    <s v="TBA"/>
    <s v="Non-Rolling Stock"/>
    <m/>
    <m/>
    <d v="2018-10-31T00:00:00"/>
    <d v="2018-10-31T00:00:00"/>
    <s v="2183-18-0004-1"/>
    <n v="1000"/>
    <n v="14040"/>
    <n v="1155.33"/>
    <n v="14046"/>
    <n v="635.42999999999995"/>
    <n v="0"/>
    <n v="519.9"/>
    <n v="38.520000000000003"/>
    <n v="51260"/>
    <n v="9.6300000000000008"/>
    <n v="0"/>
    <n v="9.6300000000000008"/>
    <s v="P"/>
    <m/>
    <m/>
    <s v=" "/>
    <x v="20"/>
    <s v="YES"/>
    <m/>
    <m/>
    <m/>
    <m/>
    <m/>
    <m/>
    <m/>
    <m/>
    <m/>
    <m/>
    <s v="No"/>
  </r>
  <r>
    <n v="2183"/>
    <n v="205650"/>
    <s v="P"/>
    <s v="Capitalized"/>
    <s v="65 Gallon Refuse Containers"/>
    <m/>
    <m/>
    <n v="864"/>
    <m/>
    <n v="0"/>
    <s v="TOTER LLC"/>
    <m/>
    <s v="CONTAINERS"/>
    <s v="TBA"/>
    <m/>
    <m/>
    <m/>
    <d v="2018-10-19T00:00:00"/>
    <d v="2018-10-19T00:00:00"/>
    <s v="2183-18-0027-1"/>
    <n v="700"/>
    <n v="14050"/>
    <n v="39799.9"/>
    <n v="14056"/>
    <n v="31271.360000000001"/>
    <n v="0"/>
    <n v="8528.5400000000009"/>
    <n v="1895.24"/>
    <n v="54260"/>
    <n v="473.81"/>
    <n v="0"/>
    <n v="473.81"/>
    <s v="P"/>
    <m/>
    <m/>
    <s v=" "/>
    <x v="20"/>
    <s v="YES"/>
    <m/>
    <m/>
    <m/>
    <m/>
    <m/>
    <m/>
    <m/>
    <m/>
    <m/>
    <m/>
    <s v="No"/>
  </r>
  <r>
    <n v="2183"/>
    <n v="205642"/>
    <n v="202839"/>
    <s v="Capitalized"/>
    <s v="Mobile Radio"/>
    <m/>
    <m/>
    <n v="1"/>
    <m/>
    <n v="0"/>
    <s v="Peterbilt"/>
    <m/>
    <s v="TRUCKS AND TRAILERS"/>
    <s v="TBA"/>
    <s v="Non-Rolling Stock"/>
    <m/>
    <m/>
    <d v="2018-09-30T00:00:00"/>
    <d v="2018-09-30T00:00:00"/>
    <s v="2183-18-0022-1"/>
    <n v="500"/>
    <n v="14040"/>
    <n v="796.28"/>
    <n v="14046"/>
    <n v="796.2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5641"/>
    <n v="203829"/>
    <s v="Capitalized"/>
    <s v="Mobile Radio"/>
    <m/>
    <m/>
    <n v="1"/>
    <m/>
    <n v="0"/>
    <s v="Peterbilt"/>
    <m/>
    <s v="TRUCKS AND TRAILERS"/>
    <s v="TBA"/>
    <s v="Non-Rolling Stock"/>
    <m/>
    <m/>
    <d v="2018-10-12T00:00:00"/>
    <d v="2018-10-12T00:00:00"/>
    <s v="2183-18-0021-1"/>
    <n v="500"/>
    <n v="14040"/>
    <n v="796.28"/>
    <n v="14046"/>
    <n v="796.2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5640"/>
    <n v="203124"/>
    <s v="Capitalized"/>
    <s v="Mobile Radio"/>
    <m/>
    <m/>
    <n v="1"/>
    <m/>
    <n v="0"/>
    <s v="WHISLER COMMUNICATIONS"/>
    <m/>
    <s v="TRUCKS AND TRAILERS"/>
    <s v="TBA"/>
    <s v="Non-Rolling Stock"/>
    <m/>
    <m/>
    <d v="2018-09-30T00:00:00"/>
    <d v="2018-09-30T00:00:00"/>
    <s v="2183-18-0007-1"/>
    <n v="500"/>
    <n v="14040"/>
    <n v="796.28"/>
    <n v="14046"/>
    <n v="796.2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5639"/>
    <n v="207237"/>
    <s v="Capitalized"/>
    <s v="Mobile Radio"/>
    <m/>
    <m/>
    <n v="1"/>
    <m/>
    <n v="0"/>
    <s v="WHISLER COMMUNICATIONS"/>
    <m/>
    <s v="TRUCKS AND TRAILERS"/>
    <s v="TBA"/>
    <s v="Non-Rolling Stock"/>
    <m/>
    <m/>
    <d v="2018-11-26T00:00:00"/>
    <d v="2018-11-26T00:00:00"/>
    <s v="2183-18-0006-1"/>
    <n v="500"/>
    <n v="14040"/>
    <n v="796.28"/>
    <n v="14046"/>
    <n v="796.2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5638"/>
    <n v="202838"/>
    <s v="Capitalized"/>
    <s v="Mobile Radio"/>
    <m/>
    <m/>
    <n v="1"/>
    <m/>
    <n v="0"/>
    <s v="WHISLER COMMUNICATIONS"/>
    <m/>
    <s v="TRUCKS AND TRAILERS"/>
    <s v="TBA"/>
    <s v="Non-Rolling Stock"/>
    <m/>
    <m/>
    <d v="2018-11-26T00:00:00"/>
    <d v="2018-11-26T00:00:00"/>
    <s v="2183-18-0005-1"/>
    <n v="500"/>
    <n v="14040"/>
    <n v="796.28"/>
    <n v="14046"/>
    <n v="796.2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5637"/>
    <n v="205327"/>
    <s v="Capitalized"/>
    <s v="Mobile Radio"/>
    <m/>
    <m/>
    <n v="1"/>
    <m/>
    <n v="0"/>
    <s v="WHISLER COMMUNICATIONS"/>
    <m/>
    <s v="TRUCKS AND TRAILERS"/>
    <s v="TBA"/>
    <s v="Non-Rolling Stock"/>
    <m/>
    <m/>
    <d v="2018-11-19T00:00:00"/>
    <d v="2018-11-19T00:00:00"/>
    <s v="2183-18-0004-1"/>
    <n v="500"/>
    <n v="14040"/>
    <n v="796.28"/>
    <n v="14046"/>
    <n v="796.2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5327"/>
    <s v="P"/>
    <s v="Capitalized"/>
    <s v="2019 ASL Truck"/>
    <m/>
    <m/>
    <n v="1"/>
    <s v="3BPDL70XXKF103963"/>
    <n v="2019"/>
    <s v="Peterbilt"/>
    <s v="Labrie"/>
    <s v="TRUCKS AND TRAILERS"/>
    <s v="TBA"/>
    <s v="Automated Side Loader"/>
    <m/>
    <m/>
    <d v="2018-11-19T00:00:00"/>
    <d v="2018-11-19T00:00:00"/>
    <s v="2183-18-0004-1"/>
    <n v="1000"/>
    <n v="14040"/>
    <n v="340374.63"/>
    <n v="14046"/>
    <n v="184369.6"/>
    <n v="0"/>
    <n v="156005.03"/>
    <n v="11345.84"/>
    <n v="51260"/>
    <n v="2836.46"/>
    <n v="0"/>
    <n v="2836.46"/>
    <s v="P"/>
    <m/>
    <n v="3687"/>
    <s v=" "/>
    <x v="20"/>
    <s v="YES"/>
    <m/>
    <m/>
    <m/>
    <m/>
    <m/>
    <m/>
    <m/>
    <m/>
    <m/>
    <m/>
    <s v="No"/>
  </r>
  <r>
    <n v="2183"/>
    <n v="204944"/>
    <n v="202090"/>
    <s v="Capitalized"/>
    <s v="Drivecam"/>
    <m/>
    <m/>
    <n v="1"/>
    <m/>
    <n v="0"/>
    <s v="Lytx"/>
    <m/>
    <s v="TRUCKS AND TRAILERS"/>
    <s v="TBA"/>
    <s v="Non-Rolling Stock"/>
    <m/>
    <m/>
    <d v="2018-08-31T00:00:00"/>
    <d v="2018-08-31T00:00:00"/>
    <s v="2183-18-0002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943"/>
    <n v="205327"/>
    <s v="Capitalized"/>
    <s v="Drivecam"/>
    <m/>
    <m/>
    <n v="1"/>
    <m/>
    <n v="0"/>
    <s v="Lytx"/>
    <m/>
    <s v="TRUCKS AND TRAILERS"/>
    <s v="TBA"/>
    <s v="Non-Rolling Stock"/>
    <m/>
    <m/>
    <d v="2018-10-31T00:00:00"/>
    <d v="2018-10-31T00:00:00"/>
    <s v="2183-18-0004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942"/>
    <n v="203829"/>
    <s v="Capitalized"/>
    <s v="Drivecam"/>
    <m/>
    <m/>
    <n v="1"/>
    <m/>
    <n v="0"/>
    <s v="Peterbilt"/>
    <m/>
    <s v="TRUCKS AND TRAILERS"/>
    <s v="TBA"/>
    <s v="Non-Rolling Stock"/>
    <m/>
    <m/>
    <d v="2018-10-12T00:00:00"/>
    <d v="2018-10-12T00:00:00"/>
    <s v="2183-18-0021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941"/>
    <n v="207237"/>
    <s v="Capitalized"/>
    <s v="Drivecam"/>
    <m/>
    <m/>
    <n v="1"/>
    <m/>
    <n v="0"/>
    <s v="Lytx"/>
    <m/>
    <s v="TRUCKS AND TRAILERS"/>
    <s v="TBA"/>
    <s v="Non-Rolling Stock"/>
    <m/>
    <m/>
    <d v="2018-10-31T00:00:00"/>
    <d v="2018-10-31T00:00:00"/>
    <s v="2183-18-0006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940"/>
    <n v="202838"/>
    <s v="Capitalized"/>
    <s v="Drivecam"/>
    <m/>
    <m/>
    <n v="1"/>
    <m/>
    <n v="0"/>
    <s v="LYTX"/>
    <m/>
    <s v="TRUCKS AND TRAILERS"/>
    <s v="TBA"/>
    <s v="Non-Rolling Stock"/>
    <m/>
    <m/>
    <d v="2018-09-30T00:00:00"/>
    <d v="2018-09-30T00:00:00"/>
    <s v="2183-18-0005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939"/>
    <n v="202091"/>
    <s v="Capitalized"/>
    <s v="Drivecam"/>
    <m/>
    <m/>
    <n v="1"/>
    <m/>
    <n v="0"/>
    <s v="LYTX"/>
    <m/>
    <s v="TRUCKS AND TRAILERS"/>
    <s v="TBA"/>
    <s v="Non-Rolling Stock"/>
    <m/>
    <m/>
    <d v="2018-08-31T00:00:00"/>
    <d v="2018-08-31T00:00:00"/>
    <s v="2183-18-0008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911"/>
    <n v="203760"/>
    <s v="Capitalized"/>
    <s v="Use Tax"/>
    <m/>
    <m/>
    <n v="1"/>
    <m/>
    <n v="0"/>
    <s v="WA DOL LIC &amp; REG 57165"/>
    <m/>
    <s v="TRUCKS AND TRAILERS"/>
    <s v="TBA"/>
    <s v="Non-Rolling Stock"/>
    <m/>
    <m/>
    <d v="2018-10-05T00:00:00"/>
    <d v="2018-10-05T00:00:00"/>
    <s v="2183-18-0015-1"/>
    <n v="500"/>
    <n v="14040"/>
    <n v="2798.55"/>
    <n v="14046"/>
    <n v="2798.5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847"/>
    <n v="203829"/>
    <s v="Capitalized"/>
    <s v="License for truck 2051"/>
    <m/>
    <m/>
    <n v="1"/>
    <m/>
    <n v="0"/>
    <s v="Peterbilt"/>
    <m/>
    <s v="TRUCKS AND TRAILERS"/>
    <s v="TBA"/>
    <s v="Non-Rolling Stock"/>
    <m/>
    <m/>
    <d v="2018-10-12T00:00:00"/>
    <d v="2018-10-12T00:00:00"/>
    <s v="2183-18-0021-1"/>
    <n v="1000"/>
    <n v="14040"/>
    <n v="1236"/>
    <n v="14046"/>
    <n v="690.1"/>
    <n v="0"/>
    <n v="545.9"/>
    <n v="41.2"/>
    <n v="51260"/>
    <n v="10.3"/>
    <n v="0"/>
    <n v="10.3"/>
    <s v="P"/>
    <m/>
    <m/>
    <s v=" "/>
    <x v="20"/>
    <s v="YES"/>
    <m/>
    <m/>
    <m/>
    <m/>
    <m/>
    <m/>
    <m/>
    <m/>
    <m/>
    <m/>
    <s v="No"/>
  </r>
  <r>
    <n v="2183"/>
    <n v="204846"/>
    <n v="202838"/>
    <s v="Capitalized"/>
    <s v="License for Truck #3686"/>
    <m/>
    <m/>
    <n v="1"/>
    <m/>
    <n v="0"/>
    <s v="WA DOL LIC &amp; REG 57165"/>
    <m/>
    <s v="TRUCKS AND TRAILERS"/>
    <s v="TBA"/>
    <s v="Non-Rolling Stock"/>
    <m/>
    <m/>
    <d v="2018-09-30T00:00:00"/>
    <d v="2018-09-30T00:00:00"/>
    <s v="2183-18-0005-1"/>
    <n v="1000"/>
    <n v="14040"/>
    <n v="243"/>
    <n v="14046"/>
    <n v="135.69999999999999"/>
    <n v="0"/>
    <n v="107.30000000000001"/>
    <n v="8.1199999999999992"/>
    <n v="51260"/>
    <n v="2.0299999999999998"/>
    <n v="0"/>
    <n v="2.0299999999999998"/>
    <s v="P"/>
    <m/>
    <m/>
    <s v=" "/>
    <x v="20"/>
    <s v="YES"/>
    <m/>
    <m/>
    <m/>
    <m/>
    <m/>
    <m/>
    <m/>
    <m/>
    <m/>
    <m/>
    <s v="No"/>
  </r>
  <r>
    <n v="2183"/>
    <n v="204845"/>
    <n v="202838"/>
    <s v="Capitalized"/>
    <s v="License for Truck #3686"/>
    <m/>
    <m/>
    <n v="1"/>
    <m/>
    <n v="0"/>
    <s v="WA DOL LIC &amp; REG 57165"/>
    <m/>
    <s v="TRUCKS AND TRAILERS"/>
    <s v="TBA"/>
    <s v="Non-Rolling Stock"/>
    <m/>
    <m/>
    <d v="2018-09-30T00:00:00"/>
    <d v="2018-09-30T00:00:00"/>
    <s v="2183-18-0005-1"/>
    <n v="1000"/>
    <n v="14040"/>
    <n v="993"/>
    <n v="14046"/>
    <n v="554.45000000000005"/>
    <n v="0"/>
    <n v="438.54999999999995"/>
    <n v="33.119999999999997"/>
    <n v="51260"/>
    <n v="8.2799999999999994"/>
    <n v="0"/>
    <n v="8.2799999999999994"/>
    <s v="P"/>
    <m/>
    <m/>
    <s v=" "/>
    <x v="20"/>
    <s v="YES"/>
    <m/>
    <m/>
    <m/>
    <m/>
    <m/>
    <m/>
    <m/>
    <m/>
    <m/>
    <m/>
    <s v="No"/>
  </r>
  <r>
    <n v="2183"/>
    <n v="204844"/>
    <n v="202838"/>
    <s v="Capitalized"/>
    <s v="Decals"/>
    <m/>
    <m/>
    <n v="1"/>
    <m/>
    <n v="0"/>
    <s v="LARSEN SIGN CO"/>
    <m/>
    <s v="TRUCKS AND TRAILERS"/>
    <s v="TBA"/>
    <s v="Non-Rolling Stock"/>
    <m/>
    <m/>
    <d v="2018-09-30T00:00:00"/>
    <d v="2018-09-30T00:00:00"/>
    <s v="2183-18-0005-1"/>
    <n v="1000"/>
    <n v="14040"/>
    <n v="952.88"/>
    <n v="14046"/>
    <n v="532.03"/>
    <n v="0"/>
    <n v="420.85"/>
    <n v="31.76"/>
    <n v="51260"/>
    <n v="7.94"/>
    <n v="0"/>
    <n v="7.94"/>
    <s v="P"/>
    <m/>
    <m/>
    <s v=" "/>
    <x v="20"/>
    <s v="YES"/>
    <m/>
    <m/>
    <m/>
    <m/>
    <m/>
    <m/>
    <m/>
    <m/>
    <m/>
    <m/>
    <s v="No"/>
  </r>
  <r>
    <n v="2183"/>
    <n v="204843"/>
    <n v="203124"/>
    <s v="Capitalized"/>
    <s v="Decals"/>
    <m/>
    <m/>
    <n v="1"/>
    <m/>
    <n v="0"/>
    <s v="LARSEN SIGN CO"/>
    <m/>
    <s v="TRUCKS AND TRAILERS"/>
    <s v="TBA"/>
    <s v="Non-Rolling Stock"/>
    <m/>
    <m/>
    <d v="2018-09-30T00:00:00"/>
    <d v="2018-09-30T00:00:00"/>
    <s v="2183-18-0007-1"/>
    <n v="1000"/>
    <n v="14040"/>
    <n v="920.21"/>
    <n v="14046"/>
    <n v="513.79"/>
    <n v="0"/>
    <n v="406.42000000000007"/>
    <n v="30.68"/>
    <n v="51260"/>
    <n v="7.67"/>
    <n v="0"/>
    <n v="7.67"/>
    <s v="P"/>
    <m/>
    <m/>
    <s v=" "/>
    <x v="20"/>
    <s v="YES"/>
    <m/>
    <m/>
    <m/>
    <m/>
    <m/>
    <m/>
    <m/>
    <m/>
    <m/>
    <m/>
    <s v="No"/>
  </r>
  <r>
    <n v="2183"/>
    <n v="204842"/>
    <n v="203829"/>
    <s v="Capitalized"/>
    <s v="Decals"/>
    <m/>
    <m/>
    <n v="1"/>
    <m/>
    <n v="0"/>
    <s v="Peterbilt"/>
    <m/>
    <s v="TRUCKS AND TRAILERS"/>
    <s v="TBA"/>
    <s v="Non-Rolling Stock"/>
    <m/>
    <m/>
    <d v="2018-10-12T00:00:00"/>
    <d v="2018-10-12T00:00:00"/>
    <s v="2183-18-0021-1"/>
    <n v="1000"/>
    <n v="14040"/>
    <n v="892.98"/>
    <n v="14046"/>
    <n v="498.59"/>
    <n v="0"/>
    <n v="394.39000000000004"/>
    <n v="29.76"/>
    <n v="51260"/>
    <n v="7.44"/>
    <n v="0"/>
    <n v="7.44"/>
    <s v="P"/>
    <m/>
    <m/>
    <s v=" "/>
    <x v="20"/>
    <s v="YES"/>
    <m/>
    <m/>
    <m/>
    <m/>
    <m/>
    <m/>
    <m/>
    <m/>
    <m/>
    <m/>
    <s v="No"/>
  </r>
  <r>
    <n v="2183"/>
    <n v="204841"/>
    <n v="203124"/>
    <s v="Capitalized"/>
    <s v="License for Truck 2050"/>
    <m/>
    <m/>
    <n v="1"/>
    <m/>
    <n v="0"/>
    <s v="WA DOL LIC &amp; REG 57165"/>
    <m/>
    <s v="TRUCKS AND TRAILERS"/>
    <s v="TBA"/>
    <s v="Non-Rolling Stock"/>
    <m/>
    <m/>
    <d v="2018-09-30T00:00:00"/>
    <d v="2018-09-30T00:00:00"/>
    <s v="2183-18-0007-1"/>
    <n v="1000"/>
    <n v="14040"/>
    <n v="1295.25"/>
    <n v="14046"/>
    <n v="723.19"/>
    <n v="0"/>
    <n v="572.05999999999995"/>
    <n v="43.16"/>
    <n v="51260"/>
    <n v="10.79"/>
    <n v="0"/>
    <n v="10.79"/>
    <s v="P"/>
    <m/>
    <m/>
    <s v=" "/>
    <x v="20"/>
    <s v="YES"/>
    <m/>
    <m/>
    <m/>
    <m/>
    <m/>
    <m/>
    <m/>
    <m/>
    <m/>
    <m/>
    <s v="No"/>
  </r>
  <r>
    <n v="2183"/>
    <n v="204840"/>
    <n v="202839"/>
    <s v="Capitalized"/>
    <s v="Decals"/>
    <m/>
    <m/>
    <n v="1"/>
    <m/>
    <n v="0"/>
    <s v="Peterbilt"/>
    <m/>
    <s v="TRUCKS AND TRAILERS"/>
    <s v="TBA"/>
    <s v="Non-Rolling Stock"/>
    <m/>
    <m/>
    <d v="2018-09-30T00:00:00"/>
    <d v="2018-09-30T00:00:00"/>
    <s v="2183-18-0022-1"/>
    <n v="1000"/>
    <n v="14040"/>
    <n v="952.88"/>
    <n v="14046"/>
    <n v="532.03"/>
    <n v="0"/>
    <n v="420.85"/>
    <n v="31.76"/>
    <n v="51260"/>
    <n v="7.94"/>
    <n v="0"/>
    <n v="7.94"/>
    <s v="P"/>
    <m/>
    <m/>
    <s v=" "/>
    <x v="20"/>
    <s v="YES"/>
    <m/>
    <m/>
    <m/>
    <m/>
    <m/>
    <m/>
    <m/>
    <m/>
    <m/>
    <m/>
    <s v="No"/>
  </r>
  <r>
    <n v="2183"/>
    <n v="204839"/>
    <n v="202839"/>
    <s v="Capitalized"/>
    <s v="License"/>
    <m/>
    <m/>
    <n v="1"/>
    <m/>
    <n v="0"/>
    <s v="Peterbilt"/>
    <m/>
    <s v="TRUCKS AND TRAILERS"/>
    <s v="TBA"/>
    <s v="Non-Rolling Stock"/>
    <m/>
    <m/>
    <d v="2018-09-30T00:00:00"/>
    <d v="2018-09-30T00:00:00"/>
    <s v="2183-18-0022-1"/>
    <n v="1000"/>
    <n v="14040"/>
    <n v="371.67"/>
    <n v="14046"/>
    <n v="207.54"/>
    <n v="0"/>
    <n v="164.13000000000002"/>
    <n v="12.4"/>
    <n v="51260"/>
    <n v="3.1"/>
    <n v="0"/>
    <n v="3.1"/>
    <s v="P"/>
    <m/>
    <m/>
    <s v=" "/>
    <x v="20"/>
    <s v="YES"/>
    <m/>
    <m/>
    <m/>
    <m/>
    <m/>
    <m/>
    <m/>
    <m/>
    <m/>
    <m/>
    <s v="No"/>
  </r>
  <r>
    <n v="2183"/>
    <n v="204522"/>
    <n v="202839"/>
    <s v="Capitalized"/>
    <s v="Drivecam"/>
    <m/>
    <m/>
    <n v="1"/>
    <m/>
    <n v="0"/>
    <s v="Peterbilt"/>
    <m/>
    <s v="TRUCKS AND TRAILERS"/>
    <s v="TBA"/>
    <s v="Non-Rolling Stock"/>
    <m/>
    <m/>
    <d v="2018-09-30T00:00:00"/>
    <d v="2018-09-30T00:00:00"/>
    <s v="2183-18-0022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521"/>
    <n v="202167"/>
    <s v="Capitalized"/>
    <s v="Drivecam"/>
    <m/>
    <m/>
    <n v="1"/>
    <m/>
    <n v="0"/>
    <s v="LYTX"/>
    <m/>
    <s v="TRUCKS AND TRAILERS"/>
    <s v="TBA"/>
    <s v="Non-Rolling Stock"/>
    <m/>
    <m/>
    <d v="2018-08-01T00:00:00"/>
    <d v="2018-08-01T00:00:00"/>
    <s v="2183-18-0017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520"/>
    <n v="203124"/>
    <s v="Capitalized"/>
    <s v="Drivecam"/>
    <m/>
    <m/>
    <n v="1"/>
    <m/>
    <n v="0"/>
    <s v="LYTX"/>
    <m/>
    <s v="TRUCKS AND TRAILERS"/>
    <s v="TBA"/>
    <s v="Non-Rolling Stock"/>
    <m/>
    <m/>
    <d v="2018-09-30T00:00:00"/>
    <d v="2018-09-30T00:00:00"/>
    <s v="2183-18-0007-1"/>
    <n v="500"/>
    <n v="14040"/>
    <n v="519.47"/>
    <n v="14046"/>
    <n v="519.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4247"/>
    <s v="P"/>
    <s v="Capitalized"/>
    <s v="30Yd Containers"/>
    <m/>
    <m/>
    <n v="5"/>
    <m/>
    <n v="0"/>
    <s v="ENVIRONMENTAL METAL WORKS"/>
    <m/>
    <s v="CONTAINERS"/>
    <s v="TBA"/>
    <m/>
    <s v="30 YD"/>
    <s v="RO Box"/>
    <d v="2018-10-04T00:00:00"/>
    <d v="2018-10-04T00:00:00"/>
    <s v="2183-18-0025-1"/>
    <n v="1200"/>
    <n v="14050"/>
    <n v="33268.620000000003"/>
    <n v="14056"/>
    <n v="15479.17"/>
    <n v="0"/>
    <n v="17789.450000000004"/>
    <n v="924.12"/>
    <n v="54260"/>
    <n v="231.03"/>
    <n v="0"/>
    <n v="231.03"/>
    <s v="P"/>
    <m/>
    <m/>
    <s v=" "/>
    <x v="20"/>
    <s v="YES"/>
    <m/>
    <m/>
    <m/>
    <m/>
    <m/>
    <m/>
    <m/>
    <m/>
    <m/>
    <m/>
    <s v="No"/>
  </r>
  <r>
    <n v="2183"/>
    <n v="204246"/>
    <s v="P"/>
    <s v="Capitalized"/>
    <s v="35 Gallon Refuse Containers"/>
    <m/>
    <m/>
    <n v="468"/>
    <m/>
    <n v="0"/>
    <s v="TOTER LLC"/>
    <m/>
    <s v="CONTAINERS"/>
    <s v="TBA"/>
    <m/>
    <m/>
    <m/>
    <d v="2018-08-13T00:00:00"/>
    <d v="2018-08-13T00:00:00"/>
    <s v="2183-18-0026-1"/>
    <n v="700"/>
    <n v="14050"/>
    <n v="18944.09"/>
    <n v="14056"/>
    <n v="15561.21"/>
    <n v="0"/>
    <n v="3382.880000000001"/>
    <n v="902.08"/>
    <n v="54260"/>
    <n v="225.52"/>
    <n v="0"/>
    <n v="225.52"/>
    <s v="P"/>
    <m/>
    <m/>
    <s v=" "/>
    <x v="20"/>
    <s v="YES"/>
    <m/>
    <m/>
    <m/>
    <m/>
    <m/>
    <m/>
    <m/>
    <m/>
    <m/>
    <m/>
    <s v="No"/>
  </r>
  <r>
    <n v="2183"/>
    <n v="204245"/>
    <s v="P"/>
    <s v="Capitalized"/>
    <s v="96 Gallon Recyle Containers"/>
    <m/>
    <m/>
    <n v="312"/>
    <m/>
    <n v="0"/>
    <s v="TOTER LLC"/>
    <m/>
    <s v="CONTAINERS"/>
    <s v="TBA"/>
    <m/>
    <m/>
    <m/>
    <d v="2018-08-13T00:00:00"/>
    <d v="2018-08-13T00:00:00"/>
    <s v="2183-18-0026-1"/>
    <n v="700"/>
    <n v="14050"/>
    <n v="16735.59"/>
    <n v="14056"/>
    <n v="13747.09"/>
    <n v="0"/>
    <n v="2988.5"/>
    <n v="796.92"/>
    <n v="54260"/>
    <n v="199.23"/>
    <n v="0"/>
    <n v="199.23"/>
    <s v="P"/>
    <m/>
    <m/>
    <s v=" "/>
    <x v="20"/>
    <s v="YES"/>
    <m/>
    <m/>
    <m/>
    <m/>
    <m/>
    <m/>
    <m/>
    <m/>
    <m/>
    <m/>
    <s v="No"/>
  </r>
  <r>
    <n v="2183"/>
    <n v="203829"/>
    <s v="P"/>
    <s v="Capitalized"/>
    <s v="2019 FEL Truck"/>
    <m/>
    <m/>
    <n v="1"/>
    <s v="3BPDL70XXKF104143"/>
    <n v="2019"/>
    <s v="Peterbilt"/>
    <s v="Labrie"/>
    <s v="TRUCKS AND TRAILERS"/>
    <s v="TBA"/>
    <s v="Front Loader"/>
    <m/>
    <m/>
    <d v="2018-10-12T00:00:00"/>
    <d v="2018-10-12T00:00:00"/>
    <s v="2183-18-0021-1"/>
    <n v="1000"/>
    <n v="14040"/>
    <n v="319310.68"/>
    <n v="14046"/>
    <n v="178281.8"/>
    <n v="0"/>
    <n v="141028.88"/>
    <n v="10643.68"/>
    <n v="51260"/>
    <n v="2660.92"/>
    <n v="0"/>
    <n v="2660.92"/>
    <s v="P"/>
    <m/>
    <n v="2051"/>
    <s v=" "/>
    <x v="20"/>
    <s v="YES"/>
    <m/>
    <m/>
    <m/>
    <m/>
    <m/>
    <m/>
    <m/>
    <m/>
    <m/>
    <m/>
    <s v="No"/>
  </r>
  <r>
    <n v="2183"/>
    <n v="203776"/>
    <n v="202167"/>
    <s v="Capitalized"/>
    <s v="TT&amp;L"/>
    <m/>
    <m/>
    <n v="1"/>
    <m/>
    <n v="0"/>
    <s v="McNeilus"/>
    <m/>
    <s v="TRUCKS AND TRAILERS"/>
    <s v="TBA"/>
    <s v="Non-Rolling Stock"/>
    <m/>
    <m/>
    <d v="2018-08-01T00:00:00"/>
    <d v="2018-08-01T00:00:00"/>
    <s v="2183-18-0017-1"/>
    <n v="1000"/>
    <n v="14040"/>
    <n v="1523.41"/>
    <n v="14046"/>
    <n v="875.98"/>
    <n v="0"/>
    <n v="647.43000000000006"/>
    <n v="50.8"/>
    <n v="51260"/>
    <n v="12.7"/>
    <n v="0"/>
    <n v="12.7"/>
    <s v="P"/>
    <m/>
    <m/>
    <s v=" "/>
    <x v="20"/>
    <s v="YES"/>
    <m/>
    <m/>
    <m/>
    <m/>
    <m/>
    <m/>
    <m/>
    <m/>
    <m/>
    <m/>
    <s v="No"/>
  </r>
  <r>
    <n v="2183"/>
    <n v="203775"/>
    <n v="202091"/>
    <s v="Capitalized"/>
    <s v="TT&amp;L"/>
    <m/>
    <m/>
    <n v="1"/>
    <m/>
    <n v="0"/>
    <s v="McNeilus"/>
    <m/>
    <s v="TRUCKS AND TRAILERS"/>
    <s v="TBA"/>
    <s v="Non-Rolling Stock"/>
    <m/>
    <m/>
    <d v="2018-08-31T00:00:00"/>
    <d v="2018-08-31T00:00:00"/>
    <s v="2183-18-0008-1"/>
    <n v="1000"/>
    <n v="14040"/>
    <n v="811.22"/>
    <n v="14046"/>
    <n v="459.68"/>
    <n v="0"/>
    <n v="351.54"/>
    <n v="27.04"/>
    <n v="51260"/>
    <n v="6.76"/>
    <n v="0"/>
    <n v="6.76"/>
    <s v="P"/>
    <m/>
    <m/>
    <s v=" "/>
    <x v="20"/>
    <s v="YES"/>
    <m/>
    <m/>
    <m/>
    <m/>
    <m/>
    <m/>
    <m/>
    <m/>
    <m/>
    <m/>
    <s v="No"/>
  </r>
  <r>
    <n v="2183"/>
    <n v="203774"/>
    <n v="202090"/>
    <s v="Capitalized"/>
    <s v="TT&amp;L"/>
    <m/>
    <m/>
    <n v="1"/>
    <m/>
    <n v="0"/>
    <s v="McNeilus"/>
    <m/>
    <s v="TRUCKS AND TRAILERS"/>
    <s v="TBA"/>
    <s v="Non-Rolling Stock"/>
    <m/>
    <m/>
    <d v="2018-08-31T00:00:00"/>
    <d v="2018-08-31T00:00:00"/>
    <s v="2183-18-0002-1"/>
    <n v="1000"/>
    <n v="14040"/>
    <n v="1274.53"/>
    <n v="14046"/>
    <n v="722.22"/>
    <n v="0"/>
    <n v="552.30999999999995"/>
    <n v="42.48"/>
    <n v="51260"/>
    <n v="10.62"/>
    <n v="0"/>
    <n v="10.62"/>
    <s v="P"/>
    <m/>
    <m/>
    <s v=" "/>
    <x v="20"/>
    <s v="YES"/>
    <m/>
    <m/>
    <m/>
    <m/>
    <m/>
    <m/>
    <m/>
    <m/>
    <m/>
    <m/>
    <s v="No"/>
  </r>
  <r>
    <n v="2183"/>
    <n v="203765"/>
    <n v="202090"/>
    <s v="Capitalized"/>
    <s v="Mobile Radio"/>
    <m/>
    <m/>
    <n v="1"/>
    <m/>
    <n v="0"/>
    <s v="WHISLER COMMUNICATIONS"/>
    <m/>
    <s v="TRUCKS AND TRAILERS"/>
    <s v="TBA"/>
    <s v="Non-Rolling Stock"/>
    <m/>
    <m/>
    <d v="2018-08-31T00:00:00"/>
    <d v="2018-08-31T00:00:00"/>
    <s v="2183-18-0002-1"/>
    <n v="500"/>
    <n v="14040"/>
    <n v="731.05"/>
    <n v="14046"/>
    <n v="731.0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3764"/>
    <n v="202091"/>
    <s v="Capitalized"/>
    <s v="Mobile Radio"/>
    <m/>
    <m/>
    <n v="1"/>
    <m/>
    <n v="0"/>
    <s v="WHISLER COMMUNICATIONS"/>
    <m/>
    <s v="TRUCKS AND TRAILERS"/>
    <s v="TBA"/>
    <s v="Non-Rolling Stock"/>
    <m/>
    <m/>
    <d v="2018-08-31T00:00:00"/>
    <d v="2018-08-31T00:00:00"/>
    <s v="2183-18-0008-1"/>
    <n v="500"/>
    <n v="14040"/>
    <n v="731.05"/>
    <n v="14046"/>
    <n v="731.0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3760"/>
    <s v="P"/>
    <s v="Capitalized"/>
    <s v="2018 Ford F150"/>
    <m/>
    <m/>
    <n v="1"/>
    <s v="1FTEX1EB9JKF44424"/>
    <n v="2018"/>
    <s v="Ford"/>
    <m/>
    <s v="TRUCKS AND TRAILERS"/>
    <s v="TBA"/>
    <s v="Pickup Truck"/>
    <m/>
    <m/>
    <d v="2018-10-05T00:00:00"/>
    <d v="2018-10-05T00:00:00"/>
    <s v="2183-18-0015-1"/>
    <n v="500"/>
    <n v="14040"/>
    <n v="30633.03"/>
    <n v="14046"/>
    <n v="30633.03"/>
    <n v="0"/>
    <n v="0"/>
    <n v="0"/>
    <n v="51260"/>
    <n v="0"/>
    <n v="0"/>
    <n v="0"/>
    <s v="P"/>
    <m/>
    <n v="6058"/>
    <s v=" "/>
    <x v="20"/>
    <s v="YES"/>
    <m/>
    <m/>
    <m/>
    <m/>
    <m/>
    <m/>
    <m/>
    <m/>
    <m/>
    <m/>
    <s v="No"/>
  </r>
  <r>
    <n v="2183"/>
    <n v="203437"/>
    <n v="202090"/>
    <s v="Capitalized"/>
    <s v="Overweight  Permit for Truck 3672"/>
    <m/>
    <m/>
    <n v="1"/>
    <m/>
    <n v="0"/>
    <s v="WA DOT"/>
    <m/>
    <s v="TRUCKS AND TRAILERS"/>
    <s v="TBA"/>
    <s v="Non-Rolling Stock"/>
    <m/>
    <m/>
    <d v="2018-08-31T00:00:00"/>
    <d v="2018-08-31T00:00:00"/>
    <s v="2183-18-0002-1"/>
    <n v="1000"/>
    <n v="14040"/>
    <n v="336"/>
    <n v="14046"/>
    <n v="190.4"/>
    <n v="0"/>
    <n v="145.6"/>
    <n v="11.2"/>
    <n v="51260"/>
    <n v="2.8"/>
    <n v="0"/>
    <n v="2.8"/>
    <s v="P"/>
    <m/>
    <m/>
    <s v=" "/>
    <x v="20"/>
    <s v="YES"/>
    <m/>
    <m/>
    <m/>
    <m/>
    <m/>
    <m/>
    <m/>
    <m/>
    <m/>
    <m/>
    <s v="No"/>
  </r>
  <r>
    <n v="2183"/>
    <n v="203124"/>
    <s v="P"/>
    <s v="Capitalized"/>
    <s v="2019 FEL Truck"/>
    <m/>
    <m/>
    <n v="1"/>
    <s v="3BPDL70X7KF103306"/>
    <n v="2019"/>
    <s v="Peterbilt"/>
    <s v="Labrie"/>
    <s v="TRUCKS AND TRAILERS"/>
    <s v="TBA"/>
    <s v="Front Loader"/>
    <m/>
    <m/>
    <d v="2018-09-30T00:00:00"/>
    <d v="2018-09-30T00:00:00"/>
    <s v="2183-18-0007-1"/>
    <n v="1000"/>
    <n v="14040"/>
    <n v="317780.56"/>
    <n v="14046"/>
    <n v="177427.49"/>
    <n v="0"/>
    <n v="140353.07"/>
    <n v="10592.68"/>
    <n v="51260"/>
    <n v="2648.17"/>
    <n v="0"/>
    <n v="2648.17"/>
    <s v="P"/>
    <m/>
    <n v="2050"/>
    <s v=" "/>
    <x v="20"/>
    <s v="YES"/>
    <m/>
    <m/>
    <m/>
    <m/>
    <m/>
    <m/>
    <m/>
    <m/>
    <m/>
    <m/>
    <s v="No"/>
  </r>
  <r>
    <n v="2183"/>
    <n v="202839"/>
    <s v="P"/>
    <s v="Capitalized"/>
    <s v="2019 ASL Truck"/>
    <m/>
    <m/>
    <n v="1"/>
    <s v="3BPDL70X2KF103956"/>
    <n v="2019"/>
    <s v="Peterbilt"/>
    <s v="Labrie"/>
    <s v="TRUCKS AND TRAILERS"/>
    <s v="TBA"/>
    <s v="Automated Side Loader"/>
    <m/>
    <m/>
    <d v="2018-09-30T00:00:00"/>
    <d v="2018-09-30T00:00:00"/>
    <s v="2183-18-0022-1"/>
    <n v="1000"/>
    <n v="14040"/>
    <n v="338957.39"/>
    <n v="14046"/>
    <n v="189251.20000000001"/>
    <n v="0"/>
    <n v="149706.19"/>
    <n v="11298.56"/>
    <n v="51260"/>
    <n v="2824.64"/>
    <n v="0"/>
    <n v="2824.64"/>
    <s v="P"/>
    <m/>
    <n v="3685"/>
    <s v=" "/>
    <x v="20"/>
    <s v="YES"/>
    <m/>
    <m/>
    <m/>
    <m/>
    <m/>
    <m/>
    <m/>
    <m/>
    <m/>
    <m/>
    <s v="No"/>
  </r>
  <r>
    <n v="2183"/>
    <n v="202838"/>
    <s v="P"/>
    <s v="Capitalized"/>
    <s v="2019 ASL Truck"/>
    <m/>
    <m/>
    <n v="1"/>
    <s v="3BPDL70X1KF103964"/>
    <n v="2019"/>
    <s v="Peterbilt"/>
    <s v="Labrie"/>
    <s v="TRUCKS AND TRAILERS"/>
    <s v="TBA"/>
    <s v="Automated Side Loader"/>
    <m/>
    <m/>
    <d v="2018-09-30T00:00:00"/>
    <d v="2018-09-30T00:00:00"/>
    <s v="2183-18-0005-1"/>
    <n v="1000"/>
    <n v="14040"/>
    <n v="339421.75"/>
    <n v="14046"/>
    <n v="189510.48"/>
    <n v="0"/>
    <n v="149911.26999999999"/>
    <n v="11314.04"/>
    <n v="51260"/>
    <n v="2828.51"/>
    <n v="0"/>
    <n v="2828.51"/>
    <s v="P"/>
    <m/>
    <n v="3686"/>
    <s v=" "/>
    <x v="20"/>
    <s v="YES"/>
    <m/>
    <m/>
    <m/>
    <m/>
    <m/>
    <m/>
    <m/>
    <m/>
    <m/>
    <m/>
    <s v="No"/>
  </r>
  <r>
    <n v="2183"/>
    <n v="202195"/>
    <s v="P"/>
    <s v="Capitalized"/>
    <s v="96 Gallon Yardwaste Containers"/>
    <m/>
    <m/>
    <n v="624"/>
    <m/>
    <n v="0"/>
    <s v="TOTER LLC"/>
    <m/>
    <s v="CONTAINERS"/>
    <s v="TBA"/>
    <m/>
    <m/>
    <m/>
    <d v="2018-06-30T00:00:00"/>
    <d v="2018-06-30T00:00:00"/>
    <s v="2183-18-0024-1"/>
    <n v="700"/>
    <n v="14050"/>
    <n v="33336.99"/>
    <n v="14056"/>
    <n v="27780.84"/>
    <n v="0"/>
    <n v="5556.1499999999978"/>
    <n v="1587.48"/>
    <n v="54260"/>
    <n v="396.87"/>
    <n v="0"/>
    <n v="396.87"/>
    <s v="P"/>
    <m/>
    <m/>
    <s v=" "/>
    <x v="20"/>
    <s v="YES"/>
    <m/>
    <m/>
    <m/>
    <m/>
    <m/>
    <m/>
    <m/>
    <m/>
    <m/>
    <m/>
    <s v="No"/>
  </r>
  <r>
    <n v="2183"/>
    <n v="202194"/>
    <s v="P"/>
    <s v="Capitalized"/>
    <s v="96 Gallon Recycle Carts"/>
    <m/>
    <m/>
    <n v="624"/>
    <m/>
    <n v="0"/>
    <s v="TOTER LLC"/>
    <m/>
    <s v="CONTAINERS"/>
    <s v="TBA"/>
    <m/>
    <m/>
    <m/>
    <d v="2018-08-13T00:00:00"/>
    <d v="2018-08-13T00:00:00"/>
    <s v="2183-18-0026-1"/>
    <n v="700"/>
    <n v="14050"/>
    <n v="33435.82"/>
    <n v="14056"/>
    <n v="27465.18"/>
    <n v="0"/>
    <n v="5970.6399999999994"/>
    <n v="1592.2"/>
    <n v="54260"/>
    <n v="398.05"/>
    <n v="0"/>
    <n v="398.05"/>
    <s v="P"/>
    <m/>
    <m/>
    <s v=" "/>
    <x v="20"/>
    <s v="YES"/>
    <m/>
    <m/>
    <m/>
    <m/>
    <m/>
    <m/>
    <m/>
    <m/>
    <m/>
    <m/>
    <s v="No"/>
  </r>
  <r>
    <n v="2183"/>
    <n v="202193"/>
    <s v="P"/>
    <s v="Capitalized"/>
    <s v="64 Gallon Refuse Container"/>
    <m/>
    <m/>
    <n v="864"/>
    <m/>
    <n v="0"/>
    <s v="TOTER LLC"/>
    <m/>
    <s v="CONTAINERS"/>
    <s v="TBA"/>
    <m/>
    <m/>
    <m/>
    <d v="2018-07-28T00:00:00"/>
    <d v="2018-07-28T00:00:00"/>
    <s v="2183-18-0026-1"/>
    <n v="700"/>
    <n v="14050"/>
    <n v="39852.21"/>
    <n v="14056"/>
    <n v="32735.68"/>
    <n v="0"/>
    <n v="7116.5299999999988"/>
    <n v="1897.72"/>
    <n v="54260"/>
    <n v="474.43"/>
    <n v="0"/>
    <n v="474.43"/>
    <s v="P"/>
    <m/>
    <m/>
    <s v=" "/>
    <x v="20"/>
    <s v="YES"/>
    <m/>
    <m/>
    <m/>
    <m/>
    <m/>
    <m/>
    <m/>
    <m/>
    <m/>
    <m/>
    <s v="No"/>
  </r>
  <r>
    <n v="2183"/>
    <n v="202192"/>
    <s v="P"/>
    <s v="Capitalized"/>
    <s v="96 Gallon Refuse Container"/>
    <m/>
    <m/>
    <n v="624"/>
    <m/>
    <n v="0"/>
    <s v="TOTER LLC"/>
    <m/>
    <s v="CONTAINERS"/>
    <s v="TBA"/>
    <m/>
    <m/>
    <m/>
    <d v="2018-08-08T00:00:00"/>
    <d v="2018-08-08T00:00:00"/>
    <s v="2183-18-0026-1"/>
    <n v="700"/>
    <n v="14050"/>
    <n v="33435.82"/>
    <n v="14056"/>
    <n v="27465.18"/>
    <n v="0"/>
    <n v="5970.6399999999994"/>
    <n v="1592.2"/>
    <n v="54260"/>
    <n v="398.05"/>
    <n v="0"/>
    <n v="398.05"/>
    <s v="P"/>
    <m/>
    <m/>
    <s v=" "/>
    <x v="20"/>
    <s v="YES"/>
    <m/>
    <m/>
    <m/>
    <m/>
    <m/>
    <m/>
    <m/>
    <m/>
    <m/>
    <m/>
    <s v="No"/>
  </r>
  <r>
    <n v="2183"/>
    <n v="202191"/>
    <s v="P"/>
    <s v="Capitalized"/>
    <s v="96 Gallon Refuse Containers"/>
    <m/>
    <m/>
    <n v="624"/>
    <m/>
    <n v="0"/>
    <s v="TOTER LLC"/>
    <m/>
    <s v="CONTAINERS"/>
    <s v="TBA"/>
    <m/>
    <m/>
    <m/>
    <d v="2018-08-08T00:00:00"/>
    <d v="2018-08-08T00:00:00"/>
    <s v="2183-18-0026-1"/>
    <n v="700"/>
    <n v="14050"/>
    <n v="33435.82"/>
    <n v="14056"/>
    <n v="27465.18"/>
    <n v="0"/>
    <n v="5970.6399999999994"/>
    <n v="1592.2"/>
    <n v="54260"/>
    <n v="398.05"/>
    <n v="0"/>
    <n v="398.05"/>
    <s v="P"/>
    <m/>
    <m/>
    <s v=" "/>
    <x v="20"/>
    <s v="YES"/>
    <m/>
    <m/>
    <m/>
    <m/>
    <m/>
    <m/>
    <m/>
    <m/>
    <m/>
    <m/>
    <s v="No"/>
  </r>
  <r>
    <n v="2183"/>
    <n v="202167"/>
    <s v="P"/>
    <s v="Capitalized"/>
    <s v="2019 ASL Truck"/>
    <m/>
    <m/>
    <n v="1"/>
    <s v="3BPDL70X8KF103265"/>
    <n v="2019"/>
    <s v="Peterbilt"/>
    <s v="Labrie"/>
    <s v="TRUCKS AND TRAILERS"/>
    <s v="TBA"/>
    <s v="Automated Side Loader"/>
    <m/>
    <m/>
    <d v="2018-08-01T00:00:00"/>
    <d v="2018-08-01T00:00:00"/>
    <s v="2183-18-0017-1"/>
    <n v="1000"/>
    <n v="14040"/>
    <n v="339272.41"/>
    <n v="14046"/>
    <n v="195081.63"/>
    <n v="0"/>
    <n v="144190.77999999997"/>
    <n v="11309.08"/>
    <n v="51260"/>
    <n v="2827.27"/>
    <n v="0"/>
    <n v="2827.27"/>
    <s v="P"/>
    <m/>
    <n v="3674"/>
    <s v=" "/>
    <x v="20"/>
    <s v="YES"/>
    <m/>
    <m/>
    <m/>
    <m/>
    <m/>
    <m/>
    <m/>
    <m/>
    <m/>
    <m/>
    <s v="No"/>
  </r>
  <r>
    <n v="2183"/>
    <n v="202091"/>
    <s v="P"/>
    <s v="Capitalized"/>
    <s v="2019 Recycle Truck"/>
    <m/>
    <m/>
    <n v="1"/>
    <s v="3BPDHJ7X6KF104239"/>
    <n v="2019"/>
    <s v="Peterbilt"/>
    <s v="Kann"/>
    <s v="TRUCKS AND TRAILERS"/>
    <s v="TBA"/>
    <s v="Recycle Truck"/>
    <m/>
    <m/>
    <d v="2018-08-31T00:00:00"/>
    <d v="2018-08-31T00:00:00"/>
    <s v="2183-18-0008-1"/>
    <n v="1000"/>
    <n v="14040"/>
    <n v="235481.69"/>
    <n v="14046"/>
    <n v="133439.64000000001"/>
    <n v="0"/>
    <n v="102042.04999999999"/>
    <n v="7849.4"/>
    <n v="51260"/>
    <n v="1962.35"/>
    <n v="0"/>
    <n v="1962.35"/>
    <s v="P"/>
    <m/>
    <n v="5050"/>
    <s v=" "/>
    <x v="20"/>
    <s v="YES"/>
    <m/>
    <m/>
    <m/>
    <m/>
    <m/>
    <m/>
    <m/>
    <m/>
    <m/>
    <m/>
    <s v="No"/>
  </r>
  <r>
    <n v="2183"/>
    <n v="202090"/>
    <s v="P"/>
    <s v="Capitalized"/>
    <s v="2019 ASL Truck"/>
    <m/>
    <m/>
    <n v="1"/>
    <s v="3BPDL70X0KF103258"/>
    <n v="2019"/>
    <s v="Peterbilt"/>
    <s v="Labrie"/>
    <s v="TRUCKS AND TRAILERS"/>
    <s v="TBA"/>
    <s v="Automated Side Loader"/>
    <m/>
    <m/>
    <d v="2018-08-31T00:00:00"/>
    <d v="2018-08-31T00:00:00"/>
    <s v="2183-18-0002-1"/>
    <n v="1000"/>
    <n v="14040"/>
    <n v="339421.75"/>
    <n v="14046"/>
    <n v="192339"/>
    <n v="0"/>
    <n v="147082.75"/>
    <n v="11314.04"/>
    <n v="51260"/>
    <n v="2828.51"/>
    <n v="0"/>
    <n v="2828.51"/>
    <s v="P"/>
    <m/>
    <n v="3672"/>
    <s v=" "/>
    <x v="20"/>
    <s v="YES"/>
    <m/>
    <m/>
    <m/>
    <m/>
    <m/>
    <m/>
    <m/>
    <m/>
    <m/>
    <m/>
    <s v="No"/>
  </r>
  <r>
    <n v="2183"/>
    <n v="200989"/>
    <n v="199117"/>
    <s v="Capitalized"/>
    <s v="License for Truck 3673"/>
    <m/>
    <m/>
    <n v="1"/>
    <m/>
    <n v="0"/>
    <s v="WA DOL"/>
    <m/>
    <s v="TRUCKS AND TRAILERS"/>
    <s v="TBA"/>
    <s v="Non-Rolling Stock"/>
    <m/>
    <m/>
    <d v="2018-06-30T00:00:00"/>
    <d v="2018-06-30T00:00:00"/>
    <s v="2183-18-0003-1"/>
    <n v="1000"/>
    <n v="14040"/>
    <n v="950.67"/>
    <n v="14046"/>
    <n v="554.51"/>
    <n v="0"/>
    <n v="396.15999999999997"/>
    <n v="31.68"/>
    <n v="51260"/>
    <n v="7.92"/>
    <n v="0"/>
    <n v="7.92"/>
    <s v="P"/>
    <m/>
    <m/>
    <s v=" "/>
    <x v="20"/>
    <s v="YES"/>
    <m/>
    <m/>
    <m/>
    <m/>
    <m/>
    <m/>
    <m/>
    <m/>
    <m/>
    <m/>
    <s v="No"/>
  </r>
  <r>
    <n v="2183"/>
    <n v="200622"/>
    <n v="199117"/>
    <s v="Capitalized"/>
    <s v="Mobile Radio"/>
    <m/>
    <m/>
    <n v="1"/>
    <m/>
    <n v="0"/>
    <s v="WHISLER COMMUNICATIONS"/>
    <m/>
    <s v="TRUCKS AND TRAILERS"/>
    <s v="TBA"/>
    <s v="Non-Rolling Stock"/>
    <m/>
    <m/>
    <d v="2018-06-30T00:00:00"/>
    <d v="2018-06-30T00:00:00"/>
    <s v="2183-18-0003-1"/>
    <n v="500"/>
    <n v="14040"/>
    <n v="722.88"/>
    <n v="14046"/>
    <n v="722.8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200600"/>
    <s v="P"/>
    <s v="Capitalized"/>
    <s v="30YD Containers"/>
    <m/>
    <m/>
    <n v="56"/>
    <m/>
    <n v="0"/>
    <m/>
    <m/>
    <s v="CONTAINERS"/>
    <s v="TBA"/>
    <m/>
    <s v="30 YD"/>
    <s v="RO Box"/>
    <d v="2008-11-03T00:00:00"/>
    <d v="2008-11-03T00:00:00"/>
    <m/>
    <n v="700"/>
    <n v="14050"/>
    <n v="72596.160000000003"/>
    <n v="14056"/>
    <n v="72596.160000000003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00593"/>
    <s v="P"/>
    <s v="Capitalized"/>
    <s v="20YD Containers"/>
    <m/>
    <m/>
    <n v="85"/>
    <m/>
    <n v="0"/>
    <m/>
    <m/>
    <s v="CONTAINERS"/>
    <s v="TBA"/>
    <m/>
    <s v="20 YD"/>
    <s v="RO Box"/>
    <d v="2008-11-03T00:00:00"/>
    <d v="2008-11-03T00:00:00"/>
    <m/>
    <n v="700"/>
    <n v="14050"/>
    <n v="110190.6"/>
    <n v="14056"/>
    <n v="110190.6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00586"/>
    <s v="P"/>
    <s v="Capitalized"/>
    <s v="19.5 YD Containers"/>
    <m/>
    <m/>
    <n v="77"/>
    <m/>
    <n v="0"/>
    <m/>
    <m/>
    <s v="CONTAINERS"/>
    <s v="TBA"/>
    <m/>
    <s v="19.5 YD"/>
    <s v="RO Box"/>
    <d v="2008-11-03T00:00:00"/>
    <d v="2008-11-03T00:00:00"/>
    <m/>
    <n v="700"/>
    <n v="14050"/>
    <n v="99820.49"/>
    <n v="14056"/>
    <n v="99820.49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00583"/>
    <s v="P"/>
    <s v="Capitalized"/>
    <s v="2 Yard Commercial Containers"/>
    <m/>
    <m/>
    <n v="192"/>
    <m/>
    <n v="0"/>
    <m/>
    <m/>
    <s v="CONTAINERS"/>
    <s v="TBA"/>
    <m/>
    <s v="2 YD"/>
    <s v="FEL/REL/SL Metal"/>
    <d v="2008-11-03T00:00:00"/>
    <d v="2008-11-03T00:00:00"/>
    <m/>
    <n v="1200"/>
    <n v="14050"/>
    <n v="26812.799999999999"/>
    <n v="14056"/>
    <n v="26812.799999999999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00581"/>
    <s v="P"/>
    <s v="Capitalized"/>
    <s v="20 Yd Containers"/>
    <m/>
    <m/>
    <n v="86"/>
    <m/>
    <n v="0"/>
    <m/>
    <m/>
    <s v="CONTAINERS"/>
    <s v="TBA"/>
    <m/>
    <s v="20 YD"/>
    <s v="RO Box"/>
    <d v="2008-11-03T00:00:00"/>
    <d v="2008-11-03T00:00:00"/>
    <m/>
    <n v="700"/>
    <n v="14050"/>
    <n v="129148.78"/>
    <n v="14056"/>
    <n v="129148.78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00572"/>
    <s v="P"/>
    <s v="Capitalized"/>
    <s v="1 Yd Containers"/>
    <m/>
    <m/>
    <n v="72"/>
    <m/>
    <n v="0"/>
    <m/>
    <m/>
    <s v="CONTAINERS"/>
    <s v="TBA"/>
    <m/>
    <s v="1 YD"/>
    <s v="FEL/REL/SL Metal"/>
    <d v="2008-11-03T00:00:00"/>
    <d v="2008-11-03T00:00:00"/>
    <m/>
    <n v="1200"/>
    <n v="14050"/>
    <n v="10054.799999999999"/>
    <n v="14056"/>
    <n v="10054.799999999999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200571"/>
    <s v="P"/>
    <s v="Capitalized"/>
    <s v="10 YD Containers"/>
    <m/>
    <m/>
    <n v="12"/>
    <m/>
    <n v="0"/>
    <m/>
    <m/>
    <s v="CONTAINERS"/>
    <s v="TBA"/>
    <m/>
    <s v="10 YD"/>
    <s v="RO Box"/>
    <d v="2008-11-03T00:00:00"/>
    <d v="2008-11-03T00:00:00"/>
    <m/>
    <n v="700"/>
    <n v="14050"/>
    <n v="1567.56"/>
    <n v="14056"/>
    <n v="1567.56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199449"/>
    <s v="P"/>
    <s v="Capitalized"/>
    <s v="65 Gallon Refuse Containers"/>
    <m/>
    <m/>
    <n v="864"/>
    <m/>
    <n v="0"/>
    <s v="TOTER"/>
    <m/>
    <s v="CONTAINERS"/>
    <s v="TBA"/>
    <m/>
    <m/>
    <m/>
    <d v="2018-03-31T00:00:00"/>
    <d v="2018-03-31T00:00:00"/>
    <s v="2183-18-0024-1"/>
    <n v="700"/>
    <n v="14050"/>
    <n v="39644.51"/>
    <n v="14056"/>
    <n v="34452.97"/>
    <n v="0"/>
    <n v="5191.5400000000009"/>
    <n v="1887.84"/>
    <n v="54260"/>
    <n v="471.96"/>
    <n v="0"/>
    <n v="471.96"/>
    <s v="P"/>
    <m/>
    <m/>
    <s v=" "/>
    <x v="20"/>
    <s v="YES"/>
    <m/>
    <m/>
    <m/>
    <m/>
    <m/>
    <m/>
    <m/>
    <m/>
    <m/>
    <m/>
    <s v="No"/>
  </r>
  <r>
    <n v="2183"/>
    <n v="199448"/>
    <s v="P"/>
    <s v="Capitalized"/>
    <s v="96 Gal YardWaste Totes"/>
    <m/>
    <m/>
    <n v="624"/>
    <m/>
    <n v="0"/>
    <s v="TOTER"/>
    <m/>
    <s v="CONTAINERS"/>
    <s v="TBA"/>
    <m/>
    <m/>
    <m/>
    <d v="2018-04-26T00:00:00"/>
    <d v="2018-04-26T00:00:00"/>
    <s v="2183-18-0023-1"/>
    <n v="700"/>
    <n v="14050"/>
    <n v="33108.660000000003"/>
    <n v="14056"/>
    <n v="28378.86"/>
    <n v="0"/>
    <n v="4729.8000000000029"/>
    <n v="1576.6"/>
    <n v="54260"/>
    <n v="394.15"/>
    <n v="0"/>
    <n v="394.15"/>
    <s v="P"/>
    <m/>
    <m/>
    <s v=" "/>
    <x v="20"/>
    <s v="YES"/>
    <m/>
    <m/>
    <m/>
    <m/>
    <m/>
    <m/>
    <m/>
    <m/>
    <m/>
    <m/>
    <s v="No"/>
  </r>
  <r>
    <n v="2183"/>
    <n v="199447"/>
    <s v="P"/>
    <s v="Capitalized"/>
    <s v="64 Gallon Refuse Container"/>
    <m/>
    <m/>
    <n v="432"/>
    <m/>
    <n v="0"/>
    <s v="TOTER"/>
    <m/>
    <s v="CONTAINERS"/>
    <s v="TBA"/>
    <m/>
    <m/>
    <m/>
    <d v="2018-04-18T00:00:00"/>
    <d v="2018-04-18T00:00:00"/>
    <s v="2183-18-0024-1"/>
    <n v="700"/>
    <n v="14050"/>
    <n v="20942.36"/>
    <n v="14056"/>
    <n v="17950.599999999999"/>
    <n v="0"/>
    <n v="2991.760000000002"/>
    <n v="997.24"/>
    <n v="54260"/>
    <n v="249.31"/>
    <n v="0"/>
    <n v="249.31"/>
    <s v="P"/>
    <m/>
    <m/>
    <s v=" "/>
    <x v="20"/>
    <s v="YES"/>
    <m/>
    <m/>
    <m/>
    <m/>
    <m/>
    <m/>
    <m/>
    <m/>
    <m/>
    <m/>
    <s v="No"/>
  </r>
  <r>
    <n v="2183"/>
    <n v="199446"/>
    <s v="P"/>
    <s v="Capitalized"/>
    <s v="96 Gallon Refuse Containers"/>
    <m/>
    <m/>
    <n v="312"/>
    <m/>
    <n v="0"/>
    <s v="TOTER"/>
    <m/>
    <s v="CONTAINERS"/>
    <s v="TBA"/>
    <m/>
    <m/>
    <m/>
    <d v="2018-04-18T00:00:00"/>
    <d v="2018-04-18T00:00:00"/>
    <s v="2183-18-0024-1"/>
    <n v="700"/>
    <n v="14050"/>
    <n v="17734.16"/>
    <n v="14056"/>
    <n v="15200.59"/>
    <n v="0"/>
    <n v="2533.5699999999997"/>
    <n v="844.48"/>
    <n v="54260"/>
    <n v="211.12"/>
    <n v="0"/>
    <n v="211.12"/>
    <s v="P"/>
    <m/>
    <m/>
    <s v=" "/>
    <x v="20"/>
    <s v="YES"/>
    <m/>
    <m/>
    <m/>
    <m/>
    <m/>
    <m/>
    <m/>
    <m/>
    <m/>
    <m/>
    <s v="No"/>
  </r>
  <r>
    <n v="2183"/>
    <n v="199445"/>
    <s v="P"/>
    <s v="Capitalized"/>
    <s v="96 Gallon Recycle Containers"/>
    <m/>
    <m/>
    <n v="624"/>
    <m/>
    <n v="0"/>
    <s v="TOTER"/>
    <m/>
    <s v="CONTAINERS"/>
    <s v="TBA"/>
    <m/>
    <m/>
    <m/>
    <d v="2018-04-18T00:00:00"/>
    <d v="2018-04-18T00:00:00"/>
    <s v="2183-18-0024-1"/>
    <n v="700"/>
    <n v="14050"/>
    <n v="33108.660000000003"/>
    <n v="14056"/>
    <n v="28378.86"/>
    <n v="0"/>
    <n v="4729.8000000000029"/>
    <n v="1576.6"/>
    <n v="54260"/>
    <n v="394.15"/>
    <n v="0"/>
    <n v="394.15"/>
    <s v="P"/>
    <m/>
    <m/>
    <s v=" "/>
    <x v="20"/>
    <s v="YES"/>
    <m/>
    <m/>
    <m/>
    <m/>
    <m/>
    <m/>
    <m/>
    <m/>
    <m/>
    <m/>
    <s v="No"/>
  </r>
  <r>
    <n v="2183"/>
    <n v="199444"/>
    <s v="P"/>
    <s v="Capitalized"/>
    <s v="35 Gallon Refuse Containers"/>
    <m/>
    <m/>
    <n v="945"/>
    <m/>
    <n v="0"/>
    <s v="TOTER"/>
    <m/>
    <s v="CONTAINERS"/>
    <s v="TBA"/>
    <m/>
    <m/>
    <m/>
    <d v="2018-04-18T00:00:00"/>
    <d v="2018-04-18T00:00:00"/>
    <s v="2183-18-0024-1"/>
    <n v="700"/>
    <n v="14050"/>
    <n v="37863.78"/>
    <n v="14056"/>
    <n v="32454.67"/>
    <n v="0"/>
    <n v="5409.1100000000006"/>
    <n v="1803.04"/>
    <n v="54260"/>
    <n v="450.76"/>
    <n v="0"/>
    <n v="450.76"/>
    <s v="P"/>
    <m/>
    <m/>
    <s v=" "/>
    <x v="20"/>
    <s v="YES"/>
    <m/>
    <m/>
    <m/>
    <m/>
    <m/>
    <m/>
    <m/>
    <m/>
    <m/>
    <m/>
    <s v="No"/>
  </r>
  <r>
    <n v="2183"/>
    <n v="199421"/>
    <n v="199117"/>
    <s v="Capitalized"/>
    <s v="Decals"/>
    <m/>
    <m/>
    <n v="1"/>
    <m/>
    <n v="0"/>
    <s v="SIGN CONNECTIONS"/>
    <m/>
    <s v="TRUCKS AND TRAILERS"/>
    <s v="TBA"/>
    <s v="Non-Rolling Stock"/>
    <m/>
    <m/>
    <d v="2018-06-30T00:00:00"/>
    <d v="2018-06-30T00:00:00"/>
    <s v="2183-18-0003-1"/>
    <n v="1000"/>
    <n v="14040"/>
    <n v="1003.93"/>
    <n v="14046"/>
    <n v="585.63"/>
    <n v="0"/>
    <n v="418.29999999999995"/>
    <n v="33.479999999999997"/>
    <n v="51260"/>
    <n v="8.3699999999999992"/>
    <n v="0"/>
    <n v="8.3699999999999992"/>
    <s v="P"/>
    <m/>
    <m/>
    <s v=" "/>
    <x v="20"/>
    <s v="YES"/>
    <m/>
    <m/>
    <m/>
    <m/>
    <m/>
    <m/>
    <m/>
    <m/>
    <m/>
    <m/>
    <s v="No"/>
  </r>
  <r>
    <n v="2183"/>
    <n v="199117"/>
    <s v="P"/>
    <s v="Capitalized"/>
    <s v="2018 ASL Truck"/>
    <m/>
    <m/>
    <n v="1"/>
    <s v="3BPDL70X0JF161174"/>
    <n v="2018"/>
    <s v="Peterbilt"/>
    <s v="Labrie"/>
    <s v="TRUCKS AND TRAILERS"/>
    <s v="TBA"/>
    <s v="Automated Side Loader"/>
    <m/>
    <m/>
    <d v="2018-06-30T00:00:00"/>
    <d v="2018-06-30T00:00:00"/>
    <s v="2183-18-0003-1"/>
    <n v="1000"/>
    <n v="14040"/>
    <n v="339421.75"/>
    <n v="14046"/>
    <n v="197996.03"/>
    <n v="0"/>
    <n v="141425.72"/>
    <n v="11314.04"/>
    <n v="51260"/>
    <n v="2828.51"/>
    <n v="0"/>
    <n v="2828.51"/>
    <s v="P"/>
    <m/>
    <n v="3673"/>
    <s v=" "/>
    <x v="20"/>
    <s v="YES"/>
    <m/>
    <m/>
    <m/>
    <m/>
    <m/>
    <m/>
    <m/>
    <m/>
    <m/>
    <m/>
    <s v="No"/>
  </r>
  <r>
    <n v="2183"/>
    <n v="197581"/>
    <n v="195950"/>
    <s v="Capitalized"/>
    <s v="Overweight  Permit for Truck 3671"/>
    <m/>
    <m/>
    <n v="1"/>
    <m/>
    <n v="0"/>
    <s v="WA DOT"/>
    <m/>
    <s v="TRUCKS AND TRAILERS"/>
    <s v="TBA"/>
    <s v="Non-Rolling Stock"/>
    <m/>
    <m/>
    <d v="2018-04-30T00:00:00"/>
    <d v="2018-04-30T00:00:00"/>
    <s v="2183-18-0001-1"/>
    <n v="1000"/>
    <n v="14040"/>
    <n v="336"/>
    <n v="14046"/>
    <n v="201.6"/>
    <n v="0"/>
    <n v="134.4"/>
    <n v="11.2"/>
    <n v="51260"/>
    <n v="2.8"/>
    <n v="0"/>
    <n v="2.8"/>
    <s v="P"/>
    <m/>
    <m/>
    <s v=" "/>
    <x v="20"/>
    <s v="YES"/>
    <m/>
    <m/>
    <m/>
    <m/>
    <m/>
    <m/>
    <m/>
    <m/>
    <m/>
    <m/>
    <s v="No"/>
  </r>
  <r>
    <n v="2183"/>
    <n v="197580"/>
    <n v="195950"/>
    <s v="Capitalized"/>
    <s v="Decals"/>
    <m/>
    <m/>
    <n v="1"/>
    <m/>
    <n v="0"/>
    <s v="SIGN CONNECTINS"/>
    <m/>
    <s v="TRUCKS AND TRAILERS"/>
    <s v="TBA"/>
    <s v="Non-Rolling Stock"/>
    <m/>
    <m/>
    <d v="2018-04-30T00:00:00"/>
    <d v="2018-04-30T00:00:00"/>
    <s v="2183-18-0001-1"/>
    <n v="1000"/>
    <n v="14040"/>
    <n v="1003.93"/>
    <n v="14046"/>
    <n v="602.36"/>
    <n v="0"/>
    <n v="401.56999999999994"/>
    <n v="33.479999999999997"/>
    <n v="51260"/>
    <n v="8.3699999999999992"/>
    <n v="0"/>
    <n v="8.3699999999999992"/>
    <s v="P"/>
    <m/>
    <m/>
    <s v=" "/>
    <x v="20"/>
    <s v="YES"/>
    <m/>
    <m/>
    <m/>
    <m/>
    <m/>
    <m/>
    <m/>
    <m/>
    <m/>
    <m/>
    <s v="No"/>
  </r>
  <r>
    <n v="2183"/>
    <n v="197493"/>
    <n v="195950"/>
    <s v="Capitalized"/>
    <s v="License for Truck 3671"/>
    <m/>
    <m/>
    <n v="1"/>
    <m/>
    <n v="0"/>
    <s v="WA DOL"/>
    <m/>
    <s v="TRUCKS AND TRAILERS"/>
    <s v="TBA"/>
    <s v="Non-Rolling Stock"/>
    <m/>
    <m/>
    <d v="2018-04-30T00:00:00"/>
    <d v="2018-04-30T00:00:00"/>
    <s v="2183-18-0001-1"/>
    <n v="1000"/>
    <n v="14040"/>
    <n v="677.33"/>
    <n v="14046"/>
    <n v="406.37"/>
    <n v="0"/>
    <n v="270.96000000000004"/>
    <n v="22.56"/>
    <n v="51260"/>
    <n v="5.64"/>
    <n v="0"/>
    <n v="5.64"/>
    <s v="P"/>
    <m/>
    <m/>
    <s v=" "/>
    <x v="20"/>
    <s v="YES"/>
    <m/>
    <m/>
    <m/>
    <m/>
    <m/>
    <m/>
    <m/>
    <m/>
    <m/>
    <m/>
    <s v="No"/>
  </r>
  <r>
    <n v="2183"/>
    <n v="197437"/>
    <n v="195950"/>
    <s v="Capitalized"/>
    <s v="Drivecam"/>
    <m/>
    <m/>
    <n v="1"/>
    <m/>
    <n v="0"/>
    <s v="LYTX, INC"/>
    <m/>
    <s v="TRUCKS AND TRAILERS"/>
    <s v="TBA"/>
    <s v="Non-Rolling Stock"/>
    <m/>
    <m/>
    <d v="2018-04-30T00:00:00"/>
    <d v="2018-04-30T00:00:00"/>
    <s v="2183-18-0001-1"/>
    <n v="500"/>
    <n v="14040"/>
    <n v="518.38"/>
    <n v="14046"/>
    <n v="518.3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96996"/>
    <n v="195950"/>
    <s v="Capitalized"/>
    <s v="Radio"/>
    <m/>
    <m/>
    <n v="1"/>
    <m/>
    <n v="0"/>
    <m/>
    <m/>
    <s v="TRUCKS AND TRAILERS"/>
    <s v="TBA"/>
    <s v="Non-Rolling Stock"/>
    <m/>
    <m/>
    <d v="2018-04-30T00:00:00"/>
    <d v="2018-04-30T00:00:00"/>
    <s v="2183-18-0001-1"/>
    <n v="500"/>
    <n v="14040"/>
    <n v="722.88"/>
    <n v="14046"/>
    <n v="722.8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96852"/>
    <n v="194074"/>
    <s v="Capitalized"/>
    <s v="Decals"/>
    <m/>
    <m/>
    <n v="1"/>
    <m/>
    <n v="0"/>
    <m/>
    <s v="NA"/>
    <s v="TRUCKS AND TRAILERS"/>
    <s v="TBA"/>
    <s v="Non-Rolling Stock"/>
    <m/>
    <m/>
    <d v="2018-03-31T00:00:00"/>
    <d v="2018-03-31T00:00:00"/>
    <s v="2183-18-0020-1"/>
    <n v="1000"/>
    <n v="14040"/>
    <n v="794.16"/>
    <n v="14046"/>
    <n v="483.14"/>
    <n v="0"/>
    <n v="311.02"/>
    <n v="26.48"/>
    <n v="51260"/>
    <n v="6.62"/>
    <n v="0"/>
    <n v="6.62"/>
    <s v="P"/>
    <m/>
    <m/>
    <s v=" "/>
    <x v="20"/>
    <s v="YES"/>
    <m/>
    <m/>
    <m/>
    <m/>
    <m/>
    <m/>
    <m/>
    <m/>
    <m/>
    <m/>
    <s v="No"/>
  </r>
  <r>
    <n v="2183"/>
    <n v="196551"/>
    <s v="P"/>
    <s v="Capitalized"/>
    <s v="96 gal Yardwaste Totes"/>
    <m/>
    <m/>
    <n v="624"/>
    <m/>
    <n v="0"/>
    <s v="WASTEQUIP TOTER"/>
    <m/>
    <s v="CONTAINERS"/>
    <s v="TBA"/>
    <m/>
    <m/>
    <m/>
    <d v="2018-03-28T00:00:00"/>
    <d v="2018-03-28T00:00:00"/>
    <s v="2183-18-0023-1"/>
    <n v="700"/>
    <n v="14050"/>
    <n v="32857.040000000001"/>
    <n v="14056"/>
    <n v="28554.34"/>
    <n v="0"/>
    <n v="4302.7000000000007"/>
    <n v="1564.64"/>
    <n v="54260"/>
    <n v="391.16"/>
    <n v="0"/>
    <n v="391.16"/>
    <s v="P"/>
    <m/>
    <m/>
    <s v=" "/>
    <x v="20"/>
    <s v="YES"/>
    <m/>
    <m/>
    <m/>
    <m/>
    <m/>
    <m/>
    <m/>
    <m/>
    <m/>
    <m/>
    <s v="No"/>
  </r>
  <r>
    <n v="2183"/>
    <n v="195950"/>
    <s v="P"/>
    <s v="Capitalized"/>
    <s v="2018 ASL Truck"/>
    <m/>
    <m/>
    <n v="1"/>
    <s v="3BPDL70X4JF161081"/>
    <n v="2018"/>
    <s v="Peterbilt"/>
    <s v="Labrie"/>
    <s v="TRUCKS AND TRAILERS"/>
    <s v="TBA"/>
    <s v="Automated Side Loader"/>
    <m/>
    <m/>
    <d v="2018-04-30T00:00:00"/>
    <d v="2018-04-30T00:00:00"/>
    <s v="2183-18-0001-1"/>
    <n v="1000"/>
    <n v="14040"/>
    <n v="339677.75"/>
    <n v="14046"/>
    <n v="203806.68"/>
    <n v="0"/>
    <n v="135871.07"/>
    <n v="11322.6"/>
    <n v="51260"/>
    <n v="2830.65"/>
    <n v="0"/>
    <n v="2830.65"/>
    <s v="P"/>
    <m/>
    <n v="3671"/>
    <s v=" "/>
    <x v="20"/>
    <s v="YES"/>
    <m/>
    <m/>
    <m/>
    <m/>
    <m/>
    <m/>
    <m/>
    <m/>
    <m/>
    <m/>
    <s v="No"/>
  </r>
  <r>
    <n v="2183"/>
    <n v="194075"/>
    <n v="194074"/>
    <s v="Capitalized"/>
    <s v="Body for REL Truck"/>
    <m/>
    <m/>
    <n v="1"/>
    <m/>
    <n v="0"/>
    <m/>
    <s v="Solid Waste Systems"/>
    <s v="TRUCKS AND TRAILERS"/>
    <s v="TBA"/>
    <s v="Non-Rolling Stock"/>
    <m/>
    <m/>
    <d v="2018-03-31T00:00:00"/>
    <d v="2018-03-31T00:00:00"/>
    <s v="2183-18-0020-1"/>
    <n v="1000"/>
    <n v="14040"/>
    <n v="84963.78"/>
    <n v="14046"/>
    <n v="51686.3"/>
    <n v="0"/>
    <n v="33277.479999999996"/>
    <n v="2832.12"/>
    <n v="51260"/>
    <n v="708.03"/>
    <n v="0"/>
    <n v="708.03"/>
    <s v="P"/>
    <m/>
    <m/>
    <s v=" "/>
    <x v="20"/>
    <s v="YES"/>
    <m/>
    <m/>
    <m/>
    <m/>
    <m/>
    <m/>
    <m/>
    <m/>
    <m/>
    <m/>
    <s v="No"/>
  </r>
  <r>
    <n v="2183"/>
    <n v="194074"/>
    <s v="P"/>
    <s v="Capitalized"/>
    <s v="2018 REL Truck"/>
    <m/>
    <m/>
    <n v="1"/>
    <s v="3BPPHM7X4JF591714"/>
    <n v="2018"/>
    <s v="Peterbilt"/>
    <s v="Neway"/>
    <s v="TRUCKS AND TRAILERS"/>
    <s v="TBA"/>
    <s v="Rear Loader"/>
    <m/>
    <m/>
    <d v="2018-03-31T00:00:00"/>
    <d v="2018-03-31T00:00:00"/>
    <s v="2183-17-0021-1"/>
    <n v="1000"/>
    <n v="14040"/>
    <n v="99882.2"/>
    <n v="14046"/>
    <n v="60761.61"/>
    <n v="0"/>
    <n v="39120.589999999997"/>
    <n v="3329.4"/>
    <n v="51260"/>
    <n v="832.35"/>
    <n v="0"/>
    <n v="832.35"/>
    <s v="P"/>
    <m/>
    <n v="1083"/>
    <s v=" "/>
    <x v="20"/>
    <s v="YES"/>
    <m/>
    <m/>
    <m/>
    <m/>
    <m/>
    <m/>
    <m/>
    <m/>
    <m/>
    <m/>
    <s v="No"/>
  </r>
  <r>
    <n v="2183"/>
    <n v="193628"/>
    <s v="P"/>
    <s v="Capitalized"/>
    <s v="1999 Type H Van Box"/>
    <m/>
    <m/>
    <n v="1"/>
    <s v="1HTSCABN8XH646982"/>
    <n v="1999"/>
    <s v="International"/>
    <s v="Other"/>
    <s v="TRUCKS AND TRAILERS"/>
    <s v="TBA"/>
    <s v="Container Delivery Truck"/>
    <m/>
    <m/>
    <d v="2008-11-03T00:00:00"/>
    <d v="2008-11-03T00:00:00"/>
    <m/>
    <n v="300"/>
    <n v="14040"/>
    <n v="5500"/>
    <n v="14046"/>
    <n v="5500"/>
    <n v="0"/>
    <n v="0"/>
    <n v="0"/>
    <n v="51260"/>
    <n v="0"/>
    <n v="0"/>
    <n v="0"/>
    <s v="A"/>
    <s v="LeMay Enterprises"/>
    <n v="9576"/>
    <s v=" "/>
    <x v="20"/>
    <s v="YES"/>
    <m/>
    <m/>
    <m/>
    <m/>
    <m/>
    <m/>
    <m/>
    <m/>
    <m/>
    <m/>
    <s v="No"/>
  </r>
  <r>
    <n v="2183"/>
    <n v="191901"/>
    <s v="P"/>
    <s v="Capitalized"/>
    <s v="HP ProBook 650 G2"/>
    <m/>
    <m/>
    <n v="1"/>
    <m/>
    <n v="0"/>
    <s v="CDW"/>
    <m/>
    <s v="HARDWARE AND SOFTWARE"/>
    <s v="TBA"/>
    <m/>
    <m/>
    <m/>
    <d v="2018-01-09T00:00:00"/>
    <d v="2018-01-09T00:00:00"/>
    <s v="2183-18-0019-1"/>
    <n v="300"/>
    <n v="14110"/>
    <n v="1306.96"/>
    <n v="14116"/>
    <n v="1306.96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91852"/>
    <n v="191688"/>
    <s v="Capitalized"/>
    <s v="Decals for New Truck"/>
    <m/>
    <m/>
    <n v="1"/>
    <m/>
    <n v="0"/>
    <s v="Labrie"/>
    <m/>
    <s v="TRUCKS AND TRAILERS"/>
    <s v="TBA"/>
    <s v="Non-Rolling Stock"/>
    <m/>
    <m/>
    <d v="2018-01-01T00:00:00"/>
    <d v="2018-01-01T00:00:00"/>
    <s v="2183-17-0032-1"/>
    <n v="1000"/>
    <n v="14040"/>
    <n v="1003.93"/>
    <n v="14046"/>
    <n v="635.82000000000005"/>
    <n v="0"/>
    <n v="368.1099999999999"/>
    <n v="33.479999999999997"/>
    <n v="51260"/>
    <n v="8.3699999999999992"/>
    <n v="0"/>
    <n v="8.3699999999999992"/>
    <s v="P"/>
    <m/>
    <m/>
    <s v=" "/>
    <x v="20"/>
    <s v="YES"/>
    <m/>
    <m/>
    <m/>
    <m/>
    <m/>
    <m/>
    <m/>
    <m/>
    <m/>
    <m/>
    <s v="No"/>
  </r>
  <r>
    <n v="2183"/>
    <n v="191688"/>
    <s v="P"/>
    <s v="Capitalized"/>
    <s v="2018 ASL Truck"/>
    <m/>
    <m/>
    <n v="1"/>
    <s v="3BPDL70X7JF161172"/>
    <n v="2018"/>
    <s v="Peterbilt"/>
    <s v="Labrie"/>
    <s v="TRUCKS AND TRAILERS"/>
    <s v="TBA"/>
    <s v="Automated Side Loader"/>
    <m/>
    <m/>
    <d v="2018-01-01T00:00:00"/>
    <d v="2018-01-01T00:00:00"/>
    <s v="2183-17-0032-1"/>
    <n v="1000"/>
    <n v="14040"/>
    <n v="336750.81"/>
    <n v="14046"/>
    <n v="213275.51999999999"/>
    <n v="0"/>
    <n v="123475.29000000001"/>
    <n v="11225.04"/>
    <n v="51260"/>
    <n v="2806.26"/>
    <n v="0"/>
    <n v="2806.26"/>
    <s v="P"/>
    <m/>
    <n v="3670"/>
    <s v=" "/>
    <x v="20"/>
    <s v="YES"/>
    <m/>
    <m/>
    <m/>
    <m/>
    <m/>
    <m/>
    <m/>
    <m/>
    <m/>
    <m/>
    <s v="No"/>
  </r>
  <r>
    <n v="2183"/>
    <n v="191687"/>
    <n v="114271"/>
    <s v="Capitalized"/>
    <s v="Body for Truck"/>
    <m/>
    <m/>
    <n v="1"/>
    <m/>
    <n v="0"/>
    <m/>
    <m/>
    <s v="TRUCKS AND TRAILERS"/>
    <s v="TBA"/>
    <s v="Non-Rolling Stock"/>
    <m/>
    <m/>
    <d v="2018-01-01T00:00:00"/>
    <d v="2018-01-01T00:00:00"/>
    <s v="2183-17-0027-1"/>
    <n v="300"/>
    <n v="14040"/>
    <n v="60725.69"/>
    <n v="14046"/>
    <n v="60725.69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91686"/>
    <s v="P"/>
    <s v="Capitalized"/>
    <s v="2018 Hooklift Truck"/>
    <m/>
    <m/>
    <n v="1"/>
    <s v="3BPPHM7X3JF591817"/>
    <n v="2018"/>
    <s v="Peterbilt"/>
    <s v="Stellar"/>
    <s v="TRUCKS AND TRAILERS"/>
    <s v="TBA"/>
    <s v="Hooklift"/>
    <m/>
    <m/>
    <d v="2018-01-01T00:00:00"/>
    <d v="2018-01-01T00:00:00"/>
    <s v="2183-17-0020-1"/>
    <n v="1000"/>
    <n v="14040"/>
    <n v="150065.09"/>
    <n v="14046"/>
    <n v="95041.22"/>
    <n v="0"/>
    <n v="55023.869999999995"/>
    <n v="5002.16"/>
    <n v="51260"/>
    <n v="1250.54"/>
    <n v="0"/>
    <n v="1250.54"/>
    <s v="P"/>
    <m/>
    <n v="4522"/>
    <s v=" "/>
    <x v="20"/>
    <s v="YES"/>
    <m/>
    <m/>
    <m/>
    <m/>
    <m/>
    <m/>
    <m/>
    <m/>
    <m/>
    <m/>
    <s v="No"/>
  </r>
  <r>
    <n v="2183"/>
    <n v="190751"/>
    <s v="P"/>
    <s v="Capitalized"/>
    <s v="96 Gallon Recycle Carts"/>
    <m/>
    <m/>
    <n v="642"/>
    <m/>
    <n v="0"/>
    <s v="Toter"/>
    <m/>
    <s v="CONTAINERS"/>
    <s v="TBA"/>
    <m/>
    <m/>
    <m/>
    <d v="2017-11-15T00:00:00"/>
    <d v="2017-11-15T00:00:00"/>
    <s v="2183-17-0037-1"/>
    <n v="700"/>
    <n v="14050"/>
    <n v="32805.43"/>
    <n v="14056"/>
    <n v="30462.18"/>
    <n v="0"/>
    <n v="2343.25"/>
    <n v="1562.16"/>
    <n v="54260"/>
    <n v="390.54"/>
    <n v="0"/>
    <n v="390.54"/>
    <s v="P"/>
    <m/>
    <m/>
    <s v=" "/>
    <x v="20"/>
    <s v="YES"/>
    <m/>
    <m/>
    <m/>
    <m/>
    <m/>
    <m/>
    <m/>
    <m/>
    <m/>
    <m/>
    <s v="No"/>
  </r>
  <r>
    <n v="2183"/>
    <n v="190473"/>
    <s v="P"/>
    <s v="Capitalized"/>
    <s v="65 Gallon Refuse Carts"/>
    <m/>
    <m/>
    <n v="432"/>
    <m/>
    <n v="0"/>
    <s v="Toter"/>
    <m/>
    <s v="CONTAINERS"/>
    <s v="TBA"/>
    <m/>
    <m/>
    <m/>
    <d v="2017-11-15T00:00:00"/>
    <d v="2017-11-15T00:00:00"/>
    <s v="2183-17-0037-1"/>
    <n v="700"/>
    <n v="14050"/>
    <n v="19630.52"/>
    <n v="14056"/>
    <n v="18228.349999999999"/>
    <n v="0"/>
    <n v="1402.1700000000019"/>
    <n v="934.8"/>
    <n v="54260"/>
    <n v="233.7"/>
    <n v="0"/>
    <n v="233.7"/>
    <s v="P"/>
    <m/>
    <m/>
    <s v=" "/>
    <x v="20"/>
    <s v="YES"/>
    <m/>
    <m/>
    <m/>
    <m/>
    <m/>
    <m/>
    <m/>
    <m/>
    <m/>
    <m/>
    <s v="No"/>
  </r>
  <r>
    <n v="2183"/>
    <n v="190472"/>
    <s v="P"/>
    <s v="Capitalized"/>
    <s v="96 Gallon Refuse Carts"/>
    <m/>
    <m/>
    <n v="312"/>
    <m/>
    <n v="0"/>
    <s v="Toter"/>
    <m/>
    <s v="CONTAINERS"/>
    <s v="TBA"/>
    <m/>
    <m/>
    <m/>
    <d v="2017-11-15T00:00:00"/>
    <d v="2017-11-15T00:00:00"/>
    <s v="2183-17-0037-1"/>
    <n v="700"/>
    <n v="14050"/>
    <n v="16402.71"/>
    <n v="14056"/>
    <n v="15231.12"/>
    <n v="0"/>
    <n v="1171.5899999999983"/>
    <n v="781.08"/>
    <n v="54260"/>
    <n v="195.27"/>
    <n v="0"/>
    <n v="195.27"/>
    <s v="P"/>
    <m/>
    <m/>
    <s v=" "/>
    <x v="20"/>
    <s v="YES"/>
    <m/>
    <m/>
    <m/>
    <m/>
    <m/>
    <m/>
    <m/>
    <m/>
    <m/>
    <m/>
    <s v="No"/>
  </r>
  <r>
    <n v="2183"/>
    <n v="189053"/>
    <s v="P"/>
    <s v="Capitalized"/>
    <s v="35 Gallon Refuse Carts"/>
    <m/>
    <m/>
    <n v="945"/>
    <m/>
    <n v="0"/>
    <s v="TOTER LLC"/>
    <m/>
    <s v="CONTAINERS"/>
    <s v="TBA"/>
    <m/>
    <m/>
    <m/>
    <d v="2017-11-15T00:00:00"/>
    <d v="2017-11-15T00:00:00"/>
    <s v="2183-17-0037-1"/>
    <n v="700"/>
    <n v="14050"/>
    <n v="38070.199999999997"/>
    <n v="14056"/>
    <n v="35350.910000000003"/>
    <n v="0"/>
    <n v="2719.2899999999936"/>
    <n v="1812.88"/>
    <n v="54260"/>
    <n v="453.22"/>
    <n v="0"/>
    <n v="453.22"/>
    <s v="P"/>
    <m/>
    <m/>
    <s v=" "/>
    <x v="20"/>
    <s v="YES"/>
    <m/>
    <m/>
    <m/>
    <m/>
    <m/>
    <m/>
    <m/>
    <m/>
    <m/>
    <m/>
    <s v="No"/>
  </r>
  <r>
    <n v="2183"/>
    <n v="188510"/>
    <s v="P"/>
    <s v="Capitalized"/>
    <s v="2Yd RL Metal  Containers"/>
    <m/>
    <m/>
    <n v="30"/>
    <m/>
    <n v="0"/>
    <s v="CAPITAL INDUSTRIES INC"/>
    <m/>
    <s v="CONTAINERS"/>
    <s v="TBA"/>
    <m/>
    <s v="2 YD"/>
    <s v="FEL/REL/SL Metal"/>
    <d v="2017-10-31T00:00:00"/>
    <d v="2017-10-31T00:00:00"/>
    <s v="2183-17-0034-1"/>
    <n v="1200"/>
    <n v="14050"/>
    <n v="16171.66"/>
    <n v="14056"/>
    <n v="8759.65"/>
    <n v="0"/>
    <n v="7412.01"/>
    <n v="449.2"/>
    <n v="54260"/>
    <n v="112.3"/>
    <n v="0"/>
    <n v="112.3"/>
    <s v="P"/>
    <m/>
    <m/>
    <s v=" "/>
    <x v="20"/>
    <s v="YES"/>
    <m/>
    <m/>
    <m/>
    <m/>
    <m/>
    <m/>
    <m/>
    <m/>
    <m/>
    <m/>
    <s v="No"/>
  </r>
  <r>
    <n v="2183"/>
    <n v="188327"/>
    <s v="P"/>
    <s v="Capitalized"/>
    <s v="35 Gallon Refuse Carts"/>
    <m/>
    <m/>
    <n v="945"/>
    <m/>
    <n v="0"/>
    <s v="TOTER LLC"/>
    <m/>
    <s v="CONTAINERS"/>
    <s v="TBA"/>
    <m/>
    <m/>
    <m/>
    <d v="2017-10-09T00:00:00"/>
    <d v="2017-10-09T00:00:00"/>
    <s v="2183-17-0035-1"/>
    <n v="700"/>
    <n v="14050"/>
    <n v="38070.199999999997"/>
    <n v="14056"/>
    <n v="35804.129999999997"/>
    <n v="0"/>
    <n v="2266.0699999999997"/>
    <n v="1812.88"/>
    <n v="54260"/>
    <n v="453.22"/>
    <n v="0"/>
    <n v="453.22"/>
    <s v="P"/>
    <m/>
    <m/>
    <s v=" "/>
    <x v="20"/>
    <s v="YES"/>
    <m/>
    <m/>
    <m/>
    <m/>
    <m/>
    <m/>
    <m/>
    <m/>
    <m/>
    <m/>
    <s v="No"/>
  </r>
  <r>
    <n v="2183"/>
    <n v="187607"/>
    <s v="P"/>
    <s v="Capitalized"/>
    <s v="2018 ASL Truck"/>
    <m/>
    <m/>
    <n v="1"/>
    <s v="3BPDL70X3JF187137"/>
    <n v="2018"/>
    <s v="Peterbilt"/>
    <s v="Labrie"/>
    <s v="TRUCKS AND TRAILERS"/>
    <s v="TBA"/>
    <s v="Automated Side Loader"/>
    <m/>
    <m/>
    <d v="2017-10-31T00:00:00"/>
    <d v="2017-10-31T00:00:00"/>
    <s v="2183-17-0019-1"/>
    <n v="1000"/>
    <n v="14040"/>
    <n v="336704.5"/>
    <n v="14046"/>
    <n v="218857.92"/>
    <n v="0"/>
    <n v="117846.57999999999"/>
    <n v="11223.48"/>
    <n v="51260"/>
    <n v="2805.87"/>
    <n v="0"/>
    <n v="2805.87"/>
    <s v="P"/>
    <m/>
    <n v="3664"/>
    <s v=" "/>
    <x v="20"/>
    <s v="YES"/>
    <m/>
    <m/>
    <m/>
    <m/>
    <m/>
    <m/>
    <m/>
    <m/>
    <m/>
    <m/>
    <s v="No"/>
  </r>
  <r>
    <n v="2183"/>
    <n v="187606"/>
    <s v="P"/>
    <s v="Capitalized"/>
    <s v="2018 ASL Truck"/>
    <m/>
    <m/>
    <n v="1"/>
    <s v="3BPDL70X1JF187136"/>
    <n v="2018"/>
    <s v="Peterbilt"/>
    <s v="Labrie"/>
    <s v="TRUCKS AND TRAILERS"/>
    <s v="TBA"/>
    <s v="Automated Side Loader"/>
    <m/>
    <m/>
    <d v="2017-10-31T00:00:00"/>
    <d v="2017-10-31T00:00:00"/>
    <s v="2183-17-0017-1"/>
    <n v="1000"/>
    <n v="14040"/>
    <n v="337878.55"/>
    <n v="14046"/>
    <n v="219621.07"/>
    <n v="0"/>
    <n v="118257.47999999998"/>
    <n v="11262.6"/>
    <n v="51260"/>
    <n v="2815.65"/>
    <n v="0"/>
    <n v="2815.65"/>
    <s v="P"/>
    <m/>
    <n v="3663"/>
    <s v=" "/>
    <x v="20"/>
    <s v="YES"/>
    <m/>
    <m/>
    <m/>
    <m/>
    <m/>
    <m/>
    <m/>
    <m/>
    <m/>
    <m/>
    <s v="No"/>
  </r>
  <r>
    <n v="2183"/>
    <n v="187605"/>
    <s v="P"/>
    <s v="Capitalized"/>
    <s v="2018 ASL Truck"/>
    <m/>
    <m/>
    <n v="1"/>
    <s v="3BPDL70XXJF187135"/>
    <n v="2018"/>
    <s v="Peterbilt"/>
    <s v="Labrie"/>
    <s v="TRUCKS AND TRAILERS"/>
    <s v="TBA"/>
    <s v="Automated Side Loader"/>
    <m/>
    <m/>
    <d v="2017-10-31T00:00:00"/>
    <d v="2017-10-31T00:00:00"/>
    <s v="2183-17-0016-1"/>
    <n v="1000"/>
    <n v="14040"/>
    <n v="337983.11"/>
    <n v="14046"/>
    <n v="219689.03"/>
    <n v="0"/>
    <n v="118294.07999999999"/>
    <n v="11266.12"/>
    <n v="51260"/>
    <n v="2816.53"/>
    <n v="0"/>
    <n v="2816.53"/>
    <s v="P"/>
    <m/>
    <n v="3662"/>
    <s v=" "/>
    <x v="20"/>
    <s v="YES"/>
    <m/>
    <m/>
    <m/>
    <m/>
    <m/>
    <m/>
    <m/>
    <m/>
    <m/>
    <m/>
    <s v="No"/>
  </r>
  <r>
    <n v="2183"/>
    <n v="187522"/>
    <s v="P"/>
    <s v="Capitalized"/>
    <s v="96G Recycle Containers"/>
    <m/>
    <m/>
    <n v="624"/>
    <m/>
    <n v="0"/>
    <s v="TOTER LLC"/>
    <m/>
    <s v="CONTAINERS"/>
    <s v="TBA"/>
    <m/>
    <m/>
    <m/>
    <d v="2017-10-09T00:00:00"/>
    <d v="2017-10-09T00:00:00"/>
    <s v="2183-17-0035-1"/>
    <n v="700"/>
    <n v="14050"/>
    <n v="32805.43"/>
    <n v="14056"/>
    <n v="30852.720000000001"/>
    <n v="0"/>
    <n v="1952.7099999999991"/>
    <n v="1562.16"/>
    <n v="54260"/>
    <n v="390.54"/>
    <n v="0"/>
    <n v="390.54"/>
    <s v="P"/>
    <m/>
    <m/>
    <s v=" "/>
    <x v="20"/>
    <s v="YES"/>
    <m/>
    <m/>
    <m/>
    <m/>
    <m/>
    <m/>
    <m/>
    <m/>
    <m/>
    <m/>
    <s v="No"/>
  </r>
  <r>
    <n v="2183"/>
    <n v="187521"/>
    <s v="P"/>
    <s v="Capitalized"/>
    <s v="96G Recycle Containers"/>
    <m/>
    <m/>
    <n v="624"/>
    <m/>
    <n v="0"/>
    <s v="TOTER LLC"/>
    <m/>
    <s v="CONTAINERS"/>
    <s v="TBA"/>
    <m/>
    <m/>
    <m/>
    <d v="2017-10-09T00:00:00"/>
    <d v="2017-10-09T00:00:00"/>
    <s v="2183-17-0035-1"/>
    <n v="700"/>
    <n v="14050"/>
    <n v="32805.43"/>
    <n v="14056"/>
    <n v="30852.720000000001"/>
    <n v="0"/>
    <n v="1952.7099999999991"/>
    <n v="1562.16"/>
    <n v="54260"/>
    <n v="390.54"/>
    <n v="0"/>
    <n v="390.54"/>
    <s v="P"/>
    <m/>
    <m/>
    <s v=" "/>
    <x v="20"/>
    <s v="YES"/>
    <m/>
    <m/>
    <m/>
    <m/>
    <m/>
    <m/>
    <m/>
    <m/>
    <m/>
    <m/>
    <s v="No"/>
  </r>
  <r>
    <n v="2183"/>
    <n v="187206"/>
    <s v="P"/>
    <s v="Capitalized"/>
    <s v="30 Yd RO Boxes"/>
    <m/>
    <m/>
    <n v="3"/>
    <m/>
    <n v="0"/>
    <s v="CAPITAL INDUSTRIES INC"/>
    <m/>
    <s v="CONTAINERS"/>
    <s v="TBA"/>
    <m/>
    <s v="30 YD"/>
    <s v="RO Box"/>
    <d v="2017-09-15T00:00:00"/>
    <d v="2017-09-15T00:00:00"/>
    <s v="2183-17-0031-1"/>
    <n v="1200"/>
    <n v="14050"/>
    <n v="18525"/>
    <n v="14056"/>
    <n v="10291.68"/>
    <n v="0"/>
    <n v="8233.32"/>
    <n v="514.6"/>
    <n v="54260"/>
    <n v="128.65"/>
    <n v="0"/>
    <n v="128.65"/>
    <s v="P"/>
    <m/>
    <m/>
    <s v=" "/>
    <x v="20"/>
    <s v="YES"/>
    <m/>
    <m/>
    <m/>
    <m/>
    <m/>
    <m/>
    <m/>
    <m/>
    <m/>
    <m/>
    <s v="No"/>
  </r>
  <r>
    <n v="2183"/>
    <n v="186461"/>
    <s v="P"/>
    <s v="Capitalized"/>
    <s v="30 Yd Lidded RO Boxes"/>
    <m/>
    <m/>
    <n v="3"/>
    <m/>
    <n v="0"/>
    <s v="CAPITAL INDUSTRIES INC"/>
    <m/>
    <s v="CONTAINERS"/>
    <s v="TBA"/>
    <m/>
    <s v="30 YD"/>
    <s v="RO Box"/>
    <d v="2017-09-15T00:00:00"/>
    <d v="2017-09-15T00:00:00"/>
    <s v="2183-17-0031-1"/>
    <n v="1200"/>
    <n v="14050"/>
    <n v="18525"/>
    <n v="14056"/>
    <n v="10291.68"/>
    <n v="0"/>
    <n v="8233.32"/>
    <n v="514.6"/>
    <n v="54260"/>
    <n v="128.65"/>
    <n v="0"/>
    <n v="128.65"/>
    <s v="P"/>
    <m/>
    <m/>
    <s v=" "/>
    <x v="20"/>
    <s v="YES"/>
    <m/>
    <m/>
    <m/>
    <m/>
    <m/>
    <m/>
    <m/>
    <m/>
    <m/>
    <m/>
    <s v="No"/>
  </r>
  <r>
    <n v="2183"/>
    <n v="186158"/>
    <n v="61097"/>
    <s v="Capitalized"/>
    <s v="Hoist RO Body"/>
    <m/>
    <m/>
    <n v="1"/>
    <m/>
    <n v="0"/>
    <m/>
    <m/>
    <s v="TRUCKS AND TRAILERS"/>
    <s v="TBA"/>
    <s v="Non-Rolling Stock"/>
    <m/>
    <m/>
    <d v="2017-09-30T00:00:00"/>
    <d v="2017-09-30T00:00:00"/>
    <s v="2183-17-0026-1"/>
    <n v="300"/>
    <n v="14040"/>
    <n v="59424.88"/>
    <n v="14046"/>
    <n v="59424.8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86157"/>
    <n v="61096"/>
    <s v="Capitalized"/>
    <s v="Hoist RO Body"/>
    <m/>
    <m/>
    <n v="1"/>
    <m/>
    <n v="0"/>
    <m/>
    <m/>
    <s v="TRUCKS AND TRAILERS"/>
    <s v="TBA"/>
    <s v="Non-Rolling Stock"/>
    <m/>
    <m/>
    <d v="2017-09-30T00:00:00"/>
    <d v="2017-09-30T00:00:00"/>
    <s v="2183-17-0025-1"/>
    <n v="300"/>
    <n v="14040"/>
    <n v="59424.88"/>
    <n v="14046"/>
    <n v="59424.8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85550"/>
    <s v="P"/>
    <s v="Capitalized"/>
    <s v="(5) Truck Tablets"/>
    <m/>
    <m/>
    <n v="1"/>
    <m/>
    <n v="0"/>
    <m/>
    <m/>
    <s v="HARDWARE AND SOFTWARE"/>
    <s v="TBA"/>
    <m/>
    <m/>
    <m/>
    <d v="2017-08-01T00:00:00"/>
    <d v="2017-08-01T00:00:00"/>
    <s v="2183-17-0033-1"/>
    <n v="100"/>
    <n v="14110"/>
    <n v="1244.8"/>
    <n v="14116"/>
    <n v="1244.8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84512"/>
    <s v="P"/>
    <s v="Capitalized"/>
    <s v="6 Yd Containers"/>
    <m/>
    <m/>
    <n v="15"/>
    <m/>
    <n v="0"/>
    <s v="RULE STEEL TANK INC"/>
    <m/>
    <s v="CONTAINERS"/>
    <s v="TBA"/>
    <m/>
    <s v="6 YD"/>
    <s v="FEL/REL/SL Metal"/>
    <d v="2017-07-17T00:00:00"/>
    <d v="2017-07-17T00:00:00"/>
    <s v="2183-17-0029-1"/>
    <n v="1200"/>
    <n v="14050"/>
    <n v="12459.15"/>
    <n v="14056"/>
    <n v="7008.25"/>
    <n v="0"/>
    <n v="5450.9"/>
    <n v="346.08"/>
    <n v="54260"/>
    <n v="86.52"/>
    <n v="0"/>
    <n v="86.52"/>
    <s v="P"/>
    <m/>
    <m/>
    <s v=" "/>
    <x v="20"/>
    <s v="YES"/>
    <m/>
    <m/>
    <m/>
    <m/>
    <m/>
    <m/>
    <m/>
    <m/>
    <m/>
    <m/>
    <s v="No"/>
  </r>
  <r>
    <n v="2183"/>
    <n v="184511"/>
    <s v="P"/>
    <s v="Capitalized"/>
    <s v="4 Yd Containers"/>
    <m/>
    <m/>
    <n v="20"/>
    <m/>
    <n v="0"/>
    <s v="RULE STEEL TANK INC"/>
    <m/>
    <s v="CONTAINERS"/>
    <s v="TBA"/>
    <m/>
    <s v="4 YD"/>
    <s v="FEL/REL/SL Metal"/>
    <d v="2017-07-17T00:00:00"/>
    <d v="2017-07-17T00:00:00"/>
    <s v="2183-17-0029-1"/>
    <n v="1200"/>
    <n v="14050"/>
    <n v="13410.54"/>
    <n v="14056"/>
    <n v="7543.46"/>
    <n v="0"/>
    <n v="5867.0800000000008"/>
    <n v="372.52"/>
    <n v="54260"/>
    <n v="93.13"/>
    <n v="0"/>
    <n v="93.13"/>
    <s v="P"/>
    <m/>
    <m/>
    <s v=" "/>
    <x v="20"/>
    <s v="YES"/>
    <m/>
    <m/>
    <m/>
    <m/>
    <m/>
    <m/>
    <m/>
    <m/>
    <m/>
    <m/>
    <s v="No"/>
  </r>
  <r>
    <n v="2183"/>
    <n v="184510"/>
    <s v="P"/>
    <s v="Capitalized"/>
    <s v="1 Yd Containers"/>
    <m/>
    <m/>
    <n v="20"/>
    <m/>
    <n v="0"/>
    <s v="RULE STEEL TANK INC"/>
    <m/>
    <s v="CONTAINERS"/>
    <s v="TBA"/>
    <m/>
    <s v="1 YD"/>
    <s v="FEL/REL/SL Metal"/>
    <d v="2017-07-17T00:00:00"/>
    <d v="2017-07-17T00:00:00"/>
    <s v="2183-17-0029-1"/>
    <n v="1200"/>
    <n v="14050"/>
    <n v="10208.879999999999"/>
    <n v="14056"/>
    <n v="5742.52"/>
    <n v="0"/>
    <n v="4466.3599999999988"/>
    <n v="283.60000000000002"/>
    <n v="54260"/>
    <n v="70.900000000000006"/>
    <n v="0"/>
    <n v="70.900000000000006"/>
    <s v="P"/>
    <m/>
    <m/>
    <s v=" "/>
    <x v="20"/>
    <s v="YES"/>
    <m/>
    <m/>
    <m/>
    <m/>
    <m/>
    <m/>
    <m/>
    <m/>
    <m/>
    <m/>
    <s v="No"/>
  </r>
  <r>
    <n v="2183"/>
    <n v="184509"/>
    <s v="P"/>
    <s v="Capitalized"/>
    <s v="30 Yd Lidded RO Boxes"/>
    <m/>
    <m/>
    <n v="9"/>
    <m/>
    <n v="0"/>
    <s v="CAPITAL INDUSTRIES INC"/>
    <m/>
    <s v="CONTAINERS"/>
    <s v="TBA"/>
    <m/>
    <s v="30 YD"/>
    <s v="RO Box"/>
    <d v="2017-07-25T00:00:00"/>
    <d v="2017-07-25T00:00:00"/>
    <s v="2183-17-0031-1"/>
    <n v="1200"/>
    <n v="14050"/>
    <n v="55575"/>
    <n v="14056"/>
    <n v="31260.95"/>
    <n v="0"/>
    <n v="24314.05"/>
    <n v="1543.76"/>
    <n v="54260"/>
    <n v="385.94"/>
    <n v="0"/>
    <n v="385.94"/>
    <s v="P"/>
    <m/>
    <m/>
    <s v=" "/>
    <x v="20"/>
    <s v="YES"/>
    <m/>
    <m/>
    <m/>
    <m/>
    <m/>
    <m/>
    <m/>
    <m/>
    <m/>
    <m/>
    <s v="No"/>
  </r>
  <r>
    <n v="2183"/>
    <n v="183938"/>
    <s v="P"/>
    <s v="Capitalized"/>
    <s v="96 Gallon Yardwaste Carts"/>
    <m/>
    <m/>
    <n v="624"/>
    <m/>
    <n v="0"/>
    <s v="TOTER LLC"/>
    <m/>
    <s v="CONTAINERS"/>
    <s v="TBA"/>
    <m/>
    <m/>
    <m/>
    <d v="2017-06-02T00:00:00"/>
    <d v="2017-06-02T00:00:00"/>
    <s v="2183-17-0030-1"/>
    <n v="700"/>
    <n v="14050"/>
    <n v="32107.98"/>
    <n v="14056"/>
    <n v="31725.79"/>
    <n v="0"/>
    <n v="382.18999999999869"/>
    <n v="1528.96"/>
    <n v="54260"/>
    <n v="382.24"/>
    <n v="0"/>
    <n v="382.24"/>
    <s v="P"/>
    <m/>
    <m/>
    <s v=" "/>
    <x v="20"/>
    <s v="YES"/>
    <m/>
    <m/>
    <m/>
    <m/>
    <m/>
    <m/>
    <m/>
    <m/>
    <m/>
    <m/>
    <s v="No"/>
  </r>
  <r>
    <n v="2183"/>
    <n v="183937"/>
    <s v="P"/>
    <s v="Capitalized"/>
    <s v="35 Gallon Refuse Carts"/>
    <m/>
    <m/>
    <n v="945"/>
    <m/>
    <n v="0"/>
    <s v="TOTER LLC"/>
    <m/>
    <s v="CONTAINERS"/>
    <s v="TBA"/>
    <m/>
    <m/>
    <m/>
    <d v="2017-06-02T00:00:00"/>
    <d v="2017-06-02T00:00:00"/>
    <s v="2183-17-0030-1"/>
    <n v="700"/>
    <n v="14050"/>
    <n v="38071.93"/>
    <n v="14056"/>
    <n v="37618.720000000001"/>
    <n v="0"/>
    <n v="453.20999999999913"/>
    <n v="1812.96"/>
    <n v="54260"/>
    <n v="453.24"/>
    <n v="0"/>
    <n v="453.24"/>
    <s v="P"/>
    <m/>
    <m/>
    <s v=" "/>
    <x v="20"/>
    <s v="YES"/>
    <m/>
    <m/>
    <m/>
    <m/>
    <m/>
    <m/>
    <m/>
    <m/>
    <m/>
    <m/>
    <s v="No"/>
  </r>
  <r>
    <n v="2183"/>
    <n v="183936"/>
    <s v="P"/>
    <s v="Capitalized"/>
    <s v="96 Gallon Refuse Carts"/>
    <m/>
    <m/>
    <n v="624"/>
    <m/>
    <n v="0"/>
    <s v="TOTER LLC"/>
    <m/>
    <s v="CONTAINERS"/>
    <s v="TBA"/>
    <m/>
    <m/>
    <m/>
    <d v="2017-06-02T00:00:00"/>
    <d v="2017-06-02T00:00:00"/>
    <s v="2183-17-0030-1"/>
    <n v="700"/>
    <n v="14050"/>
    <n v="32107.98"/>
    <n v="14056"/>
    <n v="31725.79"/>
    <n v="0"/>
    <n v="382.18999999999869"/>
    <n v="1528.96"/>
    <n v="54260"/>
    <n v="382.24"/>
    <n v="0"/>
    <n v="382.24"/>
    <s v="P"/>
    <m/>
    <m/>
    <s v=" "/>
    <x v="20"/>
    <s v="YES"/>
    <m/>
    <m/>
    <m/>
    <m/>
    <m/>
    <m/>
    <m/>
    <m/>
    <m/>
    <m/>
    <s v="No"/>
  </r>
  <r>
    <n v="2183"/>
    <n v="182636"/>
    <s v="P"/>
    <s v="Capitalized"/>
    <s v="40yd Lidded RO Boxes"/>
    <m/>
    <m/>
    <n v="3"/>
    <m/>
    <n v="0"/>
    <s v="CAPITAL INDUSTRIES INC"/>
    <m/>
    <s v="CONTAINERS"/>
    <s v="TBA"/>
    <m/>
    <s v="40 YD"/>
    <s v="RO Box"/>
    <d v="2017-05-31T00:00:00"/>
    <d v="2017-05-31T00:00:00"/>
    <s v="2183-17-0028-1"/>
    <n v="1200"/>
    <n v="14050"/>
    <n v="21435"/>
    <n v="14056"/>
    <n v="12354.88"/>
    <n v="0"/>
    <n v="9080.1200000000008"/>
    <n v="595.4"/>
    <n v="54260"/>
    <n v="148.85"/>
    <n v="0"/>
    <n v="148.85"/>
    <s v="P"/>
    <m/>
    <m/>
    <s v=" "/>
    <x v="20"/>
    <s v="YES"/>
    <m/>
    <m/>
    <m/>
    <m/>
    <m/>
    <m/>
    <m/>
    <m/>
    <m/>
    <m/>
    <s v="No"/>
  </r>
  <r>
    <n v="2183"/>
    <n v="182635"/>
    <s v="P"/>
    <s v="Capitalized"/>
    <s v="96 Gal Recycle Carts"/>
    <m/>
    <m/>
    <n v="624"/>
    <m/>
    <n v="0"/>
    <s v="TOTER LLC"/>
    <m/>
    <s v="CONTAINERS"/>
    <s v="TBA"/>
    <m/>
    <m/>
    <m/>
    <d v="2017-06-02T00:00:00"/>
    <d v="2017-06-02T00:00:00"/>
    <s v="2183-17-0030-1"/>
    <n v="700"/>
    <n v="14050"/>
    <n v="32816.83"/>
    <n v="14056"/>
    <n v="32426.18"/>
    <n v="0"/>
    <n v="390.65000000000146"/>
    <n v="1562.72"/>
    <n v="54260"/>
    <n v="390.68"/>
    <n v="0"/>
    <n v="390.68"/>
    <s v="P"/>
    <m/>
    <m/>
    <s v=" "/>
    <x v="20"/>
    <s v="YES"/>
    <m/>
    <m/>
    <m/>
    <m/>
    <m/>
    <m/>
    <m/>
    <m/>
    <m/>
    <m/>
    <s v="No"/>
  </r>
  <r>
    <n v="2183"/>
    <n v="182634"/>
    <s v="P"/>
    <s v="Capitalized"/>
    <s v="64 Gal MSW Carts"/>
    <m/>
    <m/>
    <n v="864"/>
    <m/>
    <n v="0"/>
    <s v="TOTER LLC"/>
    <m/>
    <s v="CONTAINERS"/>
    <s v="TBA"/>
    <m/>
    <m/>
    <m/>
    <d v="2017-05-23T00:00:00"/>
    <d v="2017-05-23T00:00:00"/>
    <s v="2183-17-0030-1"/>
    <n v="700"/>
    <n v="14050"/>
    <n v="38790.980000000003"/>
    <n v="14056"/>
    <n v="38329.199999999997"/>
    <n v="0"/>
    <n v="461.78000000000611"/>
    <n v="1847.2"/>
    <n v="54260"/>
    <n v="461.8"/>
    <n v="0"/>
    <n v="461.8"/>
    <s v="P"/>
    <m/>
    <m/>
    <s v=" "/>
    <x v="20"/>
    <s v="YES"/>
    <m/>
    <m/>
    <m/>
    <m/>
    <m/>
    <m/>
    <m/>
    <m/>
    <m/>
    <m/>
    <s v="No"/>
  </r>
  <r>
    <n v="2183"/>
    <n v="182597"/>
    <s v="P"/>
    <s v="Capitalized"/>
    <s v="40yd Lidded RO Boxes"/>
    <m/>
    <m/>
    <n v="4"/>
    <m/>
    <n v="0"/>
    <s v="CAPITAL INDUSTRIES INC"/>
    <m/>
    <s v="CONTAINERS"/>
    <s v="TBA"/>
    <m/>
    <s v="40 YD"/>
    <s v="RO Box"/>
    <d v="2017-05-31T00:00:00"/>
    <d v="2017-05-31T00:00:00"/>
    <s v="2183-17-0028-1"/>
    <n v="1200"/>
    <n v="14050"/>
    <n v="28580"/>
    <n v="14056"/>
    <n v="16473.21"/>
    <n v="0"/>
    <n v="12106.79"/>
    <n v="793.88"/>
    <n v="54260"/>
    <n v="198.47"/>
    <n v="0"/>
    <n v="198.47"/>
    <s v="P"/>
    <m/>
    <m/>
    <s v=" "/>
    <x v="20"/>
    <s v="YES"/>
    <m/>
    <m/>
    <m/>
    <m/>
    <m/>
    <m/>
    <m/>
    <m/>
    <m/>
    <m/>
    <s v="No"/>
  </r>
  <r>
    <n v="2183"/>
    <n v="182548"/>
    <s v="P"/>
    <s v="Capitalized"/>
    <s v="40yd Lidded RO Boxes"/>
    <m/>
    <m/>
    <n v="3"/>
    <m/>
    <n v="0"/>
    <s v="CAPITAL INDUSTRIES INC"/>
    <m/>
    <s v="CONTAINERS"/>
    <s v="TBA"/>
    <m/>
    <s v="40 YD"/>
    <s v="RO Box"/>
    <d v="2017-05-31T00:00:00"/>
    <d v="2017-05-31T00:00:00"/>
    <s v="2183-17-0028-1"/>
    <n v="1200"/>
    <n v="14050"/>
    <n v="21435"/>
    <n v="14056"/>
    <n v="12354.88"/>
    <n v="0"/>
    <n v="9080.1200000000008"/>
    <n v="595.4"/>
    <n v="54260"/>
    <n v="148.85"/>
    <n v="0"/>
    <n v="148.85"/>
    <s v="P"/>
    <m/>
    <m/>
    <s v=" "/>
    <x v="20"/>
    <s v="YES"/>
    <m/>
    <m/>
    <m/>
    <m/>
    <m/>
    <m/>
    <m/>
    <m/>
    <m/>
    <m/>
    <s v="No"/>
  </r>
  <r>
    <n v="2183"/>
    <n v="181061"/>
    <s v="P"/>
    <s v="Capitalized"/>
    <s v="64 Gallon MSW Carts and Lids"/>
    <m/>
    <m/>
    <n v="864"/>
    <m/>
    <n v="0"/>
    <s v="TOTER LLC"/>
    <m/>
    <s v="CONTAINERS"/>
    <s v="TBA"/>
    <m/>
    <m/>
    <m/>
    <d v="2017-04-21T00:00:00"/>
    <d v="2017-04-21T00:00:00"/>
    <s v="2183-17-0030-1"/>
    <n v="700"/>
    <n v="14050"/>
    <n v="38790.9"/>
    <n v="14056"/>
    <n v="38790.9"/>
    <n v="0"/>
    <n v="0"/>
    <n v="1847.17"/>
    <n v="54260"/>
    <n v="461.77"/>
    <n v="0"/>
    <n v="461.77"/>
    <s v="P"/>
    <m/>
    <m/>
    <s v=" "/>
    <x v="20"/>
    <s v="YES"/>
    <m/>
    <m/>
    <m/>
    <m/>
    <m/>
    <m/>
    <m/>
    <m/>
    <m/>
    <m/>
    <s v="No"/>
  </r>
  <r>
    <n v="2183"/>
    <n v="179026"/>
    <s v="P"/>
    <s v="Capitalized"/>
    <s v="35 Gallon Garbage"/>
    <m/>
    <m/>
    <n v="945"/>
    <m/>
    <n v="0"/>
    <s v="TOTER LLC"/>
    <m/>
    <s v="CONTAINERS"/>
    <s v="TBA"/>
    <m/>
    <m/>
    <m/>
    <d v="2017-03-17T00:00:00"/>
    <d v="2017-03-17T00:00:00"/>
    <s v="2183-17-0024-1"/>
    <n v="700"/>
    <n v="14050"/>
    <n v="37282.6"/>
    <n v="14056"/>
    <n v="37282.6"/>
    <n v="0"/>
    <n v="0"/>
    <n v="1331.49"/>
    <n v="54260"/>
    <n v="443.81"/>
    <n v="0"/>
    <n v="443.81"/>
    <s v="P"/>
    <m/>
    <m/>
    <s v=" "/>
    <x v="20"/>
    <s v="YES"/>
    <m/>
    <m/>
    <m/>
    <m/>
    <m/>
    <m/>
    <m/>
    <m/>
    <m/>
    <m/>
    <s v="No"/>
  </r>
  <r>
    <n v="2183"/>
    <n v="178891"/>
    <s v="P"/>
    <s v="Capitalized"/>
    <s v="96 Gallon Yardwaste Carts"/>
    <m/>
    <m/>
    <n v="624"/>
    <m/>
    <n v="0"/>
    <s v="TOTER LLC"/>
    <m/>
    <s v="CONTAINERS"/>
    <s v="TBA"/>
    <m/>
    <m/>
    <m/>
    <d v="2017-03-17T00:00:00"/>
    <d v="2017-03-17T00:00:00"/>
    <s v="2183-17-0024-1"/>
    <n v="700"/>
    <n v="14050"/>
    <n v="31795.97"/>
    <n v="14056"/>
    <n v="31795.97"/>
    <n v="0"/>
    <n v="0"/>
    <n v="1135.58"/>
    <n v="54260"/>
    <n v="378.54"/>
    <n v="0"/>
    <n v="378.54"/>
    <s v="P"/>
    <m/>
    <m/>
    <s v=" "/>
    <x v="20"/>
    <s v="YES"/>
    <m/>
    <m/>
    <m/>
    <m/>
    <m/>
    <m/>
    <m/>
    <m/>
    <m/>
    <m/>
    <s v="No"/>
  </r>
  <r>
    <n v="2183"/>
    <n v="178890"/>
    <s v="P"/>
    <s v="Capitalized"/>
    <s v="96 Gallon Yardwaste Carts"/>
    <m/>
    <m/>
    <n v="624"/>
    <m/>
    <n v="0"/>
    <s v="TOTER LLC"/>
    <m/>
    <s v="CONTAINERS"/>
    <s v="TBA"/>
    <m/>
    <m/>
    <m/>
    <d v="2017-03-17T00:00:00"/>
    <d v="2017-03-17T00:00:00"/>
    <s v="2183-17-0024-1"/>
    <n v="700"/>
    <n v="14050"/>
    <n v="31795.97"/>
    <n v="14056"/>
    <n v="31795.97"/>
    <n v="0"/>
    <n v="0"/>
    <n v="1135.58"/>
    <n v="54260"/>
    <n v="378.54"/>
    <n v="0"/>
    <n v="378.54"/>
    <s v="P"/>
    <m/>
    <m/>
    <s v=" "/>
    <x v="20"/>
    <s v="YES"/>
    <m/>
    <m/>
    <m/>
    <m/>
    <m/>
    <m/>
    <m/>
    <m/>
    <m/>
    <m/>
    <s v="No"/>
  </r>
  <r>
    <n v="2183"/>
    <n v="178889"/>
    <s v="P"/>
    <s v="Capitalized"/>
    <s v="96 Gallon Recycle Carts"/>
    <m/>
    <m/>
    <n v="624"/>
    <m/>
    <n v="0"/>
    <s v="TOTER LLC"/>
    <m/>
    <s v="CONTAINERS"/>
    <s v="TBA"/>
    <m/>
    <m/>
    <m/>
    <d v="2017-03-17T00:00:00"/>
    <d v="2017-03-17T00:00:00"/>
    <s v="2183-17-0024-1"/>
    <n v="700"/>
    <n v="14050"/>
    <n v="31795.97"/>
    <n v="14056"/>
    <n v="31795.97"/>
    <n v="0"/>
    <n v="0"/>
    <n v="1135.58"/>
    <n v="54260"/>
    <n v="378.54"/>
    <n v="0"/>
    <n v="378.54"/>
    <s v="P"/>
    <m/>
    <m/>
    <s v=" "/>
    <x v="20"/>
    <s v="YES"/>
    <m/>
    <m/>
    <m/>
    <m/>
    <m/>
    <m/>
    <m/>
    <m/>
    <m/>
    <m/>
    <s v="No"/>
  </r>
  <r>
    <n v="2183"/>
    <n v="177573"/>
    <s v="P"/>
    <s v="Capitalized"/>
    <s v="6 Yd Container"/>
    <m/>
    <m/>
    <n v="3"/>
    <m/>
    <n v="0"/>
    <s v="RULE STEEL TANKS INC"/>
    <m/>
    <s v="CONTAINERS"/>
    <s v="TBA"/>
    <m/>
    <s v="6 YD"/>
    <s v="FEL/REL/SL Metal"/>
    <d v="2017-01-03T00:00:00"/>
    <d v="2017-01-03T00:00:00"/>
    <s v="2183-17-0023-1"/>
    <n v="1200"/>
    <n v="14050"/>
    <n v="2429.44"/>
    <n v="14056"/>
    <n v="1484.49"/>
    <n v="0"/>
    <n v="944.95"/>
    <n v="67.48"/>
    <n v="54260"/>
    <n v="16.87"/>
    <n v="0"/>
    <n v="16.87"/>
    <s v="P"/>
    <m/>
    <m/>
    <s v=" "/>
    <x v="20"/>
    <s v="YES"/>
    <m/>
    <m/>
    <m/>
    <m/>
    <m/>
    <m/>
    <m/>
    <m/>
    <m/>
    <m/>
    <s v="No"/>
  </r>
  <r>
    <n v="2183"/>
    <n v="177572"/>
    <s v="P"/>
    <s v="Capitalized"/>
    <s v="1.5Yd Container"/>
    <m/>
    <m/>
    <n v="6"/>
    <m/>
    <n v="0"/>
    <s v="RULE STEEL TANKS INC"/>
    <m/>
    <s v="CONTAINERS"/>
    <s v="TBA"/>
    <m/>
    <s v="1.5 YD"/>
    <s v="FEL/REL/SL Metal"/>
    <d v="2017-01-03T00:00:00"/>
    <d v="2017-01-03T00:00:00"/>
    <s v="2183-17-0023-1"/>
    <n v="1200"/>
    <n v="14050"/>
    <n v="3169.69"/>
    <n v="14056"/>
    <n v="1937.02"/>
    <n v="0"/>
    <n v="1232.67"/>
    <n v="88.04"/>
    <n v="54260"/>
    <n v="22.01"/>
    <n v="0"/>
    <n v="22.01"/>
    <s v="P"/>
    <m/>
    <m/>
    <s v=" "/>
    <x v="20"/>
    <s v="YES"/>
    <m/>
    <m/>
    <m/>
    <m/>
    <m/>
    <m/>
    <m/>
    <m/>
    <m/>
    <m/>
    <s v="No"/>
  </r>
  <r>
    <n v="2183"/>
    <n v="177571"/>
    <s v="P"/>
    <s v="Capitalized"/>
    <s v="1 Yd Container"/>
    <m/>
    <m/>
    <n v="8"/>
    <m/>
    <n v="0"/>
    <s v="RULE STEEL TANKS INC"/>
    <m/>
    <s v="CONTAINERS"/>
    <s v="TBA"/>
    <m/>
    <s v="1 YD"/>
    <s v="FEL/REL/SL Metal"/>
    <d v="2017-01-03T00:00:00"/>
    <d v="2017-01-03T00:00:00"/>
    <s v="2183-17-0023-1"/>
    <n v="1200"/>
    <n v="14050"/>
    <n v="3921.9"/>
    <n v="14056"/>
    <n v="2396.77"/>
    <n v="0"/>
    <n v="1525.13"/>
    <n v="108.96"/>
    <n v="54260"/>
    <n v="27.24"/>
    <n v="0"/>
    <n v="27.24"/>
    <s v="P"/>
    <m/>
    <m/>
    <s v=" "/>
    <x v="20"/>
    <s v="YES"/>
    <m/>
    <m/>
    <m/>
    <m/>
    <m/>
    <m/>
    <m/>
    <m/>
    <m/>
    <m/>
    <s v="No"/>
  </r>
  <r>
    <n v="2183"/>
    <n v="176637"/>
    <s v="P"/>
    <s v="Capitalized"/>
    <s v="20gal Garbage Carts"/>
    <m/>
    <m/>
    <n v="875"/>
    <m/>
    <n v="0"/>
    <s v="REHRIG PACIFIC COMPANY IN"/>
    <m/>
    <s v="CONTAINERS"/>
    <s v="TBA"/>
    <m/>
    <m/>
    <m/>
    <d v="2017-01-09T00:00:00"/>
    <d v="2017-01-09T00:00:00"/>
    <s v="2183-17-0022-1"/>
    <n v="700"/>
    <n v="14050"/>
    <n v="30080.55"/>
    <n v="14056"/>
    <n v="30080.5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72715"/>
    <s v="P"/>
    <s v="Capitalized"/>
    <s v="6 Yd FEL Containers"/>
    <m/>
    <m/>
    <n v="7"/>
    <m/>
    <n v="0"/>
    <s v="RULE STEEL TANKS INC"/>
    <m/>
    <s v="CONTAINERS"/>
    <s v="TBA"/>
    <m/>
    <s v="6 YD"/>
    <s v="FEL/REL/SL Metal"/>
    <d v="2017-01-17T00:00:00"/>
    <d v="2017-01-17T00:00:00"/>
    <s v="2183-16-0036-1"/>
    <n v="1200"/>
    <n v="14050"/>
    <n v="5668.7"/>
    <n v="14056"/>
    <n v="3424.85"/>
    <n v="0"/>
    <n v="2243.85"/>
    <n v="157.47999999999999"/>
    <n v="54260"/>
    <n v="39.369999999999997"/>
    <n v="0"/>
    <n v="39.369999999999997"/>
    <s v="P"/>
    <m/>
    <m/>
    <s v=" "/>
    <x v="20"/>
    <s v="YES"/>
    <m/>
    <m/>
    <m/>
    <m/>
    <m/>
    <m/>
    <m/>
    <m/>
    <m/>
    <m/>
    <s v="No"/>
  </r>
  <r>
    <n v="2183"/>
    <n v="172714"/>
    <s v="P"/>
    <s v="Capitalized"/>
    <s v="1.5 Yd Rear Load Containers"/>
    <m/>
    <m/>
    <n v="14"/>
    <m/>
    <n v="0"/>
    <s v="RULE STEEL TANKS INC"/>
    <m/>
    <s v="CONTAINERS"/>
    <s v="TBA"/>
    <m/>
    <s v="1.5 YD"/>
    <s v="FEL/REL/SL Metal"/>
    <d v="2017-01-17T00:00:00"/>
    <d v="2017-01-17T00:00:00"/>
    <s v="2183-16-0036-1"/>
    <n v="1200"/>
    <n v="14050"/>
    <n v="7395.94"/>
    <n v="14056"/>
    <n v="4468.3900000000003"/>
    <n v="0"/>
    <n v="2927.5499999999993"/>
    <n v="205.44"/>
    <n v="54260"/>
    <n v="51.36"/>
    <n v="0"/>
    <n v="51.36"/>
    <s v="P"/>
    <m/>
    <m/>
    <s v=" "/>
    <x v="20"/>
    <s v="YES"/>
    <m/>
    <m/>
    <m/>
    <m/>
    <m/>
    <m/>
    <m/>
    <m/>
    <m/>
    <m/>
    <s v="No"/>
  </r>
  <r>
    <n v="2183"/>
    <n v="172713"/>
    <s v="P"/>
    <s v="Capitalized"/>
    <s v="1 Yd Rear Load Containers"/>
    <m/>
    <m/>
    <n v="12"/>
    <m/>
    <n v="0"/>
    <s v="RULE STEEL TANKS INC"/>
    <m/>
    <s v="CONTAINERS"/>
    <s v="TBA"/>
    <m/>
    <s v="1 YD"/>
    <s v="FEL/REL/SL Metal"/>
    <d v="2017-01-17T00:00:00"/>
    <d v="2017-01-17T00:00:00"/>
    <s v="2183-16-0036-1"/>
    <n v="1200"/>
    <n v="14050"/>
    <n v="5882.84"/>
    <n v="14056"/>
    <n v="3554.15"/>
    <n v="0"/>
    <n v="2328.69"/>
    <n v="163.4"/>
    <n v="54260"/>
    <n v="40.85"/>
    <n v="0"/>
    <n v="40.85"/>
    <s v="P"/>
    <m/>
    <m/>
    <s v=" "/>
    <x v="20"/>
    <s v="YES"/>
    <m/>
    <m/>
    <m/>
    <m/>
    <m/>
    <m/>
    <m/>
    <m/>
    <m/>
    <m/>
    <s v="No"/>
  </r>
  <r>
    <n v="2183"/>
    <n v="172712"/>
    <s v="P"/>
    <s v="Capitalized"/>
    <s v="30yd RO Boxes / R.O Metal Cont, 30yd"/>
    <m/>
    <m/>
    <n v="4"/>
    <m/>
    <n v="0"/>
    <s v="CAPITAL INDUSTRIES, INC."/>
    <m/>
    <s v="CONTAINERS"/>
    <s v="TBA"/>
    <m/>
    <s v="30 YD"/>
    <s v="RO Box"/>
    <d v="2017-01-17T00:00:00"/>
    <d v="2017-01-17T00:00:00"/>
    <s v="2183-16-0039-1"/>
    <n v="1111"/>
    <n v="14050"/>
    <n v="23940"/>
    <n v="14056"/>
    <n v="14564.88"/>
    <n v="0"/>
    <n v="9375.1200000000008"/>
    <n v="669.64"/>
    <n v="54260"/>
    <n v="167.41"/>
    <n v="0"/>
    <n v="167.41"/>
    <s v="P"/>
    <m/>
    <m/>
    <s v=" "/>
    <x v="20"/>
    <s v="YES"/>
    <m/>
    <m/>
    <m/>
    <m/>
    <m/>
    <m/>
    <m/>
    <m/>
    <m/>
    <m/>
    <s v="No"/>
  </r>
  <r>
    <n v="2183"/>
    <n v="171241"/>
    <s v="P"/>
    <s v="Capitalized"/>
    <s v="2017 FEL Truck"/>
    <m/>
    <m/>
    <n v="1"/>
    <s v="3BPZL70X8HF173427"/>
    <n v="2017"/>
    <s v="Peterbilt"/>
    <s v="Labrie"/>
    <s v="TRUCKS AND TRAILERS"/>
    <s v="TBA"/>
    <s v="Front Loader"/>
    <m/>
    <m/>
    <d v="2016-11-30T00:00:00"/>
    <d v="2016-11-30T00:00:00"/>
    <s v="2183-16-0022-1"/>
    <n v="1000"/>
    <n v="14040"/>
    <n v="318387.46000000002"/>
    <n v="14046"/>
    <n v="236137.4"/>
    <n v="0"/>
    <n v="82250.060000000027"/>
    <n v="10612.92"/>
    <n v="51260"/>
    <n v="2653.23"/>
    <n v="0"/>
    <n v="2653.23"/>
    <s v="P"/>
    <m/>
    <n v="2046"/>
    <s v=" "/>
    <x v="20"/>
    <s v="YES"/>
    <m/>
    <m/>
    <m/>
    <m/>
    <m/>
    <m/>
    <m/>
    <m/>
    <m/>
    <m/>
    <s v="No"/>
  </r>
  <r>
    <n v="2183"/>
    <n v="170977"/>
    <s v="P"/>
    <s v="Capitalized"/>
    <s v="96 Gallon Recycle Carts"/>
    <m/>
    <m/>
    <n v="624"/>
    <m/>
    <n v="0"/>
    <s v="TOTER INCORPORATED"/>
    <m/>
    <s v="CONTAINERS"/>
    <s v="TBA"/>
    <m/>
    <m/>
    <m/>
    <d v="2016-12-16T00:00:00"/>
    <d v="2016-12-16T00:00:00"/>
    <s v="2183-16-0035-1"/>
    <n v="700"/>
    <n v="14050"/>
    <n v="31926.69"/>
    <n v="14056"/>
    <n v="31926.6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70669"/>
    <s v="P"/>
    <s v="Capitalized"/>
    <s v="64 Gallon Refuse Carts and Lids"/>
    <m/>
    <m/>
    <n v="864"/>
    <m/>
    <n v="0"/>
    <s v="TOTER LLC"/>
    <m/>
    <s v="CONTAINERS"/>
    <s v="TBA"/>
    <m/>
    <m/>
    <m/>
    <d v="2016-11-26T00:00:00"/>
    <d v="2016-11-26T00:00:00"/>
    <s v="2183-16-0035-1"/>
    <n v="700"/>
    <n v="14050"/>
    <n v="37809.53"/>
    <n v="14056"/>
    <n v="37809.5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70668"/>
    <s v="P"/>
    <s v="Capitalized"/>
    <s v="35 Gallon Refuse Carts and Lids"/>
    <m/>
    <m/>
    <n v="950"/>
    <m/>
    <n v="0"/>
    <s v="TOTER LLC"/>
    <m/>
    <s v="CONTAINERS"/>
    <s v="TBA"/>
    <m/>
    <m/>
    <m/>
    <d v="2016-11-26T00:00:00"/>
    <d v="2016-11-26T00:00:00"/>
    <s v="2183-16-0035-1"/>
    <n v="700"/>
    <n v="14050"/>
    <n v="37597.57"/>
    <n v="14056"/>
    <n v="37597.5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70263"/>
    <n v="169999"/>
    <s v="Capitalized"/>
    <s v="License for Truck #5047"/>
    <m/>
    <m/>
    <n v="1"/>
    <m/>
    <n v="0"/>
    <s v="WA DOL"/>
    <m/>
    <s v="TRUCKS AND TRAILERS"/>
    <s v="TBA"/>
    <s v="Non-Rolling Stock"/>
    <m/>
    <m/>
    <d v="2016-11-21T00:00:00"/>
    <d v="2016-11-21T00:00:00"/>
    <s v="2183-16-0011-1"/>
    <n v="1000"/>
    <n v="14040"/>
    <n v="152.33000000000001"/>
    <n v="14046"/>
    <n v="112.96"/>
    <n v="0"/>
    <n v="39.370000000000019"/>
    <n v="5.08"/>
    <n v="51260"/>
    <n v="1.27"/>
    <n v="0"/>
    <n v="1.27"/>
    <s v="P"/>
    <m/>
    <m/>
    <s v=" "/>
    <x v="20"/>
    <s v="YES"/>
    <m/>
    <m/>
    <m/>
    <m/>
    <m/>
    <m/>
    <m/>
    <m/>
    <m/>
    <m/>
    <s v="No"/>
  </r>
  <r>
    <n v="2183"/>
    <n v="170262"/>
    <n v="170001"/>
    <s v="Capitalized"/>
    <s v="License for Truck # 5049"/>
    <m/>
    <m/>
    <n v="1"/>
    <m/>
    <n v="0"/>
    <s v="WA DOL"/>
    <m/>
    <s v="TRUCKS AND TRAILERS"/>
    <s v="TBA"/>
    <s v="Non-Rolling Stock"/>
    <m/>
    <m/>
    <d v="2016-11-04T00:00:00"/>
    <d v="2016-11-04T00:00:00"/>
    <s v="2183-16-0013-1"/>
    <n v="1000"/>
    <n v="14040"/>
    <n v="152.33000000000001"/>
    <n v="14046"/>
    <n v="114.23"/>
    <n v="0"/>
    <n v="38.100000000000009"/>
    <n v="5.08"/>
    <n v="51260"/>
    <n v="1.27"/>
    <n v="0"/>
    <n v="1.27"/>
    <s v="P"/>
    <m/>
    <m/>
    <s v=" "/>
    <x v="20"/>
    <s v="YES"/>
    <m/>
    <m/>
    <m/>
    <m/>
    <m/>
    <m/>
    <m/>
    <m/>
    <m/>
    <m/>
    <s v="No"/>
  </r>
  <r>
    <n v="2183"/>
    <n v="170171"/>
    <s v="P"/>
    <s v="Capitalized"/>
    <s v="(4) Truck lifts and forklift adapter"/>
    <m/>
    <m/>
    <n v="1"/>
    <m/>
    <n v="0"/>
    <s v="GRAY AUTOMOTIVE PRODUCTS "/>
    <m/>
    <s v="SHOP EQUIPMENT"/>
    <s v="TBA"/>
    <m/>
    <m/>
    <m/>
    <d v="2016-11-08T00:00:00"/>
    <d v="2016-11-08T00:00:00"/>
    <s v="2183-16-0038-1"/>
    <n v="500"/>
    <n v="14070"/>
    <n v="44611.57"/>
    <n v="14076"/>
    <n v="44611.5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70001"/>
    <s v="P"/>
    <s v="Capitalized"/>
    <s v="2017 Recycle Truck"/>
    <m/>
    <m/>
    <n v="1"/>
    <s v="3BPZHJ7X5HF173342"/>
    <n v="2017"/>
    <s v="Peterbilt"/>
    <s v="Kann"/>
    <s v="TRUCKS AND TRAILERS"/>
    <s v="TBA"/>
    <s v="Recycle Truck"/>
    <m/>
    <m/>
    <d v="2016-11-04T00:00:00"/>
    <d v="2016-11-04T00:00:00"/>
    <s v="2183-16-0013-1"/>
    <n v="1000"/>
    <n v="14040"/>
    <n v="230356.84"/>
    <n v="14046"/>
    <n v="172767.6"/>
    <n v="0"/>
    <n v="57589.239999999991"/>
    <n v="7678.56"/>
    <n v="51260"/>
    <n v="1919.64"/>
    <n v="0"/>
    <n v="1919.64"/>
    <s v="P"/>
    <m/>
    <n v="5049"/>
    <s v=" "/>
    <x v="20"/>
    <s v="YES"/>
    <m/>
    <m/>
    <m/>
    <m/>
    <m/>
    <m/>
    <m/>
    <m/>
    <m/>
    <m/>
    <s v="No"/>
  </r>
  <r>
    <n v="2183"/>
    <n v="170000"/>
    <s v="P"/>
    <s v="Capitalized"/>
    <s v="2017 Recycle Truck"/>
    <m/>
    <m/>
    <n v="1"/>
    <s v="3BPZHJ7X3HF173341"/>
    <n v="2017"/>
    <s v="Peterbilt"/>
    <s v="Kann"/>
    <s v="TRUCKS AND TRAILERS"/>
    <s v="TBA"/>
    <s v="Recycle Truck"/>
    <m/>
    <m/>
    <d v="2016-11-21T00:00:00"/>
    <d v="2016-11-21T00:00:00"/>
    <s v="2183-16-0012-1"/>
    <n v="1000"/>
    <n v="14040"/>
    <n v="230356.84"/>
    <n v="14046"/>
    <n v="170847.96"/>
    <n v="0"/>
    <n v="59508.880000000005"/>
    <n v="7678.56"/>
    <n v="51260"/>
    <n v="1919.64"/>
    <n v="0"/>
    <n v="1919.64"/>
    <s v="P"/>
    <m/>
    <n v="5048"/>
    <s v=" "/>
    <x v="20"/>
    <s v="YES"/>
    <m/>
    <m/>
    <m/>
    <m/>
    <m/>
    <m/>
    <m/>
    <m/>
    <m/>
    <m/>
    <s v="No"/>
  </r>
  <r>
    <n v="2183"/>
    <n v="169999"/>
    <s v="P"/>
    <s v="Capitalized"/>
    <s v="2017 Recycle Truck"/>
    <m/>
    <m/>
    <n v="1"/>
    <s v="3BPZHJ7X1HF173340"/>
    <n v="2017"/>
    <s v="Peterbilt"/>
    <s v="Kann"/>
    <s v="TRUCKS AND TRAILERS"/>
    <s v="TBA"/>
    <s v="Recycle Truck"/>
    <m/>
    <m/>
    <d v="2016-11-21T00:00:00"/>
    <d v="2016-11-21T00:00:00"/>
    <s v="2183-16-0011-1"/>
    <n v="1000"/>
    <n v="14040"/>
    <n v="230356.84"/>
    <n v="14046"/>
    <n v="170847.96"/>
    <n v="0"/>
    <n v="59508.880000000005"/>
    <n v="7678.56"/>
    <n v="51260"/>
    <n v="1919.64"/>
    <n v="0"/>
    <n v="1919.64"/>
    <s v="P"/>
    <m/>
    <n v="5047"/>
    <s v=" "/>
    <x v="20"/>
    <s v="YES"/>
    <m/>
    <m/>
    <m/>
    <m/>
    <m/>
    <m/>
    <m/>
    <m/>
    <m/>
    <m/>
    <s v="No"/>
  </r>
  <r>
    <n v="2183"/>
    <n v="169402"/>
    <s v="P"/>
    <s v="Capitalized"/>
    <s v="Upgrade shop lighting"/>
    <m/>
    <m/>
    <n v="1"/>
    <m/>
    <n v="0"/>
    <s v="SARE Electric"/>
    <m/>
    <s v="BUILDINGS"/>
    <s v="TBA"/>
    <m/>
    <m/>
    <m/>
    <d v="2016-08-24T00:00:00"/>
    <d v="2016-08-24T00:00:00"/>
    <s v="2183-16-0034-1"/>
    <n v="1000"/>
    <n v="14080"/>
    <n v="27577.19"/>
    <n v="14086"/>
    <n v="21142.52"/>
    <n v="0"/>
    <n v="6434.6699999999983"/>
    <n v="919.24"/>
    <n v="57260"/>
    <n v="229.81"/>
    <n v="0"/>
    <n v="229.81"/>
    <s v="P"/>
    <m/>
    <m/>
    <s v=" "/>
    <x v="20"/>
    <s v="YES"/>
    <m/>
    <m/>
    <m/>
    <m/>
    <m/>
    <m/>
    <m/>
    <m/>
    <m/>
    <m/>
    <s v="No"/>
  </r>
  <r>
    <n v="2183"/>
    <n v="169241"/>
    <n v="167233"/>
    <s v="Capitalized"/>
    <s v="Vehicle Registration"/>
    <m/>
    <m/>
    <n v="1"/>
    <m/>
    <n v="0"/>
    <s v="Ford"/>
    <m/>
    <s v="TRUCKS AND TRAILERS"/>
    <s v="TBA"/>
    <s v="Non-Rolling Stock"/>
    <m/>
    <m/>
    <d v="2016-09-19T00:00:00"/>
    <d v="2016-09-19T00:00:00"/>
    <s v="2183-16-0033-1"/>
    <n v="400"/>
    <n v="14040"/>
    <n v="2673.24"/>
    <n v="14046"/>
    <n v="2673.2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69041"/>
    <s v="P"/>
    <s v="Capitalized"/>
    <s v="2017 R/O Truck"/>
    <m/>
    <m/>
    <n v="1"/>
    <s v="1NPCX4EX3HD420029"/>
    <n v="2017"/>
    <s v="Peterbilt"/>
    <s v="AA Welding"/>
    <s v="TRUCKS AND TRAILERS"/>
    <s v="TBA"/>
    <s v="Roll Off"/>
    <m/>
    <m/>
    <d v="2016-10-03T00:00:00"/>
    <d v="2016-10-03T00:00:00"/>
    <s v="2183-16-0017-1"/>
    <n v="1000"/>
    <n v="14040"/>
    <n v="231607.35"/>
    <n v="14046"/>
    <n v="175635.6"/>
    <n v="0"/>
    <n v="55971.75"/>
    <n v="7720.24"/>
    <n v="51260"/>
    <n v="1930.06"/>
    <n v="0"/>
    <n v="1930.06"/>
    <s v="P"/>
    <m/>
    <n v="4076"/>
    <s v=" "/>
    <x v="20"/>
    <s v="YES"/>
    <m/>
    <m/>
    <m/>
    <m/>
    <m/>
    <m/>
    <m/>
    <m/>
    <m/>
    <m/>
    <s v="No"/>
  </r>
  <r>
    <n v="2183"/>
    <n v="168615"/>
    <s v="P"/>
    <s v="Capitalized"/>
    <s v="5 Yard Commercial Containers"/>
    <m/>
    <m/>
    <n v="6"/>
    <m/>
    <n v="0"/>
    <m/>
    <m/>
    <s v="CONTAINERS"/>
    <s v="TBA"/>
    <m/>
    <m/>
    <m/>
    <d v="2011-01-01T00:00:00"/>
    <d v="2011-01-01T00:00:00"/>
    <m/>
    <n v="300"/>
    <n v="14050"/>
    <n v="0.01"/>
    <n v="14056"/>
    <n v="0.0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67286"/>
    <s v="P"/>
    <s v="Capitalized"/>
    <s v="2 Yd Dumpsters"/>
    <m/>
    <m/>
    <n v="40"/>
    <m/>
    <n v="0"/>
    <s v="CAPITAL INDUSTRIES INC"/>
    <m/>
    <s v="CONTAINERS"/>
    <s v="TBA"/>
    <m/>
    <s v="2 YD"/>
    <s v="FEL/REL/SL Metal"/>
    <d v="2016-08-31T00:00:00"/>
    <d v="2016-08-31T00:00:00"/>
    <s v="2183-16-0031-1"/>
    <n v="1200"/>
    <n v="14050"/>
    <n v="23044.400000000001"/>
    <n v="14056"/>
    <n v="14722.83"/>
    <n v="0"/>
    <n v="8321.5700000000015"/>
    <n v="640.12"/>
    <n v="54260"/>
    <n v="160.03"/>
    <n v="0"/>
    <n v="160.03"/>
    <s v="P"/>
    <m/>
    <m/>
    <s v=" "/>
    <x v="20"/>
    <s v="YES"/>
    <m/>
    <m/>
    <m/>
    <m/>
    <m/>
    <m/>
    <m/>
    <m/>
    <m/>
    <m/>
    <s v="No"/>
  </r>
  <r>
    <n v="2183"/>
    <n v="167233"/>
    <s v="P"/>
    <s v="Capitalized"/>
    <s v="2016 Ford F150"/>
    <m/>
    <m/>
    <n v="1"/>
    <s v="1FTEX1E80GFC47659"/>
    <n v="2016"/>
    <s v="Ford"/>
    <s v="Ford"/>
    <s v="TRUCKS AND TRAILERS"/>
    <s v="TBA"/>
    <s v="Pickup Truck"/>
    <m/>
    <m/>
    <d v="2016-09-19T00:00:00"/>
    <d v="2016-09-19T00:00:00"/>
    <s v="2183-16-0033-1"/>
    <n v="400"/>
    <n v="14040"/>
    <n v="29202.25"/>
    <n v="14046"/>
    <n v="29202.25"/>
    <n v="0"/>
    <n v="0"/>
    <n v="0"/>
    <n v="51260"/>
    <n v="0"/>
    <n v="0"/>
    <n v="0"/>
    <s v="P"/>
    <m/>
    <n v="6056"/>
    <s v=" "/>
    <x v="20"/>
    <s v="YES"/>
    <m/>
    <m/>
    <m/>
    <m/>
    <m/>
    <m/>
    <m/>
    <m/>
    <m/>
    <m/>
    <s v="No"/>
  </r>
  <r>
    <n v="2183"/>
    <n v="166033"/>
    <s v="P"/>
    <s v="Capitalized"/>
    <s v="64 Gallon Refuse Carts and Lids"/>
    <m/>
    <m/>
    <n v="864"/>
    <m/>
    <n v="0"/>
    <s v="TOTER INCORPORATED"/>
    <m/>
    <s v="CONTAINERS"/>
    <s v="TBA"/>
    <m/>
    <m/>
    <m/>
    <d v="2016-07-20T00:00:00"/>
    <d v="2016-07-20T00:00:00"/>
    <s v="2183-16-0032-1"/>
    <n v="700"/>
    <n v="14050"/>
    <n v="36851.300000000003"/>
    <n v="14056"/>
    <n v="36851.30000000000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65694"/>
    <s v="P"/>
    <s v="Capitalized"/>
    <s v="3 40yd Roll Off Boxes"/>
    <m/>
    <m/>
    <n v="3"/>
    <m/>
    <n v="0"/>
    <s v="CAPITAL INDUSTRIES INC"/>
    <m/>
    <s v="CONTAINERS"/>
    <s v="TBA"/>
    <m/>
    <s v="40 YD"/>
    <s v="RO Box"/>
    <d v="2016-07-31T00:00:00"/>
    <d v="2016-07-31T00:00:00"/>
    <s v="2183-16-0031-1"/>
    <n v="1200"/>
    <n v="14050"/>
    <n v="19635"/>
    <n v="14056"/>
    <n v="12680.92"/>
    <n v="0"/>
    <n v="6954.08"/>
    <n v="545.4"/>
    <n v="54260"/>
    <n v="136.35"/>
    <n v="0"/>
    <n v="136.35"/>
    <s v="P"/>
    <m/>
    <m/>
    <s v=" "/>
    <x v="20"/>
    <s v="YES"/>
    <m/>
    <m/>
    <m/>
    <m/>
    <m/>
    <m/>
    <m/>
    <m/>
    <m/>
    <m/>
    <s v="No"/>
  </r>
  <r>
    <n v="2183"/>
    <n v="165693"/>
    <s v="P"/>
    <s v="Capitalized"/>
    <s v="35 Gallon Carts and Lids"/>
    <m/>
    <m/>
    <n v="950"/>
    <m/>
    <n v="0"/>
    <s v="TOTER INCORPORATED"/>
    <m/>
    <s v="CONTAINERS"/>
    <s v="TBA"/>
    <m/>
    <m/>
    <m/>
    <d v="2016-07-20T00:00:00"/>
    <d v="2016-07-20T00:00:00"/>
    <s v="2183-16-0032-1"/>
    <n v="700"/>
    <n v="14050"/>
    <n v="33156.589999999997"/>
    <n v="14056"/>
    <n v="33156.58999999999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65692"/>
    <s v="P"/>
    <s v="Capitalized"/>
    <s v="96 Gallon Yardwaste Carts and Lids"/>
    <m/>
    <m/>
    <n v="624"/>
    <m/>
    <n v="0"/>
    <s v="TOTER INCORPORATED"/>
    <m/>
    <s v="CONTAINERS"/>
    <s v="TBA"/>
    <m/>
    <m/>
    <m/>
    <d v="2016-06-28T00:00:00"/>
    <d v="2016-06-28T00:00:00"/>
    <s v="2183-16-0032-1"/>
    <n v="700"/>
    <n v="14050"/>
    <n v="30864.1"/>
    <n v="14056"/>
    <n v="30864.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65691"/>
    <s v="P"/>
    <s v="Capitalized"/>
    <s v="96 Gallon Refuse Carts and Lids"/>
    <m/>
    <m/>
    <n v="624"/>
    <m/>
    <n v="0"/>
    <s v="TOTER INCORPORATED"/>
    <m/>
    <s v="CONTAINERS"/>
    <s v="TBA"/>
    <m/>
    <m/>
    <m/>
    <d v="2016-06-28T00:00:00"/>
    <d v="2016-06-28T00:00:00"/>
    <s v="2183-16-0032-1"/>
    <n v="700"/>
    <n v="14050"/>
    <n v="30864.1"/>
    <n v="14056"/>
    <n v="30864.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9930"/>
    <n v="132279"/>
    <s v="Capitalized"/>
    <s v="(75) Setup fees for Route Tablets at 2183"/>
    <m/>
    <m/>
    <n v="1"/>
    <m/>
    <n v="0"/>
    <s v="Liquid Networx"/>
    <m/>
    <s v="HARDWARE AND SOFTWARE"/>
    <s v="TBA"/>
    <m/>
    <m/>
    <m/>
    <d v="2016-04-30T00:00:00"/>
    <d v="2016-04-30T00:00:00"/>
    <s v="2183-16-0024-1"/>
    <n v="100"/>
    <n v="14110"/>
    <n v="675"/>
    <n v="14116"/>
    <n v="67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9785"/>
    <n v="132279"/>
    <s v="Capitalized"/>
    <s v="(75) Tablet Mounting Hardware"/>
    <m/>
    <m/>
    <n v="1"/>
    <m/>
    <n v="0"/>
    <s v="ProClip"/>
    <m/>
    <s v="HARDWARE AND SOFTWARE"/>
    <s v="TBA"/>
    <m/>
    <m/>
    <m/>
    <d v="2016-04-30T00:00:00"/>
    <d v="2016-04-30T00:00:00"/>
    <s v="2183-16-0024-1"/>
    <n v="100"/>
    <n v="14110"/>
    <n v="16641.82"/>
    <n v="14116"/>
    <n v="16641.82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3138"/>
    <s v="P"/>
    <s v="Capitalized"/>
    <s v="HP SB PROBOOK 650"/>
    <m/>
    <m/>
    <n v="1"/>
    <m/>
    <n v="0"/>
    <s v="CDW"/>
    <m/>
    <s v="HARDWARE AND SOFTWARE"/>
    <s v="TBA"/>
    <m/>
    <m/>
    <m/>
    <d v="2016-02-16T00:00:00"/>
    <d v="2016-02-16T00:00:00"/>
    <s v="2183-16-0026-1"/>
    <n v="300"/>
    <n v="14110"/>
    <n v="1045.18"/>
    <n v="14116"/>
    <n v="1045.18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2591"/>
    <s v="P"/>
    <s v="Capitalized"/>
    <s v="40 Yd Containers with Lids"/>
    <m/>
    <m/>
    <n v="6"/>
    <m/>
    <n v="0"/>
    <s v="CAPITAL INDUSTRIES INC"/>
    <m/>
    <s v="CONTAINERS"/>
    <s v="TBA"/>
    <m/>
    <s v="40 YD"/>
    <s v="RO Box"/>
    <d v="2016-04-30T00:00:00"/>
    <d v="2016-04-30T00:00:00"/>
    <s v="2183-16-0029-1"/>
    <n v="1200"/>
    <n v="14050"/>
    <n v="39270"/>
    <n v="14056"/>
    <n v="26180.01"/>
    <n v="0"/>
    <n v="13089.990000000002"/>
    <n v="1090.8399999999999"/>
    <n v="54260"/>
    <n v="272.70999999999998"/>
    <n v="0"/>
    <n v="272.70999999999998"/>
    <s v="P"/>
    <m/>
    <m/>
    <s v=" "/>
    <x v="20"/>
    <s v="YES"/>
    <m/>
    <m/>
    <m/>
    <m/>
    <m/>
    <m/>
    <m/>
    <m/>
    <m/>
    <m/>
    <s v="No"/>
  </r>
  <r>
    <n v="2183"/>
    <n v="132482"/>
    <s v="P"/>
    <s v="Capitalized"/>
    <s v="1.5 Yd REL Container"/>
    <m/>
    <m/>
    <n v="15"/>
    <m/>
    <n v="0"/>
    <s v="CAPITAL INDUSTRIES INC"/>
    <m/>
    <s v="CONTAINERS"/>
    <s v="TBA"/>
    <m/>
    <s v="1.5 YD"/>
    <s v="FEL/REL/SL Metal"/>
    <d v="2016-04-29T00:00:00"/>
    <d v="2016-04-29T00:00:00"/>
    <s v="2183-16-0028-1"/>
    <n v="1200"/>
    <n v="14050"/>
    <n v="7092.68"/>
    <n v="14056"/>
    <n v="4728.46"/>
    <n v="0"/>
    <n v="2364.2200000000003"/>
    <n v="197"/>
    <n v="54260"/>
    <n v="49.25"/>
    <n v="0"/>
    <n v="49.25"/>
    <s v="P"/>
    <m/>
    <m/>
    <s v=" "/>
    <x v="20"/>
    <s v="YES"/>
    <m/>
    <m/>
    <m/>
    <m/>
    <m/>
    <m/>
    <m/>
    <m/>
    <m/>
    <m/>
    <s v="No"/>
  </r>
  <r>
    <n v="2183"/>
    <n v="132481"/>
    <s v="P"/>
    <s v="Capitalized"/>
    <s v="1 Yd Rear Load Containers"/>
    <m/>
    <m/>
    <n v="25"/>
    <m/>
    <n v="0"/>
    <s v="CAPITAL INDUSTRIES INC"/>
    <m/>
    <s v="CONTAINERS"/>
    <s v="TBA"/>
    <m/>
    <s v="1 YD"/>
    <s v="FEL/REL/SL Metal"/>
    <d v="2016-04-29T00:00:00"/>
    <d v="2016-04-29T00:00:00"/>
    <s v="2183-16-0028-2"/>
    <n v="1200"/>
    <n v="14050"/>
    <n v="10870"/>
    <n v="14056"/>
    <n v="7246.66"/>
    <n v="0"/>
    <n v="3623.34"/>
    <n v="301.95999999999998"/>
    <n v="54260"/>
    <n v="75.489999999999995"/>
    <n v="0"/>
    <n v="75.489999999999995"/>
    <s v="P"/>
    <m/>
    <m/>
    <s v=" "/>
    <x v="20"/>
    <s v="YES"/>
    <m/>
    <m/>
    <m/>
    <m/>
    <m/>
    <m/>
    <m/>
    <m/>
    <m/>
    <m/>
    <s v="No"/>
  </r>
  <r>
    <n v="2183"/>
    <n v="132480"/>
    <s v="P"/>
    <s v="Capitalized"/>
    <s v="3 Yd FEL Containers"/>
    <m/>
    <m/>
    <n v="10"/>
    <m/>
    <n v="0"/>
    <s v="CAPITAL INDUSTRIES INC"/>
    <m/>
    <s v="CONTAINERS"/>
    <s v="TBA"/>
    <m/>
    <s v="3 YD"/>
    <s v="FEL/REL/SL Metal"/>
    <d v="2016-04-29T00:00:00"/>
    <d v="2016-04-29T00:00:00"/>
    <s v="2183-16-0028-2"/>
    <n v="1200"/>
    <n v="14050"/>
    <n v="6282.86"/>
    <n v="14056"/>
    <n v="4188.5600000000004"/>
    <n v="0"/>
    <n v="2094.2999999999993"/>
    <n v="174.52"/>
    <n v="54260"/>
    <n v="43.63"/>
    <n v="0"/>
    <n v="43.63"/>
    <s v="P"/>
    <m/>
    <m/>
    <s v=" "/>
    <x v="20"/>
    <s v="YES"/>
    <m/>
    <m/>
    <m/>
    <m/>
    <m/>
    <m/>
    <m/>
    <m/>
    <m/>
    <m/>
    <s v="No"/>
  </r>
  <r>
    <n v="2183"/>
    <n v="132479"/>
    <s v="P"/>
    <s v="Capitalized"/>
    <s v="30 Yd Containers"/>
    <m/>
    <m/>
    <n v="3"/>
    <m/>
    <n v="0"/>
    <s v="CAPITAL INDUSTRIES INC"/>
    <m/>
    <s v="CONTAINERS"/>
    <s v="TBA"/>
    <m/>
    <s v="30 YD"/>
    <s v="RO Box"/>
    <d v="2016-04-26T00:00:00"/>
    <d v="2016-04-26T00:00:00"/>
    <s v="2183-16-0029-1"/>
    <n v="1200"/>
    <n v="14050"/>
    <n v="17610"/>
    <n v="14056"/>
    <n v="11739.99"/>
    <n v="0"/>
    <n v="5870.01"/>
    <n v="489.16"/>
    <n v="54260"/>
    <n v="122.29"/>
    <n v="0"/>
    <n v="122.29"/>
    <s v="P"/>
    <m/>
    <m/>
    <s v=" "/>
    <x v="20"/>
    <s v="YES"/>
    <m/>
    <m/>
    <m/>
    <m/>
    <m/>
    <m/>
    <m/>
    <m/>
    <m/>
    <m/>
    <s v="No"/>
  </r>
  <r>
    <n v="2183"/>
    <n v="132478"/>
    <s v="P"/>
    <s v="Capitalized"/>
    <s v="6 Yd Front Load Containers"/>
    <m/>
    <m/>
    <n v="15"/>
    <m/>
    <n v="0"/>
    <s v="CAPITAL INDUSTRIES INC"/>
    <m/>
    <s v="CONTAINERS"/>
    <s v="TBA"/>
    <m/>
    <s v="6 YD"/>
    <s v="FEL/REL/SL Metal"/>
    <d v="2016-04-18T00:00:00"/>
    <d v="2016-04-18T00:00:00"/>
    <s v="2183-16-0028-1"/>
    <n v="1200"/>
    <n v="14050"/>
    <n v="12636.38"/>
    <n v="14056"/>
    <n v="8424.23"/>
    <n v="0"/>
    <n v="4212.1499999999996"/>
    <n v="351"/>
    <n v="54260"/>
    <n v="87.75"/>
    <n v="0"/>
    <n v="87.75"/>
    <s v="P"/>
    <m/>
    <m/>
    <s v=" "/>
    <x v="20"/>
    <s v="YES"/>
    <m/>
    <m/>
    <m/>
    <m/>
    <m/>
    <m/>
    <m/>
    <m/>
    <m/>
    <m/>
    <s v="No"/>
  </r>
  <r>
    <n v="2183"/>
    <n v="132279"/>
    <s v="P"/>
    <s v="Capitalized"/>
    <s v="(75) Samsung Tab E  Tablets"/>
    <m/>
    <m/>
    <n v="1"/>
    <m/>
    <n v="0"/>
    <s v="Verizon Wireless"/>
    <m/>
    <s v="HARDWARE AND SOFTWARE"/>
    <s v="TBA"/>
    <m/>
    <m/>
    <m/>
    <d v="2016-04-30T00:00:00"/>
    <d v="2016-04-30T00:00:00"/>
    <s v="2183-16-0024-1"/>
    <n v="100"/>
    <n v="14110"/>
    <n v="14612.94"/>
    <n v="14116"/>
    <n v="14612.9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1777"/>
    <s v="P"/>
    <s v="Capitalized"/>
    <s v="96 Gallon Forest Green w/ Green"/>
    <m/>
    <m/>
    <n v="312"/>
    <m/>
    <n v="0"/>
    <s v="TOTER INCORPORATED"/>
    <m/>
    <s v="CONTAINERS"/>
    <s v="TBA"/>
    <m/>
    <m/>
    <m/>
    <d v="2016-03-14T00:00:00"/>
    <d v="2016-03-14T00:00:00"/>
    <s v="2183-16-0027-1"/>
    <n v="700"/>
    <n v="14050"/>
    <n v="15417.47"/>
    <n v="14056"/>
    <n v="15417.4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1776"/>
    <s v="P"/>
    <s v="Capitalized"/>
    <s v="96 Gallon Forest Green w/ Blue Lid"/>
    <m/>
    <m/>
    <n v="312"/>
    <m/>
    <n v="0"/>
    <s v="TOTER INCORPORATED"/>
    <m/>
    <s v="CONTAINERS"/>
    <s v="TBA"/>
    <m/>
    <m/>
    <m/>
    <d v="2016-03-14T00:00:00"/>
    <d v="2016-03-14T00:00:00"/>
    <s v="2183-16-0027-1"/>
    <n v="700"/>
    <n v="14050"/>
    <n v="15417.47"/>
    <n v="14056"/>
    <n v="15417.4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1756"/>
    <s v="P"/>
    <s v="Capitalized"/>
    <s v="35 gal Garbage cart"/>
    <m/>
    <m/>
    <n v="840"/>
    <m/>
    <n v="0"/>
    <s v="TOTER INCORPORATED"/>
    <m/>
    <s v="CONTAINERS"/>
    <s v="TBA"/>
    <m/>
    <m/>
    <m/>
    <d v="2016-04-01T00:00:00"/>
    <d v="2016-04-01T00:00:00"/>
    <s v="2183-16-0027-1"/>
    <n v="700"/>
    <n v="14050"/>
    <n v="29504.44"/>
    <n v="14056"/>
    <n v="29504.44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31197"/>
    <s v="P"/>
    <s v="Capitalized"/>
    <s v="96 Gallon Refuse Carts and Lids"/>
    <m/>
    <m/>
    <n v="624"/>
    <m/>
    <n v="0"/>
    <s v="TOTER INCORPORATED"/>
    <m/>
    <s v="CONTAINERS"/>
    <s v="TBA"/>
    <m/>
    <m/>
    <m/>
    <d v="2016-03-29T00:00:00"/>
    <d v="2016-03-29T00:00:00"/>
    <s v="2183-16-0027-1"/>
    <n v="700"/>
    <n v="14050"/>
    <n v="30834.93"/>
    <n v="14056"/>
    <n v="30834.9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9324"/>
    <s v="P"/>
    <s v="Capitalized"/>
    <s v="35 Gallon Green Refuse Carts a Black Lids"/>
    <m/>
    <m/>
    <n v="500"/>
    <m/>
    <n v="0"/>
    <s v="TOTER INCORPORATED"/>
    <m/>
    <s v="CONTAINERS"/>
    <s v="TBA"/>
    <m/>
    <m/>
    <m/>
    <d v="2016-01-01T00:00:00"/>
    <d v="2016-01-01T00:00:00"/>
    <s v="2183-15-0033-1"/>
    <n v="611"/>
    <n v="14050"/>
    <n v="17256.13"/>
    <n v="14056"/>
    <n v="17256.1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8910"/>
    <s v="P"/>
    <s v="Capitalized"/>
    <s v="HP SB Probook 650 G1"/>
    <m/>
    <m/>
    <n v="1"/>
    <m/>
    <n v="0"/>
    <s v="CDW"/>
    <m/>
    <s v="HARDWARE AND SOFTWARE"/>
    <s v="TBA"/>
    <m/>
    <m/>
    <m/>
    <d v="2015-12-08T00:00:00"/>
    <d v="2015-12-08T00:00:00"/>
    <s v="2183-15-0037-1"/>
    <n v="300"/>
    <n v="14110"/>
    <n v="1087.92"/>
    <n v="14116"/>
    <n v="1087.92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8674"/>
    <s v="P"/>
    <s v="Capitalized"/>
    <s v="2016 ASL Truck"/>
    <m/>
    <m/>
    <n v="1"/>
    <s v="3BPZL70X2GF100844"/>
    <n v="2016"/>
    <s v="Peterbilt"/>
    <s v="Wayne"/>
    <s v="TRUCKS AND TRAILERS"/>
    <s v="TBA"/>
    <s v="Automated Side Loader"/>
    <m/>
    <m/>
    <d v="2015-12-23T00:00:00"/>
    <d v="2015-12-23T00:00:00"/>
    <s v="2183-15-0009-1"/>
    <n v="1000"/>
    <n v="14040"/>
    <n v="340829.73"/>
    <n v="14046"/>
    <n v="284024.76"/>
    <n v="0"/>
    <n v="56804.969999999972"/>
    <n v="11361"/>
    <n v="51260"/>
    <n v="2840.25"/>
    <n v="0"/>
    <n v="2840.25"/>
    <s v="P"/>
    <m/>
    <n v="3645"/>
    <s v=" "/>
    <x v="20"/>
    <s v="YES"/>
    <m/>
    <m/>
    <m/>
    <m/>
    <m/>
    <m/>
    <m/>
    <m/>
    <m/>
    <m/>
    <s v="No"/>
  </r>
  <r>
    <n v="2183"/>
    <n v="128673"/>
    <s v="P"/>
    <s v="Capitalized"/>
    <s v="2016 REL Truck"/>
    <m/>
    <m/>
    <n v="1"/>
    <s v="3BPZL70X3GF100626"/>
    <n v="2016"/>
    <s v="Peterbilt"/>
    <s v="Neway"/>
    <s v="TRUCKS AND TRAILERS"/>
    <s v="TBA"/>
    <s v="Rear Loader"/>
    <m/>
    <m/>
    <d v="2015-12-31T00:00:00"/>
    <d v="2015-12-31T00:00:00"/>
    <s v="2183-15-0008-1"/>
    <n v="1000"/>
    <n v="14040"/>
    <n v="291925.26"/>
    <n v="14046"/>
    <n v="243271.08"/>
    <n v="0"/>
    <n v="48654.180000000022"/>
    <n v="9730.84"/>
    <n v="51260"/>
    <n v="2432.71"/>
    <n v="0"/>
    <n v="2432.71"/>
    <s v="P"/>
    <m/>
    <n v="1073"/>
    <s v=" "/>
    <x v="20"/>
    <s v="YES"/>
    <m/>
    <m/>
    <m/>
    <m/>
    <m/>
    <m/>
    <m/>
    <m/>
    <m/>
    <m/>
    <s v="No"/>
  </r>
  <r>
    <n v="2183"/>
    <n v="128432"/>
    <s v="P"/>
    <s v="Capitalized"/>
    <s v="JLG 1932RS Scissor Lift"/>
    <m/>
    <m/>
    <n v="1"/>
    <n v="200254278"/>
    <n v="2015"/>
    <s v="JLG"/>
    <s v="N/A"/>
    <s v="HEAVY EQUIPMENT"/>
    <s v="TBA"/>
    <s v="Forklift"/>
    <m/>
    <m/>
    <d v="2015-12-21T00:00:00"/>
    <d v="2015-12-21T00:00:00"/>
    <s v="2183-15-0036-1"/>
    <n v="900"/>
    <n v="14030"/>
    <n v="11848.3"/>
    <n v="14036"/>
    <n v="10970.68"/>
    <n v="0"/>
    <n v="877.61999999999898"/>
    <n v="438.84"/>
    <n v="51260"/>
    <n v="109.71"/>
    <n v="0"/>
    <n v="109.71"/>
    <s v="P"/>
    <m/>
    <n v="7966"/>
    <s v=" "/>
    <x v="20"/>
    <s v="YES"/>
    <m/>
    <m/>
    <m/>
    <m/>
    <m/>
    <m/>
    <m/>
    <m/>
    <m/>
    <m/>
    <s v="No"/>
  </r>
  <r>
    <n v="2183"/>
    <n v="128183"/>
    <s v="P"/>
    <s v="Capitalized"/>
    <s v="96  Gallon Green Refuse Carts and Black Lids"/>
    <m/>
    <m/>
    <n v="288"/>
    <m/>
    <n v="0"/>
    <s v="TOTER INCORPORATED"/>
    <m/>
    <s v="CONTAINERS"/>
    <s v="TBA"/>
    <m/>
    <m/>
    <m/>
    <d v="2015-11-25T00:00:00"/>
    <d v="2015-11-25T00:00:00"/>
    <s v="2183-15-0033-1"/>
    <n v="700"/>
    <n v="14050"/>
    <n v="16008.28"/>
    <n v="14056"/>
    <n v="16008.2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8182"/>
    <s v="P"/>
    <s v="Capitalized"/>
    <s v="96 Gallon Recycle Carts"/>
    <m/>
    <m/>
    <n v="624"/>
    <m/>
    <n v="0"/>
    <s v="TOTER INCORPORATED"/>
    <m/>
    <s v="CONTAINERS"/>
    <s v="TBA"/>
    <m/>
    <m/>
    <m/>
    <d v="2015-11-17T00:00:00"/>
    <d v="2015-11-17T00:00:00"/>
    <s v="2183-15-0033-1"/>
    <n v="700"/>
    <n v="14050"/>
    <n v="32078.49"/>
    <n v="14056"/>
    <n v="32078.4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8181"/>
    <s v="P"/>
    <s v="Capitalized"/>
    <s v="96 Gallon Recycle Carts"/>
    <m/>
    <m/>
    <n v="624"/>
    <m/>
    <n v="0"/>
    <s v="TOTER INCORPORATED"/>
    <m/>
    <s v="CONTAINERS"/>
    <s v="TBA"/>
    <m/>
    <m/>
    <m/>
    <d v="2015-10-03T00:00:00"/>
    <d v="2015-10-03T00:00:00"/>
    <s v="2183-15-0032-1"/>
    <n v="700"/>
    <n v="14050"/>
    <n v="31816.22"/>
    <n v="14056"/>
    <n v="31816.2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7478"/>
    <s v="P"/>
    <s v="Capitalized"/>
    <s v="64 Gallon Forest Green Refuse Carts w/Black Lids"/>
    <m/>
    <m/>
    <n v="864"/>
    <m/>
    <n v="0"/>
    <s v="TOTER INCORPORATED"/>
    <m/>
    <s v="CONTAINERS"/>
    <s v="TBA"/>
    <m/>
    <m/>
    <m/>
    <d v="2015-11-12T00:00:00"/>
    <d v="2015-11-12T00:00:00"/>
    <s v="2183-15-0033-1"/>
    <n v="700"/>
    <n v="14050"/>
    <n v="39330.959999999999"/>
    <n v="14056"/>
    <n v="39330.95999999999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6867"/>
    <s v="P"/>
    <s v="Capitalized"/>
    <s v="5 Yd FEL Containers"/>
    <m/>
    <m/>
    <n v="5"/>
    <m/>
    <n v="0"/>
    <s v="CAPITAL INDUSTRIES, INC."/>
    <m/>
    <s v="CONTAINERS"/>
    <s v="TBA"/>
    <m/>
    <s v="5 YD"/>
    <s v="FEL/REL/SL Metal"/>
    <d v="2015-10-20T00:00:00"/>
    <d v="2015-10-20T00:00:00"/>
    <s v="2183-15-0031-2"/>
    <n v="1200"/>
    <n v="14050"/>
    <n v="4864.33"/>
    <n v="14056"/>
    <n v="3445.56"/>
    <n v="0"/>
    <n v="1418.77"/>
    <n v="135.12"/>
    <n v="54260"/>
    <n v="33.78"/>
    <n v="0"/>
    <n v="33.78"/>
    <s v="P"/>
    <m/>
    <m/>
    <s v=" "/>
    <x v="20"/>
    <s v="YES"/>
    <m/>
    <m/>
    <m/>
    <m/>
    <m/>
    <m/>
    <m/>
    <m/>
    <m/>
    <m/>
    <s v="No"/>
  </r>
  <r>
    <n v="2183"/>
    <n v="126833"/>
    <s v="P"/>
    <s v="Capitalized"/>
    <s v="2Yd Rear Load Containers"/>
    <m/>
    <m/>
    <n v="15"/>
    <m/>
    <n v="0"/>
    <s v="CAPITAL INDUSTRIES, INC."/>
    <m/>
    <s v="CONTAINERS"/>
    <s v="TBA"/>
    <m/>
    <s v="2 YD"/>
    <s v="FEL/REL/SL Metal"/>
    <d v="2015-10-20T00:00:00"/>
    <d v="2015-10-20T00:00:00"/>
    <s v="2183-15-0031-2"/>
    <n v="1200"/>
    <n v="14050"/>
    <n v="7092.68"/>
    <n v="14056"/>
    <n v="5023.99"/>
    <n v="0"/>
    <n v="2068.6900000000005"/>
    <n v="197"/>
    <n v="54260"/>
    <n v="49.25"/>
    <n v="0"/>
    <n v="49.25"/>
    <s v="P"/>
    <m/>
    <m/>
    <s v=" "/>
    <x v="20"/>
    <s v="YES"/>
    <m/>
    <m/>
    <m/>
    <m/>
    <m/>
    <m/>
    <m/>
    <m/>
    <m/>
    <m/>
    <s v="No"/>
  </r>
  <r>
    <n v="2183"/>
    <n v="126832"/>
    <s v="P"/>
    <s v="Capitalized"/>
    <s v="6 Yd Front Load Containers"/>
    <m/>
    <m/>
    <n v="2"/>
    <m/>
    <n v="0"/>
    <s v="CAPITAL INDUSTRIES, INC."/>
    <m/>
    <s v="CONTAINERS"/>
    <s v="TBA"/>
    <m/>
    <s v="6 YD"/>
    <s v="FEL/REL/SL Metal"/>
    <d v="2015-10-15T00:00:00"/>
    <d v="2015-10-15T00:00:00"/>
    <s v="2183-15-0031-1"/>
    <n v="1200"/>
    <n v="14050"/>
    <n v="1728.33"/>
    <n v="14056"/>
    <n v="1236.25"/>
    <n v="0"/>
    <n v="492.07999999999993"/>
    <n v="48"/>
    <n v="54260"/>
    <n v="12"/>
    <n v="0"/>
    <n v="12"/>
    <s v="P"/>
    <m/>
    <m/>
    <s v=" "/>
    <x v="20"/>
    <s v="YES"/>
    <m/>
    <m/>
    <m/>
    <m/>
    <m/>
    <m/>
    <m/>
    <m/>
    <m/>
    <m/>
    <s v="No"/>
  </r>
  <r>
    <n v="2183"/>
    <n v="126751"/>
    <s v="P"/>
    <s v="Capitalized"/>
    <s v="6 Yd Front Load Containers"/>
    <m/>
    <m/>
    <n v="3"/>
    <m/>
    <n v="0"/>
    <s v="CAPITAL INDUSTRIES, INC."/>
    <m/>
    <s v="CONTAINERS"/>
    <s v="TBA"/>
    <m/>
    <s v="6 YD"/>
    <s v="FEL/REL/SL Metal"/>
    <d v="2015-10-15T00:00:00"/>
    <d v="2015-10-15T00:00:00"/>
    <s v="2183-15-0031-1"/>
    <n v="1200"/>
    <n v="14050"/>
    <n v="2592.5"/>
    <n v="14056"/>
    <n v="1854.33"/>
    <n v="0"/>
    <n v="738.17000000000007"/>
    <n v="72"/>
    <n v="54260"/>
    <n v="18"/>
    <n v="0"/>
    <n v="18"/>
    <s v="P"/>
    <m/>
    <m/>
    <s v=" "/>
    <x v="20"/>
    <s v="YES"/>
    <m/>
    <m/>
    <m/>
    <m/>
    <m/>
    <m/>
    <m/>
    <m/>
    <m/>
    <m/>
    <s v="No"/>
  </r>
  <r>
    <n v="2183"/>
    <n v="126750"/>
    <s v="P"/>
    <s v="Capitalized"/>
    <s v="1 Yd Rear Load Containers"/>
    <m/>
    <m/>
    <n v="15"/>
    <m/>
    <n v="0"/>
    <s v="CAPITAL INDUSTRIES, INC."/>
    <m/>
    <s v="CONTAINERS"/>
    <s v="TBA"/>
    <m/>
    <s v="1 YD"/>
    <s v="FEL/REL/SL Metal"/>
    <d v="2015-10-15T00:00:00"/>
    <d v="2015-10-15T00:00:00"/>
    <s v="2183-15-0031-1"/>
    <n v="1200"/>
    <n v="14050"/>
    <n v="6522"/>
    <n v="14056"/>
    <n v="4665.04"/>
    <n v="0"/>
    <n v="1856.96"/>
    <n v="181.16"/>
    <n v="54260"/>
    <n v="45.29"/>
    <n v="0"/>
    <n v="45.29"/>
    <s v="P"/>
    <m/>
    <m/>
    <s v=" "/>
    <x v="20"/>
    <s v="YES"/>
    <m/>
    <m/>
    <m/>
    <m/>
    <m/>
    <m/>
    <m/>
    <m/>
    <m/>
    <m/>
    <s v="No"/>
  </r>
  <r>
    <n v="2183"/>
    <n v="126736"/>
    <s v="P"/>
    <s v="Capitalized"/>
    <s v="35 Gallon Green Refuse Containers with Black Lids"/>
    <m/>
    <m/>
    <n v="1140"/>
    <m/>
    <n v="0"/>
    <s v="TOTER INCORPORATED"/>
    <m/>
    <s v="CONTAINERS"/>
    <s v="TBA"/>
    <m/>
    <m/>
    <m/>
    <d v="2015-09-23T00:00:00"/>
    <d v="2015-09-23T00:00:00"/>
    <s v="2183-15-0032-1"/>
    <n v="700"/>
    <n v="14050"/>
    <n v="39343.97"/>
    <n v="14056"/>
    <n v="39343.9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6474"/>
    <s v="P"/>
    <s v="Capitalized"/>
    <s v="64 Gallon Green Refuse Containers and Black Lids"/>
    <m/>
    <m/>
    <n v="432"/>
    <m/>
    <n v="0"/>
    <s v="TOTER INCORPORATED"/>
    <m/>
    <s v="CONTAINERS"/>
    <s v="TBA"/>
    <m/>
    <m/>
    <m/>
    <d v="2015-09-23T00:00:00"/>
    <d v="2015-09-23T00:00:00"/>
    <s v="2183-15-0032-1"/>
    <n v="700"/>
    <n v="14050"/>
    <n v="20520.12"/>
    <n v="14056"/>
    <n v="20520.1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6473"/>
    <s v="P"/>
    <s v="Capitalized"/>
    <s v="96 Gallon Green Refuse Containers with Black Lids"/>
    <m/>
    <m/>
    <n v="312"/>
    <m/>
    <n v="0"/>
    <s v="TOTER INCORPORATED"/>
    <m/>
    <s v="CONTAINERS"/>
    <s v="TBA"/>
    <m/>
    <m/>
    <m/>
    <d v="2015-09-23T00:00:00"/>
    <d v="2015-09-23T00:00:00"/>
    <s v="2183-15-0032-1"/>
    <n v="700"/>
    <n v="14050"/>
    <n v="16893.89"/>
    <n v="14056"/>
    <n v="16893.8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6472"/>
    <s v="P"/>
    <s v="Capitalized"/>
    <s v="3Yd FEL Containers"/>
    <m/>
    <m/>
    <n v="10"/>
    <m/>
    <n v="0"/>
    <s v="CAPITAL INDUSTRIES, INC."/>
    <m/>
    <s v="CONTAINERS"/>
    <s v="TBA"/>
    <m/>
    <s v="3 YD"/>
    <s v="FEL/REL/SL Metal"/>
    <d v="2015-10-09T00:00:00"/>
    <d v="2015-10-09T00:00:00"/>
    <s v="2183-15-0031-1"/>
    <n v="1200"/>
    <n v="14050"/>
    <n v="6282.86"/>
    <n v="14056"/>
    <n v="4493.97"/>
    <n v="0"/>
    <n v="1788.8899999999994"/>
    <n v="174.52"/>
    <n v="54260"/>
    <n v="43.63"/>
    <n v="0"/>
    <n v="43.63"/>
    <s v="P"/>
    <m/>
    <m/>
    <s v=" "/>
    <x v="20"/>
    <s v="YES"/>
    <m/>
    <m/>
    <m/>
    <m/>
    <m/>
    <m/>
    <m/>
    <m/>
    <m/>
    <m/>
    <s v="No"/>
  </r>
  <r>
    <n v="2183"/>
    <n v="126400"/>
    <s v="P"/>
    <s v="Capitalized"/>
    <s v="Landa Pressure Washer"/>
    <m/>
    <m/>
    <n v="1"/>
    <m/>
    <n v="0"/>
    <m/>
    <m/>
    <s v="SHOP EQUIPMENT"/>
    <s v="TBA"/>
    <m/>
    <m/>
    <m/>
    <d v="2015-09-01T00:00:00"/>
    <d v="2015-09-01T00:00:00"/>
    <s v="2183-15-0029-1"/>
    <n v="500"/>
    <n v="14070"/>
    <n v="11499.37"/>
    <n v="14076"/>
    <n v="11499.3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5758"/>
    <n v="126400"/>
    <s v="Capitalized"/>
    <s v="Part and Installation Landa Pressure Washer"/>
    <m/>
    <m/>
    <n v="1"/>
    <m/>
    <n v="0"/>
    <s v="AMB TOOLS"/>
    <m/>
    <s v="SHOP EQUIPMENT"/>
    <s v="TBA"/>
    <m/>
    <m/>
    <m/>
    <d v="2015-09-01T00:00:00"/>
    <d v="2015-09-01T00:00:00"/>
    <s v="2183-15-0029-1"/>
    <n v="500"/>
    <n v="14070"/>
    <n v="1195.7"/>
    <n v="14076"/>
    <n v="1195.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5074"/>
    <s v="P"/>
    <s v="Capitalized"/>
    <s v="Parking Lot Paving"/>
    <m/>
    <m/>
    <n v="1"/>
    <m/>
    <n v="0"/>
    <s v="JIMINI CONSTRUCTION"/>
    <m/>
    <s v="LAND IMPROVEMENTS"/>
    <s v="TBA"/>
    <m/>
    <m/>
    <m/>
    <d v="2015-07-26T00:00:00"/>
    <d v="2015-07-26T00:00:00"/>
    <s v="2183-15-0028-1"/>
    <n v="1000"/>
    <n v="14010"/>
    <n v="5978.5"/>
    <n v="14016"/>
    <n v="5231.1899999999996"/>
    <n v="0"/>
    <n v="747.3100000000004"/>
    <n v="199.28"/>
    <n v="57260"/>
    <n v="49.82"/>
    <n v="0"/>
    <n v="49.82"/>
    <s v="P"/>
    <m/>
    <m/>
    <s v=" "/>
    <x v="20"/>
    <s v="YES"/>
    <m/>
    <m/>
    <m/>
    <m/>
    <m/>
    <m/>
    <m/>
    <m/>
    <m/>
    <m/>
    <s v="No"/>
  </r>
  <r>
    <n v="2183"/>
    <n v="124973"/>
    <s v="P"/>
    <s v="Capitalized"/>
    <s v="2 Yd RL Containers"/>
    <m/>
    <m/>
    <n v="11"/>
    <m/>
    <n v="0"/>
    <s v="RULE STEEL TANK"/>
    <m/>
    <s v="CONTAINERS"/>
    <s v="TBA"/>
    <m/>
    <s v="2 YD"/>
    <s v="FEL/REL/SL Metal"/>
    <d v="2015-07-31T00:00:00"/>
    <d v="2015-07-31T00:00:00"/>
    <s v="2183-15-0025-1"/>
    <n v="1200"/>
    <n v="14050"/>
    <n v="6028.5"/>
    <n v="14056"/>
    <n v="4395.8"/>
    <n v="0"/>
    <n v="1632.6999999999998"/>
    <n v="167.44"/>
    <n v="54260"/>
    <n v="41.86"/>
    <n v="0"/>
    <n v="41.86"/>
    <s v="P"/>
    <m/>
    <m/>
    <s v=" "/>
    <x v="20"/>
    <s v="YES"/>
    <m/>
    <m/>
    <m/>
    <m/>
    <m/>
    <m/>
    <m/>
    <m/>
    <m/>
    <m/>
    <s v="No"/>
  </r>
  <r>
    <n v="2183"/>
    <n v="124972"/>
    <s v="P"/>
    <s v="Capitalized"/>
    <s v="1.5 Yd RL Containers"/>
    <m/>
    <m/>
    <n v="11"/>
    <m/>
    <n v="0"/>
    <s v="RULE STEEL TANK"/>
    <m/>
    <s v="CONTAINERS"/>
    <s v="TBA"/>
    <m/>
    <s v="1.5 YD"/>
    <s v="FEL/REL/SL Metal"/>
    <d v="2015-07-31T00:00:00"/>
    <d v="2015-07-31T00:00:00"/>
    <s v="2183-15-0025-1"/>
    <n v="1200"/>
    <n v="14050"/>
    <n v="5705.66"/>
    <n v="14056"/>
    <n v="4160.17"/>
    <n v="0"/>
    <n v="1545.4899999999998"/>
    <n v="158.47999999999999"/>
    <n v="54260"/>
    <n v="39.619999999999997"/>
    <n v="0"/>
    <n v="39.619999999999997"/>
    <s v="P"/>
    <m/>
    <m/>
    <s v=" "/>
    <x v="20"/>
    <s v="YES"/>
    <m/>
    <m/>
    <m/>
    <m/>
    <m/>
    <m/>
    <m/>
    <m/>
    <m/>
    <m/>
    <s v="No"/>
  </r>
  <r>
    <n v="2183"/>
    <n v="124971"/>
    <s v="P"/>
    <s v="Capitalized"/>
    <s v="1 Yd RL Containers"/>
    <m/>
    <m/>
    <n v="11"/>
    <m/>
    <n v="0"/>
    <s v="RULE STEEL TANK"/>
    <m/>
    <s v="CONTAINERS"/>
    <s v="TBA"/>
    <m/>
    <s v="1 YD"/>
    <s v="FEL/REL/SL Metal"/>
    <d v="2015-07-31T00:00:00"/>
    <d v="2015-07-31T00:00:00"/>
    <s v="2183-15-0025-1"/>
    <n v="1200"/>
    <n v="14050"/>
    <n v="5287.17"/>
    <n v="14056"/>
    <n v="3855.26"/>
    <n v="0"/>
    <n v="1431.9099999999999"/>
    <n v="146.88"/>
    <n v="54260"/>
    <n v="36.72"/>
    <n v="0"/>
    <n v="36.72"/>
    <s v="P"/>
    <m/>
    <m/>
    <s v=" "/>
    <x v="20"/>
    <s v="YES"/>
    <m/>
    <m/>
    <m/>
    <m/>
    <m/>
    <m/>
    <m/>
    <m/>
    <m/>
    <m/>
    <s v="No"/>
  </r>
  <r>
    <n v="2183"/>
    <n v="124970"/>
    <s v="P"/>
    <s v="Capitalized"/>
    <s v="6 Yd FL Containers"/>
    <m/>
    <m/>
    <n v="11"/>
    <m/>
    <n v="0"/>
    <s v="RULE STEEL TANK"/>
    <m/>
    <s v="CONTAINERS"/>
    <s v="TBA"/>
    <m/>
    <s v="6 YD"/>
    <s v="FEL/REL/SL Metal"/>
    <d v="2015-07-31T00:00:00"/>
    <d v="2015-07-31T00:00:00"/>
    <s v="2183-15-0025-1"/>
    <n v="1200"/>
    <n v="14050"/>
    <n v="8862.32"/>
    <n v="14056"/>
    <n v="6462.12"/>
    <n v="0"/>
    <n v="2400.1999999999998"/>
    <n v="246.16"/>
    <n v="54260"/>
    <n v="61.54"/>
    <n v="0"/>
    <n v="61.54"/>
    <s v="P"/>
    <m/>
    <m/>
    <s v=" "/>
    <x v="20"/>
    <s v="YES"/>
    <m/>
    <m/>
    <m/>
    <m/>
    <m/>
    <m/>
    <m/>
    <m/>
    <m/>
    <m/>
    <s v="No"/>
  </r>
  <r>
    <n v="2183"/>
    <n v="124969"/>
    <s v="P"/>
    <s v="Capitalized"/>
    <s v="3 Yd FL Containers"/>
    <m/>
    <m/>
    <n v="11"/>
    <m/>
    <n v="0"/>
    <s v="RULE STEEL TANK"/>
    <m/>
    <s v="CONTAINERS"/>
    <s v="TBA"/>
    <m/>
    <s v="3 YD"/>
    <s v="FEL/REL/SL Metal"/>
    <d v="2015-07-31T00:00:00"/>
    <d v="2015-07-31T00:00:00"/>
    <s v="2183-15-0025-1"/>
    <n v="1200"/>
    <n v="14050"/>
    <n v="6662.22"/>
    <n v="14056"/>
    <n v="4857.93"/>
    <n v="0"/>
    <n v="1804.29"/>
    <n v="185.08"/>
    <n v="54260"/>
    <n v="46.27"/>
    <n v="0"/>
    <n v="46.27"/>
    <s v="P"/>
    <m/>
    <m/>
    <s v=" "/>
    <x v="20"/>
    <s v="YES"/>
    <m/>
    <m/>
    <m/>
    <m/>
    <m/>
    <m/>
    <m/>
    <m/>
    <m/>
    <m/>
    <s v="No"/>
  </r>
  <r>
    <n v="2183"/>
    <n v="124606"/>
    <n v="61120"/>
    <s v="Capitalized"/>
    <s v="Body, Floor, Packer Repair"/>
    <m/>
    <m/>
    <n v="1"/>
    <m/>
    <n v="0"/>
    <s v="SOLID WASTE SYSTEMS INC"/>
    <m/>
    <s v="TRUCKS AND TRAILERS"/>
    <s v="TBA"/>
    <s v="Non-Rolling Stock"/>
    <m/>
    <m/>
    <d v="2015-06-30T00:00:00"/>
    <d v="2015-06-30T00:00:00"/>
    <s v="2183-15-0027-1"/>
    <n v="300"/>
    <n v="14040"/>
    <n v="10023.450000000001"/>
    <n v="14046"/>
    <n v="10023.450000000001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4524"/>
    <s v="P"/>
    <s v="Capitalized"/>
    <s v="40 Yd Lidded  RO Boxes"/>
    <m/>
    <m/>
    <n v="6"/>
    <m/>
    <n v="0"/>
    <s v="CAPITAL INDUSTRIES, INC."/>
    <m/>
    <s v="CONTAINERS"/>
    <s v="TBA"/>
    <m/>
    <m/>
    <m/>
    <d v="2015-04-30T00:00:00"/>
    <d v="2015-04-30T00:00:00"/>
    <s v="2183-15-0015-1"/>
    <n v="1200"/>
    <n v="14050"/>
    <n v="40590"/>
    <n v="14056"/>
    <n v="30442.52"/>
    <n v="0"/>
    <n v="10147.48"/>
    <n v="1127.52"/>
    <n v="54260"/>
    <n v="281.88"/>
    <n v="0"/>
    <n v="281.88"/>
    <s v="P"/>
    <m/>
    <m/>
    <s v=" "/>
    <x v="20"/>
    <s v="YES"/>
    <m/>
    <m/>
    <m/>
    <m/>
    <m/>
    <m/>
    <m/>
    <m/>
    <m/>
    <m/>
    <s v="No"/>
  </r>
  <r>
    <n v="2183"/>
    <n v="123666"/>
    <s v="P"/>
    <s v="Capitalized"/>
    <s v="96 Gallon Green Yardwaste Carts and Green Lids"/>
    <m/>
    <m/>
    <n v="624"/>
    <m/>
    <n v="0"/>
    <s v="WASTEQUIP LLC"/>
    <m/>
    <s v="CONTAINERS"/>
    <s v="TBA"/>
    <m/>
    <m/>
    <m/>
    <d v="2015-06-23T00:00:00"/>
    <d v="2015-06-23T00:00:00"/>
    <s v="2183-15-0026-1"/>
    <n v="700"/>
    <n v="14050"/>
    <n v="32155.37"/>
    <n v="14056"/>
    <n v="32155.3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65"/>
    <s v="P"/>
    <s v="Capitalized"/>
    <s v="64 Gallon Green Refuse Carts and Black Lids"/>
    <m/>
    <m/>
    <n v="180"/>
    <m/>
    <n v="0"/>
    <s v="WASTEQUIP LLC"/>
    <m/>
    <s v="CONTAINERS"/>
    <s v="TBA"/>
    <m/>
    <m/>
    <m/>
    <d v="2015-06-23T00:00:00"/>
    <d v="2015-06-23T00:00:00"/>
    <s v="2183-15-0026-1"/>
    <n v="700"/>
    <n v="14050"/>
    <n v="8569.2000000000007"/>
    <n v="14056"/>
    <n v="8569.200000000000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64"/>
    <s v="P"/>
    <s v="Capitalized"/>
    <s v="96 Gallon Green Recycle Carts and Blue Lids"/>
    <m/>
    <m/>
    <n v="276"/>
    <m/>
    <n v="0"/>
    <s v="WASTEQUIP LLC"/>
    <m/>
    <s v="CONTAINERS"/>
    <s v="TBA"/>
    <m/>
    <m/>
    <m/>
    <d v="2015-06-23T00:00:00"/>
    <d v="2015-06-23T00:00:00"/>
    <s v="2183-15-0026-1"/>
    <n v="700"/>
    <n v="14050"/>
    <n v="14190.57"/>
    <n v="14056"/>
    <n v="14190.5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63"/>
    <s v="P"/>
    <s v="Capitalized"/>
    <s v="96 Gallon Green Refuse Carts and Black Lids"/>
    <m/>
    <m/>
    <n v="192"/>
    <m/>
    <n v="0"/>
    <s v="WASTEQUIP LLC"/>
    <m/>
    <s v="CONTAINERS"/>
    <s v="TBA"/>
    <m/>
    <m/>
    <m/>
    <d v="2015-06-23T00:00:00"/>
    <d v="2015-06-23T00:00:00"/>
    <s v="2183-15-0026-1"/>
    <n v="700"/>
    <n v="14050"/>
    <n v="9871.7000000000007"/>
    <n v="14056"/>
    <n v="9871.700000000000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62"/>
    <s v="P"/>
    <s v="Capitalized"/>
    <s v="35 Gallon Green Refuse Carts and Black Lids"/>
    <m/>
    <m/>
    <n v="840"/>
    <m/>
    <n v="0"/>
    <s v="WASTEQUIP LLC"/>
    <m/>
    <s v="CONTAINERS"/>
    <s v="TBA"/>
    <m/>
    <m/>
    <m/>
    <d v="2015-06-23T00:00:00"/>
    <d v="2015-06-23T00:00:00"/>
    <s v="2183-15-0026-1"/>
    <n v="700"/>
    <n v="14050"/>
    <n v="32103.19"/>
    <n v="14056"/>
    <n v="32103.1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61"/>
    <s v="P"/>
    <s v="Capitalized"/>
    <s v="64 Gallon Refuse Carts and Lids"/>
    <m/>
    <m/>
    <n v="648"/>
    <m/>
    <n v="0"/>
    <s v="WASTEQUIP LLC"/>
    <m/>
    <s v="CONTAINERS"/>
    <s v="TBA"/>
    <m/>
    <m/>
    <m/>
    <d v="2015-04-10T00:00:00"/>
    <d v="2015-04-10T00:00:00"/>
    <s v="2183-15-0023-1"/>
    <n v="700"/>
    <n v="14050"/>
    <n v="30802.93"/>
    <n v="14056"/>
    <n v="30802.9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60"/>
    <s v="P"/>
    <s v="Capitalized"/>
    <s v="96 Gallon Recycle Carts and Lids"/>
    <m/>
    <m/>
    <n v="156"/>
    <m/>
    <n v="0"/>
    <s v="WASTEQUIP LLC"/>
    <m/>
    <s v="CONTAINERS"/>
    <s v="TBA"/>
    <m/>
    <m/>
    <m/>
    <d v="2015-04-10T00:00:00"/>
    <d v="2015-04-10T00:00:00"/>
    <s v="2183-15-0023-1"/>
    <n v="700"/>
    <n v="14050"/>
    <n v="8180.16"/>
    <n v="14056"/>
    <n v="8180.1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3659"/>
    <s v="P"/>
    <s v="Capitalized"/>
    <s v="96 Gallon Reycle Carts and Lids"/>
    <m/>
    <m/>
    <n v="624"/>
    <m/>
    <n v="0"/>
    <s v="WASTEQUIP LLC"/>
    <m/>
    <s v="CONTAINERS"/>
    <s v="TBA"/>
    <m/>
    <m/>
    <m/>
    <d v="2015-04-08T00:00:00"/>
    <d v="2015-04-08T00:00:00"/>
    <s v="2183-15-0023-1"/>
    <n v="700"/>
    <n v="14050"/>
    <n v="33250.239999999998"/>
    <n v="14056"/>
    <n v="33250.23999999999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2012"/>
    <n v="61125"/>
    <s v="Capitalized"/>
    <s v="Cap Repair - Transmission"/>
    <m/>
    <m/>
    <n v="1"/>
    <m/>
    <n v="0"/>
    <s v="TEC-North American Transa"/>
    <m/>
    <s v="TRUCKS AND TRAILERS"/>
    <s v="TBA"/>
    <s v="Non-Rolling Stock"/>
    <m/>
    <m/>
    <d v="2015-02-24T00:00:00"/>
    <d v="2015-02-24T00:00:00"/>
    <s v="2183-15-0020-1"/>
    <n v="300"/>
    <n v="14040"/>
    <n v="5574.98"/>
    <n v="14046"/>
    <n v="5574.9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1103"/>
    <s v="P"/>
    <s v="Capitalized"/>
    <s v="HP 640 Laptop &amp; Docking Station"/>
    <m/>
    <m/>
    <n v="1"/>
    <m/>
    <n v="0"/>
    <s v="CDW"/>
    <m/>
    <s v="HARDWARE AND SOFTWARE"/>
    <s v="TBA"/>
    <m/>
    <m/>
    <m/>
    <d v="2015-03-24T00:00:00"/>
    <d v="2015-03-24T00:00:00"/>
    <s v="2183-15-0022-1"/>
    <n v="300"/>
    <n v="14110"/>
    <n v="1077.07"/>
    <n v="14116"/>
    <n v="1077.0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1057"/>
    <s v="P"/>
    <s v="Capitalized"/>
    <s v="HP 650 Laptop &amp; Docking Station"/>
    <m/>
    <m/>
    <n v="1"/>
    <m/>
    <n v="0"/>
    <s v="CDW"/>
    <m/>
    <s v="HARDWARE AND SOFTWARE"/>
    <s v="TBA"/>
    <m/>
    <m/>
    <m/>
    <d v="2015-03-24T00:00:00"/>
    <d v="2015-03-24T00:00:00"/>
    <s v="2183-15-0021-1"/>
    <n v="300"/>
    <n v="14110"/>
    <n v="1088.46"/>
    <n v="14116"/>
    <n v="1088.46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1056"/>
    <s v="P"/>
    <s v="Capitalized"/>
    <s v="(4) HP ProDesk 600G1"/>
    <m/>
    <m/>
    <n v="1"/>
    <m/>
    <n v="0"/>
    <s v="CDW"/>
    <m/>
    <s v="HARDWARE AND SOFTWARE"/>
    <s v="TBA"/>
    <m/>
    <m/>
    <m/>
    <d v="2015-03-10T00:00:00"/>
    <d v="2015-03-10T00:00:00"/>
    <s v="2183-15-0018-1"/>
    <n v="300"/>
    <n v="14110"/>
    <n v="2903.73"/>
    <n v="14116"/>
    <n v="2903.73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1055"/>
    <s v="P"/>
    <s v="Capitalized"/>
    <s v="Winterm Upgrades (17)"/>
    <m/>
    <m/>
    <n v="1"/>
    <m/>
    <n v="0"/>
    <s v="CDW"/>
    <m/>
    <s v="HARDWARE AND SOFTWARE"/>
    <s v="TBA"/>
    <m/>
    <m/>
    <m/>
    <d v="2015-03-10T00:00:00"/>
    <d v="2015-03-10T00:00:00"/>
    <s v="2183-15-0019-1"/>
    <n v="300"/>
    <n v="14110"/>
    <n v="6120.34"/>
    <n v="14116"/>
    <n v="6120.3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0388"/>
    <s v="P"/>
    <s v="Capitalized"/>
    <s v="New HP 650 Laptop &amp; Docking Station - Controller"/>
    <m/>
    <m/>
    <n v="1"/>
    <m/>
    <n v="0"/>
    <s v="CDW"/>
    <m/>
    <s v="HARDWARE AND SOFTWARE"/>
    <s v="TBA"/>
    <m/>
    <m/>
    <m/>
    <d v="2015-02-06T00:00:00"/>
    <d v="2015-02-06T00:00:00"/>
    <s v="2183-15-0017-1"/>
    <n v="300"/>
    <n v="14110"/>
    <n v="1090.0999999999999"/>
    <n v="14116"/>
    <n v="1090.0999999999999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0169"/>
    <s v="P"/>
    <s v="Capitalized"/>
    <s v="35 Gallon Green Refuse Carts and Black Lids"/>
    <m/>
    <m/>
    <n v="1404"/>
    <m/>
    <n v="0"/>
    <s v="TOTER INCORPORATED"/>
    <m/>
    <s v="CONTAINERS"/>
    <s v="TBA"/>
    <m/>
    <m/>
    <m/>
    <d v="2015-02-10T00:00:00"/>
    <d v="2015-02-10T00:00:00"/>
    <s v="2183-15-0016-1"/>
    <n v="700"/>
    <n v="14050"/>
    <n v="55764.93"/>
    <n v="14056"/>
    <n v="55764.9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0168"/>
    <s v="P"/>
    <s v="Capitalized"/>
    <s v="96 Gallon Recycle Carts with Blue Lids"/>
    <m/>
    <m/>
    <n v="624"/>
    <m/>
    <n v="0"/>
    <s v="TOTER INCORPORATED"/>
    <m/>
    <s v="CONTAINERS"/>
    <s v="TBA"/>
    <m/>
    <m/>
    <m/>
    <d v="2015-01-30T00:00:00"/>
    <d v="2015-01-30T00:00:00"/>
    <s v="2183-15-0016-4"/>
    <n v="700"/>
    <n v="14050"/>
    <n v="33703.620000000003"/>
    <n v="14056"/>
    <n v="33703.62000000000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0167"/>
    <s v="P"/>
    <s v="Capitalized"/>
    <s v="96 Gallon Refuse Carts with Black Lids"/>
    <m/>
    <m/>
    <n v="360"/>
    <m/>
    <n v="0"/>
    <s v="TOTER INCORPORATED"/>
    <m/>
    <s v="CONTAINERS"/>
    <s v="TBA"/>
    <m/>
    <m/>
    <m/>
    <d v="2015-01-31T00:00:00"/>
    <d v="2015-01-31T00:00:00"/>
    <s v="2183-15-0016-3"/>
    <n v="700"/>
    <n v="14050"/>
    <n v="19252"/>
    <n v="14056"/>
    <n v="1925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20166"/>
    <s v="P"/>
    <s v="Capitalized"/>
    <s v="65 Gallon Refuse Carts with Black Lids"/>
    <m/>
    <m/>
    <n v="360"/>
    <m/>
    <n v="0"/>
    <s v="TOTER INCORPORATED"/>
    <m/>
    <s v="CONTAINERS"/>
    <s v="TBA"/>
    <m/>
    <m/>
    <m/>
    <d v="2015-01-31T00:00:00"/>
    <d v="2015-01-31T00:00:00"/>
    <s v="2183-15-0016-2"/>
    <n v="700"/>
    <n v="14050"/>
    <n v="17686.53"/>
    <n v="14056"/>
    <n v="17686.5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8761"/>
    <s v="P"/>
    <s v="Capitalized"/>
    <s v="MIller Dimension 652 Carbon Arc Welder"/>
    <m/>
    <m/>
    <n v="1"/>
    <m/>
    <n v="0"/>
    <s v="PACIFIC WELDING"/>
    <m/>
    <s v="SHOP EQUIPMENT"/>
    <s v="TBA"/>
    <m/>
    <m/>
    <m/>
    <d v="2014-12-29T00:00:00"/>
    <d v="2014-12-29T00:00:00"/>
    <s v="2183-14-0029-1"/>
    <n v="500"/>
    <n v="14070"/>
    <n v="7879.66"/>
    <n v="14076"/>
    <n v="7879.6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8758"/>
    <n v="118138"/>
    <s v="Capitalized"/>
    <s v="Capitalized Labor for (72) RO Winch Replacements"/>
    <m/>
    <m/>
    <n v="1"/>
    <m/>
    <n v="0"/>
    <s v="Internal"/>
    <m/>
    <s v="CONTAINERS"/>
    <s v="TBA"/>
    <m/>
    <m/>
    <m/>
    <d v="2014-12-31T00:00:00"/>
    <d v="2014-12-31T00:00:00"/>
    <s v="2183-14-0025-1"/>
    <n v="500"/>
    <n v="14050"/>
    <n v="51081.75"/>
    <n v="14056"/>
    <n v="51081.7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8278"/>
    <s v="P"/>
    <s v="Capitalized"/>
    <s v="Electrical Upgrades for Miller Carbon Arc Welder"/>
    <m/>
    <m/>
    <n v="1"/>
    <m/>
    <n v="0"/>
    <s v="SARE ELECTRIC INC"/>
    <m/>
    <s v="BUILDINGS"/>
    <s v="TBA"/>
    <m/>
    <m/>
    <m/>
    <d v="2014-12-29T00:00:00"/>
    <d v="2014-12-29T00:00:00"/>
    <s v="2183-14-0029-2"/>
    <n v="1000"/>
    <n v="14080"/>
    <n v="2760.98"/>
    <n v="14086"/>
    <n v="2576.94"/>
    <n v="0"/>
    <n v="184.03999999999996"/>
    <n v="92.04"/>
    <n v="57260"/>
    <n v="23.01"/>
    <n v="0"/>
    <n v="23.01"/>
    <s v="P"/>
    <m/>
    <m/>
    <s v=" "/>
    <x v="20"/>
    <s v="YES"/>
    <m/>
    <m/>
    <m/>
    <m/>
    <m/>
    <m/>
    <m/>
    <m/>
    <m/>
    <m/>
    <s v="No"/>
  </r>
  <r>
    <n v="2183"/>
    <n v="118138"/>
    <s v="P"/>
    <s v="Capitalized"/>
    <s v="R/O Winch Upgrades"/>
    <m/>
    <m/>
    <n v="1"/>
    <m/>
    <n v="0"/>
    <m/>
    <m/>
    <s v="CONTAINERS"/>
    <s v="TBA"/>
    <m/>
    <m/>
    <m/>
    <d v="2014-12-31T00:00:00"/>
    <d v="2014-12-31T00:00:00"/>
    <s v="2183-14-0025-1"/>
    <n v="500"/>
    <n v="14050"/>
    <n v="23609.1"/>
    <n v="14056"/>
    <n v="23609.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7322"/>
    <s v="P"/>
    <s v="Capitalized"/>
    <s v="2015 ASL Truck"/>
    <m/>
    <m/>
    <n v="1"/>
    <s v="3BPZL70X7FF273659"/>
    <n v="2015"/>
    <s v="Peterbilt "/>
    <s v="Wayne "/>
    <s v="TRUCKS AND TRAILERS"/>
    <s v="TBA"/>
    <s v="Automated Side Loader"/>
    <m/>
    <m/>
    <d v="2014-11-30T00:00:00"/>
    <d v="2014-11-30T00:00:00"/>
    <s v="2183-14-0013-1"/>
    <n v="1000"/>
    <n v="14040"/>
    <n v="330302.59000000003"/>
    <n v="14046"/>
    <n v="311034.94"/>
    <n v="0"/>
    <n v="19267.650000000023"/>
    <n v="11010.08"/>
    <n v="51260"/>
    <n v="2752.52"/>
    <n v="0"/>
    <n v="2752.52"/>
    <s v="P"/>
    <m/>
    <n v="3640"/>
    <s v=" "/>
    <x v="20"/>
    <s v="YES"/>
    <m/>
    <m/>
    <m/>
    <m/>
    <m/>
    <m/>
    <m/>
    <m/>
    <m/>
    <m/>
    <s v="No"/>
  </r>
  <r>
    <n v="2183"/>
    <n v="117321"/>
    <s v="P"/>
    <s v="Capitalized"/>
    <s v="2015 ASL Truck"/>
    <m/>
    <m/>
    <n v="1"/>
    <s v="3BPZL70X9FF265742"/>
    <n v="2015"/>
    <s v="Peterbilt "/>
    <s v="Wayne "/>
    <s v="TRUCKS AND TRAILERS"/>
    <s v="TBA"/>
    <s v="Automated Side Loader"/>
    <m/>
    <m/>
    <d v="2014-11-30T00:00:00"/>
    <d v="2014-11-30T00:00:00"/>
    <s v="2183-14-0014-1"/>
    <n v="1000"/>
    <n v="14040"/>
    <n v="330416.48"/>
    <n v="14046"/>
    <n v="311142.2"/>
    <n v="0"/>
    <n v="19274.27999999997"/>
    <n v="11013.88"/>
    <n v="51260"/>
    <n v="2753.47"/>
    <n v="0"/>
    <n v="2753.47"/>
    <s v="P"/>
    <m/>
    <n v="3639"/>
    <s v=" "/>
    <x v="20"/>
    <s v="YES"/>
    <m/>
    <m/>
    <m/>
    <m/>
    <m/>
    <m/>
    <m/>
    <m/>
    <m/>
    <m/>
    <s v="No"/>
  </r>
  <r>
    <n v="2183"/>
    <n v="117226"/>
    <s v="P"/>
    <s v="Capitalized"/>
    <s v="3 Yd FEL Container"/>
    <m/>
    <m/>
    <n v="8"/>
    <m/>
    <n v="0"/>
    <s v="CAPITAL INDUSTRIES INC"/>
    <m/>
    <s v="CONTAINERS"/>
    <s v="TBA"/>
    <m/>
    <s v="3 YD"/>
    <s v="FEL/REL/SL Metal"/>
    <d v="2014-11-01T00:00:00"/>
    <d v="2014-11-01T00:00:00"/>
    <s v="2183-14-0026-1"/>
    <n v="1200"/>
    <n v="14050"/>
    <n v="4869.76"/>
    <n v="14056"/>
    <n v="3855.25"/>
    <n v="0"/>
    <n v="1014.5100000000002"/>
    <n v="135.28"/>
    <n v="54260"/>
    <n v="33.82"/>
    <n v="0"/>
    <n v="33.82"/>
    <s v="P"/>
    <m/>
    <m/>
    <s v=" "/>
    <x v="20"/>
    <s v="YES"/>
    <m/>
    <m/>
    <m/>
    <m/>
    <m/>
    <m/>
    <m/>
    <m/>
    <m/>
    <m/>
    <s v="No"/>
  </r>
  <r>
    <n v="2183"/>
    <n v="117225"/>
    <s v="P"/>
    <s v="Capitalized"/>
    <s v="6Yd FEL Containers"/>
    <m/>
    <m/>
    <n v="10"/>
    <m/>
    <n v="0"/>
    <s v="CAPITAL INDUSTRIES INC"/>
    <m/>
    <s v="CONTAINERS"/>
    <s v="TBA"/>
    <m/>
    <m/>
    <m/>
    <d v="2014-11-01T00:00:00"/>
    <d v="2014-11-01T00:00:00"/>
    <s v="2183-14-0026-2"/>
    <n v="1200"/>
    <n v="14050"/>
    <n v="8098.15"/>
    <n v="14056"/>
    <n v="6411.09"/>
    <n v="0"/>
    <n v="1687.0599999999995"/>
    <n v="224.96"/>
    <n v="54260"/>
    <n v="56.24"/>
    <n v="0"/>
    <n v="56.24"/>
    <s v="P"/>
    <m/>
    <m/>
    <s v=" "/>
    <x v="20"/>
    <s v="YES"/>
    <m/>
    <m/>
    <m/>
    <m/>
    <m/>
    <m/>
    <m/>
    <m/>
    <m/>
    <m/>
    <s v="No"/>
  </r>
  <r>
    <n v="2183"/>
    <n v="117224"/>
    <s v="P"/>
    <s v="Capitalized"/>
    <s v="4Yd FEL Containers"/>
    <m/>
    <m/>
    <n v="5"/>
    <m/>
    <n v="0"/>
    <s v="CAPITAL INDUSTRIES INC"/>
    <m/>
    <s v="CONTAINERS"/>
    <s v="TBA"/>
    <m/>
    <s v="4 YD"/>
    <s v="FEL/REL/SL Metal"/>
    <d v="2014-11-01T00:00:00"/>
    <d v="2014-11-01T00:00:00"/>
    <s v="2183-14-0026-2"/>
    <n v="1200"/>
    <n v="14050"/>
    <n v="3206.65"/>
    <n v="14056"/>
    <n v="2538.6"/>
    <n v="0"/>
    <n v="668.05000000000018"/>
    <n v="89.08"/>
    <n v="54260"/>
    <n v="22.27"/>
    <n v="0"/>
    <n v="22.27"/>
    <s v="P"/>
    <m/>
    <m/>
    <s v=" "/>
    <x v="20"/>
    <s v="YES"/>
    <m/>
    <m/>
    <m/>
    <m/>
    <m/>
    <m/>
    <m/>
    <m/>
    <m/>
    <m/>
    <s v="No"/>
  </r>
  <r>
    <n v="2183"/>
    <n v="117223"/>
    <s v="P"/>
    <s v="Capitalized"/>
    <s v="2Yd FEL Container"/>
    <m/>
    <m/>
    <n v="15"/>
    <m/>
    <n v="0"/>
    <s v="CAPITAL INDUSTRIES INC"/>
    <m/>
    <s v="CONTAINERS"/>
    <s v="TBA"/>
    <m/>
    <s v="2 YD"/>
    <s v="FEL/REL/SL Metal"/>
    <d v="2014-11-01T00:00:00"/>
    <d v="2014-11-01T00:00:00"/>
    <s v="2183-14-0026-2"/>
    <n v="1200"/>
    <n v="14050"/>
    <n v="7907.93"/>
    <n v="14056"/>
    <n v="6260.51"/>
    <n v="0"/>
    <n v="1647.42"/>
    <n v="219.68"/>
    <n v="54260"/>
    <n v="54.92"/>
    <n v="0"/>
    <n v="54.92"/>
    <s v="P"/>
    <m/>
    <m/>
    <s v=" "/>
    <x v="20"/>
    <s v="YES"/>
    <m/>
    <m/>
    <m/>
    <m/>
    <m/>
    <m/>
    <m/>
    <m/>
    <m/>
    <m/>
    <s v="No"/>
  </r>
  <r>
    <n v="2183"/>
    <n v="117220"/>
    <n v="114271"/>
    <s v="Capitalized"/>
    <s v="Improvement - Auto Tarper"/>
    <m/>
    <m/>
    <n v="1"/>
    <m/>
    <n v="0"/>
    <s v="SOLID WASTE SYSTEMS"/>
    <m/>
    <s v="TRUCKS AND TRAILERS"/>
    <s v="TBA"/>
    <s v="Non-Rolling Stock"/>
    <m/>
    <m/>
    <d v="2014-11-01T00:00:00"/>
    <d v="2014-11-01T00:00:00"/>
    <s v="2183-14-0028-2"/>
    <n v="300"/>
    <n v="14040"/>
    <n v="7331.82"/>
    <n v="14046"/>
    <n v="7331.82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6682"/>
    <s v="P"/>
    <s v="Capitalized"/>
    <s v="35 Gallon Refuse Carts"/>
    <m/>
    <m/>
    <n v="480"/>
    <m/>
    <n v="0"/>
    <s v="TOTER INCORPORATED"/>
    <m/>
    <s v="CONTAINERS"/>
    <s v="TBA"/>
    <m/>
    <m/>
    <m/>
    <d v="2014-10-10T00:00:00"/>
    <d v="2014-10-10T00:00:00"/>
    <s v="2183-14-0027-1"/>
    <n v="700"/>
    <n v="14050"/>
    <n v="20039.759999999998"/>
    <n v="14056"/>
    <n v="20039.75999999999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6681"/>
    <s v="P"/>
    <s v="Capitalized"/>
    <s v="96 Gallon Yardwaste Carts"/>
    <m/>
    <m/>
    <n v="312"/>
    <m/>
    <n v="0"/>
    <s v="TOTER INCORPORATED"/>
    <m/>
    <s v="CONTAINERS"/>
    <s v="TBA"/>
    <m/>
    <m/>
    <m/>
    <d v="2014-10-10T00:00:00"/>
    <d v="2014-10-10T00:00:00"/>
    <s v="2183-14-0027-1"/>
    <n v="700"/>
    <n v="14050"/>
    <n v="17502.7"/>
    <n v="14056"/>
    <n v="17502.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6680"/>
    <s v="P"/>
    <s v="Capitalized"/>
    <s v="1 Yd REL Containers"/>
    <m/>
    <m/>
    <n v="15"/>
    <m/>
    <n v="0"/>
    <s v="CAPITAL INDUSTRIES, INC."/>
    <m/>
    <s v="CONTAINERS"/>
    <s v="TBA"/>
    <m/>
    <s v="1 YD"/>
    <s v="FEL/REL/SL Metal"/>
    <d v="2014-10-31T00:00:00"/>
    <d v="2014-10-31T00:00:00"/>
    <s v="2183-14-0026-1"/>
    <n v="1200"/>
    <n v="14050"/>
    <n v="6799.19"/>
    <n v="14056"/>
    <n v="5382.71"/>
    <n v="0"/>
    <n v="1416.4799999999996"/>
    <n v="188.88"/>
    <n v="54260"/>
    <n v="47.22"/>
    <n v="0"/>
    <n v="47.22"/>
    <s v="P"/>
    <m/>
    <m/>
    <s v=" "/>
    <x v="20"/>
    <s v="YES"/>
    <m/>
    <m/>
    <m/>
    <m/>
    <m/>
    <m/>
    <m/>
    <m/>
    <m/>
    <m/>
    <s v="No"/>
  </r>
  <r>
    <n v="2183"/>
    <n v="116679"/>
    <s v="P"/>
    <s v="Capitalized"/>
    <s v="2 Yd REL Containers"/>
    <m/>
    <m/>
    <n v="20"/>
    <m/>
    <n v="0"/>
    <s v="CAPITAL INDUSTRIES, INC."/>
    <m/>
    <s v="CONTAINERS"/>
    <s v="TBA"/>
    <m/>
    <s v="2 YD"/>
    <s v="FEL/REL/SL Metal"/>
    <d v="2014-10-31T00:00:00"/>
    <d v="2014-10-31T00:00:00"/>
    <s v="2183-14-0026-1"/>
    <n v="1200"/>
    <n v="14050"/>
    <n v="10761.3"/>
    <n v="14056"/>
    <n v="8519.4"/>
    <n v="0"/>
    <n v="2241.8999999999996"/>
    <n v="298.92"/>
    <n v="54260"/>
    <n v="74.73"/>
    <n v="0"/>
    <n v="74.73"/>
    <s v="P"/>
    <m/>
    <m/>
    <s v=" "/>
    <x v="20"/>
    <s v="YES"/>
    <m/>
    <m/>
    <m/>
    <m/>
    <m/>
    <m/>
    <m/>
    <m/>
    <m/>
    <m/>
    <s v="No"/>
  </r>
  <r>
    <n v="2183"/>
    <n v="116678"/>
    <s v="P"/>
    <s v="Capitalized"/>
    <s v="1.5 Yd REL Containers"/>
    <m/>
    <m/>
    <n v="15"/>
    <m/>
    <n v="0"/>
    <s v="CAPITAL INDUSTRIES, INC."/>
    <m/>
    <s v="CONTAINERS"/>
    <s v="TBA"/>
    <m/>
    <s v="1.5 YD"/>
    <s v="FEL/REL/SL Metal"/>
    <d v="2014-10-31T00:00:00"/>
    <d v="2014-10-31T00:00:00"/>
    <s v="2183-14-0026-1"/>
    <n v="1200"/>
    <n v="14050"/>
    <n v="7272.03"/>
    <n v="14056"/>
    <n v="5757"/>
    <n v="0"/>
    <n v="1515.0299999999997"/>
    <n v="202"/>
    <n v="54260"/>
    <n v="50.5"/>
    <n v="0"/>
    <n v="50.5"/>
    <s v="P"/>
    <m/>
    <m/>
    <s v=" "/>
    <x v="20"/>
    <s v="YES"/>
    <m/>
    <m/>
    <m/>
    <m/>
    <m/>
    <m/>
    <m/>
    <m/>
    <m/>
    <m/>
    <s v="No"/>
  </r>
  <r>
    <n v="2183"/>
    <n v="116108"/>
    <s v="P"/>
    <s v="Capitalized"/>
    <s v="Panasonic Toughbook 53/Diagnostic Link"/>
    <m/>
    <m/>
    <n v="1"/>
    <m/>
    <n v="0"/>
    <s v="CDW"/>
    <m/>
    <s v="HARDWARE AND SOFTWARE"/>
    <s v="TBA"/>
    <m/>
    <m/>
    <m/>
    <d v="2014-08-01T00:00:00"/>
    <d v="2014-08-01T00:00:00"/>
    <s v="2183-14-0024-1"/>
    <n v="200"/>
    <n v="14110"/>
    <n v="1817.83"/>
    <n v="14116"/>
    <n v="1817.83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5427"/>
    <s v="P"/>
    <s v="Capitalized"/>
    <s v="Trucks Diagnostic Reader and Service Manual DVD"/>
    <m/>
    <m/>
    <n v="1"/>
    <m/>
    <n v="0"/>
    <s v="Tec Equipment"/>
    <m/>
    <s v="HARDWARE AND SOFTWARE"/>
    <s v="TBA"/>
    <m/>
    <m/>
    <m/>
    <d v="2014-08-07T00:00:00"/>
    <d v="2014-08-07T00:00:00"/>
    <s v="2183-14-0024-2"/>
    <n v="300"/>
    <n v="14110"/>
    <n v="3198.54"/>
    <n v="14116"/>
    <n v="3198.5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5104"/>
    <s v="P"/>
    <s v="Capitalized"/>
    <s v="64 Gallon Refuse Carts"/>
    <m/>
    <m/>
    <n v="637"/>
    <m/>
    <n v="0"/>
    <s v="TOTER INCORPORATED"/>
    <m/>
    <s v="CONTAINERS"/>
    <s v="TBA"/>
    <m/>
    <m/>
    <m/>
    <d v="2014-07-18T00:00:00"/>
    <d v="2014-07-18T00:00:00"/>
    <s v="2183-14-0022-1"/>
    <n v="700"/>
    <n v="14050"/>
    <n v="33464.61"/>
    <n v="14056"/>
    <n v="33464.6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5103"/>
    <s v="P"/>
    <s v="Capitalized"/>
    <s v="96 Gallon Refuse Carts"/>
    <m/>
    <m/>
    <n v="504"/>
    <m/>
    <n v="0"/>
    <s v="TOTER INCORPORATED"/>
    <m/>
    <s v="CONTAINERS"/>
    <s v="TBA"/>
    <m/>
    <m/>
    <m/>
    <d v="2014-07-18T00:00:00"/>
    <d v="2014-07-18T00:00:00"/>
    <s v="2183-14-0022-1"/>
    <n v="700"/>
    <n v="14050"/>
    <n v="29260.560000000001"/>
    <n v="14056"/>
    <n v="29260.56000000000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5102"/>
    <s v="P"/>
    <s v="Capitalized"/>
    <s v="96 Gallon Recycle Carts"/>
    <m/>
    <m/>
    <n v="624"/>
    <m/>
    <n v="0"/>
    <s v="TOTER INCORPORATED"/>
    <m/>
    <s v="CONTAINERS"/>
    <s v="TBA"/>
    <m/>
    <m/>
    <m/>
    <d v="2014-07-18T00:00:00"/>
    <d v="2014-07-18T00:00:00"/>
    <s v="2183-14-0022-1"/>
    <n v="700"/>
    <n v="14050"/>
    <n v="36227.360000000001"/>
    <n v="14056"/>
    <n v="36227.36000000000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9"/>
    <s v="P"/>
    <s v="Capitalized"/>
    <s v="(12)  Digital radios and antennas"/>
    <m/>
    <m/>
    <n v="1"/>
    <m/>
    <n v="0"/>
    <s v="WHISLER COMMUNICATIONS"/>
    <m/>
    <s v="SHOP EQUIPMENT"/>
    <s v="TBA"/>
    <m/>
    <m/>
    <m/>
    <d v="2013-07-10T00:00:00"/>
    <d v="2013-07-10T00:00:00"/>
    <s v="2184-13-0005-1"/>
    <n v="500"/>
    <n v="14070"/>
    <n v="6839.73"/>
    <n v="14076"/>
    <n v="6839.73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8"/>
    <n v="114306"/>
    <s v="Capitalized"/>
    <s v="Rear Load Camera Truck #3"/>
    <m/>
    <m/>
    <n v="1"/>
    <m/>
    <n v="0"/>
    <m/>
    <m/>
    <s v="TRUCKS AND TRAILERS"/>
    <s v="TBA"/>
    <s v="Non-Rolling Stock"/>
    <m/>
    <m/>
    <d v="2008-07-10T00:00:00"/>
    <d v="2008-07-10T00:00:00"/>
    <s v="2149-8-0026-8"/>
    <n v="300"/>
    <n v="14040"/>
    <n v="520"/>
    <n v="14046"/>
    <n v="520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7"/>
    <n v="114306"/>
    <s v="Capitalized"/>
    <s v="(2) Radios"/>
    <m/>
    <m/>
    <n v="1"/>
    <m/>
    <n v="0"/>
    <m/>
    <m/>
    <s v="TRUCKS AND TRAILERS"/>
    <s v="TBA"/>
    <s v="Non-Rolling Stock"/>
    <m/>
    <m/>
    <d v="2003-06-01T00:00:00"/>
    <d v="2003-06-01T00:00:00"/>
    <m/>
    <n v="500"/>
    <n v="14040"/>
    <n v="1403.57"/>
    <n v="14046"/>
    <n v="1403.57"/>
    <n v="0"/>
    <n v="0"/>
    <n v="0"/>
    <n v="51260"/>
    <n v="0"/>
    <n v="0"/>
    <n v="0"/>
    <s v="P"/>
    <m/>
    <n v="25"/>
    <s v=" "/>
    <x v="20"/>
    <s v="YES"/>
    <m/>
    <m/>
    <m/>
    <m/>
    <m/>
    <m/>
    <m/>
    <m/>
    <m/>
    <m/>
    <s v="No"/>
  </r>
  <r>
    <n v="2183"/>
    <n v="114306"/>
    <s v="P"/>
    <s v="Capitalized"/>
    <s v="2003 INTL 7400 20 Yd Rearload"/>
    <m/>
    <m/>
    <n v="1"/>
    <s v="1HTWCAAN33J072538"/>
    <n v="2003"/>
    <s v="International"/>
    <s v="Heil"/>
    <s v="TRUCKS AND TRAILERS"/>
    <s v="TBA"/>
    <s v="Rear Loader"/>
    <m/>
    <m/>
    <d v="2003-05-08T00:00:00"/>
    <d v="2003-05-08T00:00:00"/>
    <s v="03-2149-001"/>
    <n v="1000"/>
    <n v="14040"/>
    <n v="98919.95"/>
    <n v="14046"/>
    <n v="98919.95"/>
    <n v="0"/>
    <n v="0"/>
    <n v="0"/>
    <n v="51260"/>
    <n v="0"/>
    <n v="0"/>
    <n v="0"/>
    <s v="P"/>
    <m/>
    <n v="1038"/>
    <s v=" "/>
    <x v="20"/>
    <s v="YES"/>
    <m/>
    <m/>
    <m/>
    <m/>
    <m/>
    <m/>
    <m/>
    <m/>
    <m/>
    <m/>
    <s v="No"/>
  </r>
  <r>
    <n v="2183"/>
    <n v="114305"/>
    <s v="P"/>
    <s v="Capitalized"/>
    <s v="Sony Internet TV (SN = 3S18264700B1CC0904071)"/>
    <m/>
    <m/>
    <n v="1"/>
    <m/>
    <n v="0"/>
    <s v="cdw"/>
    <m/>
    <s v="HARDWARE AND SOFTWARE"/>
    <s v="TBA"/>
    <m/>
    <m/>
    <m/>
    <d v="2012-01-25T00:00:00"/>
    <d v="2012-01-25T00:00:00"/>
    <s v="1010-12-0018-1"/>
    <n v="500"/>
    <n v="14110"/>
    <n v="561.34"/>
    <n v="14116"/>
    <n v="561.3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4"/>
    <s v="P"/>
    <s v="Capitalized"/>
    <s v="(19) Mounted Radios &amp; (1) Handheld"/>
    <m/>
    <m/>
    <n v="1"/>
    <m/>
    <n v="0"/>
    <m/>
    <m/>
    <s v="SHOP EQUIPMENT"/>
    <s v="TBA"/>
    <m/>
    <m/>
    <m/>
    <d v="2011-12-01T00:00:00"/>
    <d v="2011-12-01T00:00:00"/>
    <s v="2183-11-0019-1"/>
    <n v="500"/>
    <n v="14070"/>
    <n v="9520.6"/>
    <n v="14076"/>
    <n v="9520.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2"/>
    <s v="P"/>
    <s v="Capitalized"/>
    <s v="95 Gallon Carts - Forest Green"/>
    <m/>
    <m/>
    <n v="134"/>
    <m/>
    <n v="0"/>
    <s v="REHRIG PACIFIC COMPANY"/>
    <m/>
    <s v="CONTAINERS"/>
    <s v="TBA"/>
    <m/>
    <m/>
    <m/>
    <d v="2011-07-26T00:00:00"/>
    <d v="2011-07-26T00:00:00"/>
    <s v="2184-11-0009-1"/>
    <n v="700"/>
    <n v="14050"/>
    <n v="7370.3"/>
    <n v="14056"/>
    <n v="7370.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1"/>
    <s v="P"/>
    <s v="Capitalized"/>
    <s v="95 Gallon Carts - Dark Blue"/>
    <m/>
    <m/>
    <n v="55"/>
    <m/>
    <n v="0"/>
    <s v="REHRIG PACIFIC COMPANY"/>
    <m/>
    <s v="CONTAINERS"/>
    <s v="TBA"/>
    <m/>
    <m/>
    <m/>
    <d v="2011-07-26T00:00:00"/>
    <d v="2011-07-26T00:00:00"/>
    <s v="2184-11-0009-1"/>
    <n v="700"/>
    <n v="14050"/>
    <n v="3921.9"/>
    <n v="14056"/>
    <n v="3921.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300"/>
    <s v="P"/>
    <s v="Capitalized"/>
    <s v="65 Gallon Carts - Forest Green"/>
    <m/>
    <m/>
    <n v="41"/>
    <m/>
    <n v="0"/>
    <s v="REHRIG PACIFIC COMPANY"/>
    <m/>
    <s v="CONTAINERS"/>
    <s v="TBA"/>
    <m/>
    <m/>
    <m/>
    <d v="2011-07-26T00:00:00"/>
    <d v="2011-07-26T00:00:00"/>
    <s v="2184-11-0009-1"/>
    <n v="700"/>
    <n v="14050"/>
    <n v="1994.82"/>
    <n v="14056"/>
    <n v="1994.8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99"/>
    <s v="P"/>
    <s v="Capitalized"/>
    <s v="HP Pro 3130 PC (SN = SMXL1151MC5)"/>
    <m/>
    <m/>
    <n v="1"/>
    <m/>
    <n v="0"/>
    <s v="CDW"/>
    <m/>
    <s v="HARDWARE AND SOFTWARE"/>
    <s v="TBA"/>
    <m/>
    <m/>
    <m/>
    <d v="2011-06-30T00:00:00"/>
    <d v="2011-06-30T00:00:00"/>
    <s v="2184-11-0010-1"/>
    <n v="300"/>
    <n v="14110"/>
    <n v="535.20000000000005"/>
    <n v="14116"/>
    <n v="535.2000000000000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98"/>
    <s v="P"/>
    <s v="Capitalized"/>
    <s v="HP Pro 3130 PC (SN = SMXL1151MBL)"/>
    <m/>
    <m/>
    <n v="1"/>
    <m/>
    <n v="0"/>
    <s v="CDW"/>
    <m/>
    <s v="HARDWARE AND SOFTWARE"/>
    <s v="TBA"/>
    <m/>
    <m/>
    <m/>
    <d v="2011-06-30T00:00:00"/>
    <d v="2011-06-30T00:00:00"/>
    <s v="2184-11-0008-1"/>
    <n v="300"/>
    <n v="14110"/>
    <n v="535.20000000000005"/>
    <n v="14116"/>
    <n v="535.2000000000000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97"/>
    <s v="P"/>
    <s v="Capitalized"/>
    <s v="95 Gallon Carts - Blue"/>
    <m/>
    <m/>
    <n v="212"/>
    <m/>
    <n v="0"/>
    <s v="REHRIG PACIFIC COMPANY"/>
    <m/>
    <s v="CONTAINERS"/>
    <s v="TBA"/>
    <m/>
    <m/>
    <m/>
    <d v="2011-07-01T00:00:00"/>
    <d v="2011-07-01T00:00:00"/>
    <s v="2184-11-0009-1"/>
    <n v="700"/>
    <n v="14050"/>
    <n v="11660.46"/>
    <n v="14056"/>
    <n v="11660.4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92"/>
    <s v="P"/>
    <s v="Capitalized"/>
    <s v="40 Yard R/O Containers"/>
    <m/>
    <m/>
    <n v="4"/>
    <m/>
    <n v="0"/>
    <m/>
    <m/>
    <s v="CONTAINERS"/>
    <s v="TBA"/>
    <m/>
    <s v="40 YD"/>
    <s v="RO Box"/>
    <d v="2008-11-03T00:00:00"/>
    <d v="2008-11-03T00:00:00"/>
    <m/>
    <n v="700"/>
    <n v="14050"/>
    <n v="78000"/>
    <n v="14056"/>
    <n v="7800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114291"/>
    <s v="P"/>
    <s v="Capitalized"/>
    <s v="6 Yard Commercial Containers"/>
    <m/>
    <m/>
    <n v="9"/>
    <m/>
    <n v="0"/>
    <m/>
    <m/>
    <s v="CONTAINERS"/>
    <s v="TBA"/>
    <m/>
    <s v="6 YD"/>
    <s v="FEL/REL/SL Metal"/>
    <d v="2008-11-03T00:00:00"/>
    <d v="2008-11-03T00:00:00"/>
    <m/>
    <n v="700"/>
    <n v="14050"/>
    <n v="452.14"/>
    <n v="14056"/>
    <n v="452.14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114290"/>
    <s v="P"/>
    <s v="Capitalized"/>
    <s v="2006 FORD F-150"/>
    <m/>
    <m/>
    <n v="1"/>
    <s v="1FTPW14566FA06268"/>
    <n v="2006"/>
    <s v="Ford"/>
    <s v="N/A"/>
    <s v="TRUCKS AND TRAILERS"/>
    <s v="TBA"/>
    <s v="Pickup Truck"/>
    <m/>
    <m/>
    <d v="2011-05-03T00:00:00"/>
    <d v="2011-05-03T00:00:00"/>
    <s v="2184-11-0007-1"/>
    <n v="300"/>
    <n v="14040"/>
    <n v="22311.09"/>
    <n v="14046"/>
    <n v="22311.09"/>
    <n v="0"/>
    <n v="0"/>
    <n v="0"/>
    <n v="51260"/>
    <n v="0"/>
    <n v="0"/>
    <n v="0"/>
    <s v="P"/>
    <m/>
    <n v="6047"/>
    <s v=" "/>
    <x v="20"/>
    <s v="YES"/>
    <m/>
    <m/>
    <m/>
    <m/>
    <m/>
    <m/>
    <m/>
    <m/>
    <m/>
    <m/>
    <s v="No"/>
  </r>
  <r>
    <n v="2183"/>
    <n v="114288"/>
    <s v="P"/>
    <s v="Capitalized"/>
    <s v="Distribute Drive Cams Invoices (Onsite Technicians)"/>
    <m/>
    <m/>
    <n v="1"/>
    <m/>
    <n v="0"/>
    <s v="Drive Cam"/>
    <m/>
    <s v="SHOP EQUIPMENT"/>
    <s v="TBA"/>
    <m/>
    <m/>
    <m/>
    <d v="2009-07-31T00:00:00"/>
    <d v="2009-07-31T00:00:00"/>
    <s v="2184-9-0011-1"/>
    <n v="500"/>
    <n v="14070"/>
    <n v="8065.49"/>
    <n v="14076"/>
    <n v="8065.49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87"/>
    <s v="P"/>
    <s v="Capitalized"/>
    <s v="For Install Drive Cam on Frontline (132 - DriveCams)"/>
    <m/>
    <m/>
    <n v="1"/>
    <m/>
    <n v="0"/>
    <s v="Drive Cam"/>
    <m/>
    <s v="SHOP EQUIPMENT"/>
    <s v="TBA"/>
    <m/>
    <m/>
    <m/>
    <d v="2009-06-30T00:00:00"/>
    <d v="2009-06-30T00:00:00"/>
    <s v="2184-9-0011-1"/>
    <n v="500"/>
    <n v="14070"/>
    <n v="25464.65"/>
    <n v="14076"/>
    <n v="25464.6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86"/>
    <n v="114285"/>
    <s v="Capitalized"/>
    <s v="Install AA Welding Auto Tarper"/>
    <m/>
    <m/>
    <n v="1"/>
    <m/>
    <n v="0"/>
    <s v="SOLID WASTE SYSTEMS INC"/>
    <m/>
    <s v="TRUCKS AND TRAILERS"/>
    <s v="TBA"/>
    <s v="Non-Rolling Stock"/>
    <m/>
    <m/>
    <d v="2013-11-12T00:00:00"/>
    <d v="2013-11-12T00:00:00"/>
    <s v="2184-13-0001-2"/>
    <n v="300"/>
    <n v="14040"/>
    <n v="8837.86"/>
    <n v="14046"/>
    <n v="8837.8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85"/>
    <s v="P"/>
    <s v="Capitalized"/>
    <s v="2008 Type H Drop R/O"/>
    <m/>
    <m/>
    <n v="1"/>
    <s v="4V5M99EH08N487371"/>
    <n v="2008"/>
    <s v="Volvo"/>
    <s v="Helm"/>
    <s v="TRUCKS AND TRAILERS"/>
    <s v="TBA"/>
    <s v="Roll Off"/>
    <m/>
    <m/>
    <d v="2008-11-03T00:00:00"/>
    <d v="2008-11-03T00:00:00"/>
    <m/>
    <n v="900"/>
    <n v="14040"/>
    <n v="106500"/>
    <n v="14046"/>
    <n v="106500"/>
    <n v="0"/>
    <n v="0"/>
    <n v="0"/>
    <n v="51260"/>
    <n v="0"/>
    <n v="0"/>
    <n v="0"/>
    <s v="A"/>
    <s v="LeMay Enterprises"/>
    <n v="4062"/>
    <s v=" "/>
    <x v="20"/>
    <s v="YES"/>
    <m/>
    <m/>
    <m/>
    <m/>
    <m/>
    <m/>
    <m/>
    <m/>
    <m/>
    <m/>
    <s v="No"/>
  </r>
  <r>
    <n v="2183"/>
    <n v="114279"/>
    <n v="114278"/>
    <s v="Capitalized"/>
    <s v="FLUP - Truck 1029"/>
    <m/>
    <m/>
    <n v="1"/>
    <n v="264787"/>
    <n v="2000"/>
    <m/>
    <m/>
    <s v="TRUCKS AND TRAILERS"/>
    <s v="TBA"/>
    <s v="Non-Rolling Stock"/>
    <m/>
    <m/>
    <d v="2009-06-01T00:00:00"/>
    <d v="2009-06-01T00:00:00"/>
    <s v="2183-9-0019-1"/>
    <n v="300"/>
    <n v="14040"/>
    <n v="2915.87"/>
    <n v="14046"/>
    <n v="2915.87"/>
    <n v="0"/>
    <n v="0"/>
    <n v="0"/>
    <n v="51260"/>
    <n v="0"/>
    <n v="0"/>
    <n v="0"/>
    <s v="P"/>
    <m/>
    <n v="1029"/>
    <s v=" "/>
    <x v="20"/>
    <s v="YES"/>
    <m/>
    <m/>
    <m/>
    <m/>
    <m/>
    <m/>
    <m/>
    <m/>
    <m/>
    <m/>
    <s v="No"/>
  </r>
  <r>
    <n v="2183"/>
    <n v="114278"/>
    <s v="P"/>
    <s v="Capitalized"/>
    <s v="2000 Type H Rear REL"/>
    <m/>
    <m/>
    <n v="1"/>
    <s v="1HTSDAAN6YH264787"/>
    <n v="2000"/>
    <s v="International"/>
    <s v="McNeilus"/>
    <s v="TRUCKS AND TRAILERS"/>
    <s v="TBA"/>
    <s v="Rear Loader"/>
    <m/>
    <m/>
    <d v="2008-11-03T00:00:00"/>
    <d v="2008-11-03T00:00:00"/>
    <m/>
    <n v="300"/>
    <n v="14040"/>
    <n v="43500"/>
    <n v="14046"/>
    <n v="43500"/>
    <n v="0"/>
    <n v="0"/>
    <n v="0"/>
    <n v="51260"/>
    <n v="0"/>
    <n v="0"/>
    <n v="0"/>
    <s v="A"/>
    <s v="LeMay Enterprises"/>
    <n v="1029"/>
    <s v=" "/>
    <x v="20"/>
    <s v="YES"/>
    <m/>
    <m/>
    <m/>
    <m/>
    <m/>
    <m/>
    <m/>
    <m/>
    <m/>
    <m/>
    <s v="No"/>
  </r>
  <r>
    <n v="2183"/>
    <n v="114276"/>
    <s v="P"/>
    <s v="Capitalized"/>
    <s v="FLUP - 995Compactor"/>
    <m/>
    <m/>
    <n v="1"/>
    <m/>
    <n v="0"/>
    <m/>
    <m/>
    <s v="HEAVY EQUIPMENT"/>
    <s v="TBA"/>
    <s v="Non-Rolling Stock"/>
    <m/>
    <m/>
    <d v="2009-05-03T00:00:00"/>
    <d v="2009-05-03T00:00:00"/>
    <s v="2184-9-0001-1"/>
    <n v="300"/>
    <n v="14030"/>
    <n v="34320.639999999999"/>
    <n v="14036"/>
    <n v="34320.639999999999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4273"/>
    <s v="P"/>
    <s v="Capitalized"/>
    <s v="6 YD Container"/>
    <m/>
    <m/>
    <n v="97"/>
    <m/>
    <n v="0"/>
    <m/>
    <m/>
    <s v="CONTAINERS"/>
    <s v="TBA"/>
    <m/>
    <m/>
    <m/>
    <d v="2008-11-03T00:00:00"/>
    <d v="2008-11-03T00:00:00"/>
    <m/>
    <n v="700"/>
    <n v="14050"/>
    <n v="9700"/>
    <n v="14056"/>
    <n v="970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114272"/>
    <s v="P"/>
    <s v="Capitalized"/>
    <s v="Comm Customer List"/>
    <m/>
    <m/>
    <n v="1"/>
    <m/>
    <n v="0"/>
    <m/>
    <m/>
    <s v="CUSTOMER LISTS"/>
    <s v="TBA"/>
    <m/>
    <m/>
    <m/>
    <d v="2008-11-03T00:00:00"/>
    <d v="2008-11-03T00:00:00"/>
    <m/>
    <n v="1000"/>
    <n v="15220"/>
    <n v="1010555.08"/>
    <n v="15226"/>
    <n v="1010555.08"/>
    <n v="0"/>
    <n v="0"/>
    <n v="0"/>
    <n v="70264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114271"/>
    <s v="P"/>
    <s v="Capitalized"/>
    <s v="2008 Type H Drop R/O"/>
    <m/>
    <m/>
    <n v="1"/>
    <s v="4V5M99GH18N487358"/>
    <n v="2008"/>
    <s v="Volvo"/>
    <s v="Helm"/>
    <s v="TRUCKS AND TRAILERS"/>
    <s v="TBA"/>
    <s v="Roll Off"/>
    <m/>
    <m/>
    <d v="2008-11-03T00:00:00"/>
    <d v="2008-11-03T00:00:00"/>
    <m/>
    <n v="900"/>
    <n v="14040"/>
    <n v="106500"/>
    <n v="14046"/>
    <n v="106500"/>
    <n v="0"/>
    <n v="0"/>
    <n v="0"/>
    <n v="51260"/>
    <n v="0"/>
    <n v="0"/>
    <n v="0"/>
    <s v="A"/>
    <s v="LeMay Enterprises"/>
    <n v="4059"/>
    <s v=" "/>
    <x v="20"/>
    <s v="YES"/>
    <m/>
    <m/>
    <m/>
    <m/>
    <m/>
    <m/>
    <m/>
    <m/>
    <m/>
    <m/>
    <s v="No"/>
  </r>
  <r>
    <n v="2183"/>
    <n v="114269"/>
    <s v="P"/>
    <s v="Capitalized"/>
    <s v="2004 Type M Hook HL"/>
    <m/>
    <m/>
    <n v="1"/>
    <s v="1HTMMAAL84H664898"/>
    <n v="2004"/>
    <s v="International"/>
    <s v="Other"/>
    <s v="TRUCKS AND TRAILERS"/>
    <s v="TBA"/>
    <s v="Hooklift"/>
    <m/>
    <m/>
    <d v="2008-11-03T00:00:00"/>
    <d v="2008-11-03T00:00:00"/>
    <m/>
    <n v="500"/>
    <n v="14040"/>
    <n v="46500"/>
    <n v="14046"/>
    <n v="46500"/>
    <n v="0"/>
    <n v="0"/>
    <n v="0"/>
    <n v="51260"/>
    <n v="0"/>
    <n v="0"/>
    <n v="0"/>
    <s v="A"/>
    <s v="LeMay Enterprises"/>
    <n v="4518"/>
    <s v=" "/>
    <x v="20"/>
    <s v="YES"/>
    <m/>
    <m/>
    <m/>
    <m/>
    <m/>
    <m/>
    <m/>
    <m/>
    <m/>
    <m/>
    <s v="No"/>
  </r>
  <r>
    <n v="2183"/>
    <n v="114268"/>
    <s v="P"/>
    <s v="Capitalized"/>
    <s v="2002 Type H Rear REL"/>
    <m/>
    <m/>
    <n v="1"/>
    <s v="1HTSDAAN72H523150"/>
    <n v="2002"/>
    <s v="International"/>
    <s v="McNeilus"/>
    <s v="TRUCKS AND TRAILERS"/>
    <s v="TBA"/>
    <s v="Rear Loader"/>
    <m/>
    <m/>
    <d v="2008-11-03T00:00:00"/>
    <d v="2008-11-03T00:00:00"/>
    <m/>
    <n v="300"/>
    <n v="14040"/>
    <n v="53500"/>
    <n v="14046"/>
    <n v="53500"/>
    <n v="0"/>
    <n v="0"/>
    <n v="0"/>
    <n v="51260"/>
    <n v="0"/>
    <n v="0"/>
    <n v="0"/>
    <s v="A"/>
    <s v="LeMay Enterprises"/>
    <n v="1036"/>
    <s v=" "/>
    <x v="20"/>
    <s v="YES"/>
    <m/>
    <m/>
    <m/>
    <m/>
    <m/>
    <m/>
    <m/>
    <m/>
    <m/>
    <m/>
    <s v="No"/>
  </r>
  <r>
    <n v="2183"/>
    <n v="113498"/>
    <s v="P"/>
    <s v="Capitalized"/>
    <s v="95 Gal Yardwaste Plastic Carts &amp; Lids"/>
    <m/>
    <m/>
    <n v="486"/>
    <m/>
    <n v="0"/>
    <s v="REHRIG PACIFIC COMPANY"/>
    <m/>
    <s v="CONTAINERS"/>
    <s v="TBA"/>
    <m/>
    <m/>
    <m/>
    <d v="2014-06-02T00:00:00"/>
    <d v="2014-06-02T00:00:00"/>
    <s v="2183-14-0022-1"/>
    <n v="700"/>
    <n v="14050"/>
    <n v="28222.41"/>
    <n v="14056"/>
    <n v="28222.4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3497"/>
    <s v="P"/>
    <s v="Capitalized"/>
    <s v="95 Gal Yardwaste Plastic Carts &amp; Lids"/>
    <m/>
    <m/>
    <n v="486"/>
    <m/>
    <n v="0"/>
    <s v="REHRIG PACIFIC COMPANY"/>
    <m/>
    <s v="CONTAINERS"/>
    <s v="TBA"/>
    <m/>
    <m/>
    <m/>
    <d v="2014-06-02T00:00:00"/>
    <d v="2014-06-02T00:00:00"/>
    <s v="2183-14-0022-1"/>
    <n v="700"/>
    <n v="14050"/>
    <n v="28222.41"/>
    <n v="14056"/>
    <n v="28222.4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3272"/>
    <s v="P"/>
    <s v="Capitalized"/>
    <s v="Wyse Winterms D10D"/>
    <m/>
    <m/>
    <n v="2"/>
    <m/>
    <n v="0"/>
    <s v="CDW"/>
    <m/>
    <s v="HARDWARE AND SOFTWARE"/>
    <s v="TBA"/>
    <m/>
    <m/>
    <m/>
    <d v="2014-04-20T00:00:00"/>
    <d v="2014-04-20T00:00:00"/>
    <s v="2000-14-0006-1"/>
    <n v="300"/>
    <n v="14110"/>
    <n v="656.58"/>
    <n v="14116"/>
    <n v="656.58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2465"/>
    <s v="P"/>
    <s v="Capitalized"/>
    <s v="20 Gal Carts"/>
    <m/>
    <m/>
    <n v="210"/>
    <m/>
    <n v="0"/>
    <s v="REHRIG PACIFIC COMPANY"/>
    <m/>
    <s v="CONTAINERS"/>
    <s v="TBA"/>
    <m/>
    <m/>
    <m/>
    <d v="2014-03-21T00:00:00"/>
    <d v="2014-03-21T00:00:00"/>
    <s v="2183-14-0021-1"/>
    <n v="700"/>
    <n v="14050"/>
    <n v="9383.1"/>
    <n v="14056"/>
    <n v="9383.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2464"/>
    <s v="P"/>
    <s v="Capitalized"/>
    <s v="35 Gal Carts"/>
    <m/>
    <m/>
    <n v="810"/>
    <m/>
    <n v="0"/>
    <s v="REHRIG PACIFIC COMPANY"/>
    <m/>
    <s v="CONTAINERS"/>
    <s v="TBA"/>
    <m/>
    <m/>
    <m/>
    <d v="2014-03-21T00:00:00"/>
    <d v="2014-03-21T00:00:00"/>
    <s v="2183-14-0021-1"/>
    <n v="700"/>
    <n v="14050"/>
    <n v="30408.07"/>
    <n v="14056"/>
    <n v="30408.0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2463"/>
    <s v="P"/>
    <s v="Capitalized"/>
    <s v="65 Gal Carts"/>
    <m/>
    <m/>
    <n v="324"/>
    <m/>
    <n v="0"/>
    <s v="REHRIG PACIFIC COMPANY"/>
    <m/>
    <s v="CONTAINERS"/>
    <s v="TBA"/>
    <m/>
    <m/>
    <m/>
    <d v="2014-03-21T00:00:00"/>
    <d v="2014-03-21T00:00:00"/>
    <s v="2183-14-0021-1"/>
    <n v="700"/>
    <n v="14050"/>
    <n v="16748.46"/>
    <n v="14056"/>
    <n v="16748.4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2462"/>
    <s v="P"/>
    <s v="Capitalized"/>
    <s v="95 Gal Carts"/>
    <m/>
    <m/>
    <n v="243"/>
    <m/>
    <n v="0"/>
    <s v="REHRIG PACIFIC COMPANY"/>
    <m/>
    <s v="CONTAINERS"/>
    <s v="TBA"/>
    <m/>
    <m/>
    <m/>
    <d v="2014-03-21T00:00:00"/>
    <d v="2014-03-21T00:00:00"/>
    <s v="2183-14-0021-1"/>
    <n v="700"/>
    <n v="14050"/>
    <n v="14855.45"/>
    <n v="14056"/>
    <n v="14855.4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2461"/>
    <s v="P"/>
    <s v="Capitalized"/>
    <s v="95 Gal Carts"/>
    <m/>
    <m/>
    <n v="486"/>
    <m/>
    <n v="0"/>
    <s v="REHRIG PACIFIC COMPANY"/>
    <m/>
    <s v="CONTAINERS"/>
    <s v="TBA"/>
    <m/>
    <m/>
    <m/>
    <d v="2014-03-21T00:00:00"/>
    <d v="2014-03-21T00:00:00"/>
    <s v="2183-14-0021-1"/>
    <n v="700"/>
    <n v="14050"/>
    <n v="27064.05"/>
    <n v="14056"/>
    <n v="27064.0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1304"/>
    <n v="111303"/>
    <s v="Capitalized"/>
    <s v="Side Loader Door Decals"/>
    <m/>
    <m/>
    <n v="1"/>
    <m/>
    <n v="0"/>
    <s v="Sign Connections"/>
    <m/>
    <s v="TRUCKS AND TRAILERS"/>
    <s v="TBA"/>
    <s v="Non-Rolling Stock"/>
    <m/>
    <m/>
    <d v="2014-01-01T00:00:00"/>
    <d v="2014-01-01T00:00:00"/>
    <s v="2186-13-0004-1"/>
    <n v="1000"/>
    <n v="14040"/>
    <n v="904.93"/>
    <n v="14046"/>
    <n v="904.93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11303"/>
    <s v="P"/>
    <s v="Capitalized"/>
    <s v="2014 ASL Truck"/>
    <m/>
    <m/>
    <n v="1"/>
    <s v="3BPZL70X5EF234891"/>
    <n v="2014"/>
    <s v="Peterbilt "/>
    <s v="Wayne "/>
    <s v="TRUCKS AND TRAILERS"/>
    <s v="TBA"/>
    <s v="Automated Side Loader"/>
    <m/>
    <m/>
    <d v="2013-12-31T00:00:00"/>
    <d v="2013-12-31T00:00:00"/>
    <s v="2186-13-0004-1"/>
    <n v="1000"/>
    <n v="14040"/>
    <n v="323070.82"/>
    <n v="14046"/>
    <n v="323070.82"/>
    <n v="0"/>
    <n v="0"/>
    <n v="0"/>
    <n v="51260"/>
    <n v="0"/>
    <n v="0"/>
    <n v="0"/>
    <s v="P"/>
    <m/>
    <n v="3542"/>
    <s v=" "/>
    <x v="20"/>
    <s v="YES"/>
    <m/>
    <m/>
    <m/>
    <m/>
    <m/>
    <m/>
    <m/>
    <m/>
    <m/>
    <m/>
    <s v="No"/>
  </r>
  <r>
    <n v="2183"/>
    <n v="110576"/>
    <s v="P"/>
    <s v="Capitalized"/>
    <s v="2014 Isuzu Truck"/>
    <m/>
    <m/>
    <n v="1"/>
    <s v="JALE5W166E7301706"/>
    <n v="2014"/>
    <s v="Isuzu"/>
    <s v="Heiser/ SWS"/>
    <s v="TRUCKS AND TRAILERS"/>
    <s v="TBA"/>
    <s v="Service Truck"/>
    <m/>
    <m/>
    <d v="2014-01-01T00:00:00"/>
    <d v="2014-01-01T00:00:00"/>
    <s v="2183-13-0015-1"/>
    <n v="1000"/>
    <n v="14040"/>
    <n v="98824.34"/>
    <n v="14046"/>
    <n v="98824.34"/>
    <n v="0"/>
    <n v="0"/>
    <n v="0"/>
    <n v="51260"/>
    <n v="0"/>
    <n v="0"/>
    <n v="0"/>
    <s v="P"/>
    <m/>
    <n v="9228"/>
    <s v=" "/>
    <x v="20"/>
    <s v="YES"/>
    <m/>
    <m/>
    <m/>
    <m/>
    <m/>
    <m/>
    <m/>
    <m/>
    <m/>
    <m/>
    <s v="No"/>
  </r>
  <r>
    <n v="2183"/>
    <n v="109992"/>
    <n v="61120"/>
    <s v="Capitalized"/>
    <s v="Engine Replacement Unit 3603"/>
    <m/>
    <m/>
    <n v="1"/>
    <m/>
    <n v="0"/>
    <s v="WESTERN PETERBILT, INC."/>
    <m/>
    <s v="TRUCKS AND TRAILERS"/>
    <s v="TBA"/>
    <s v="Non-Rolling Stock"/>
    <m/>
    <m/>
    <d v="2013-12-31T00:00:00"/>
    <d v="2013-12-31T00:00:00"/>
    <s v="2183-13-0018-1"/>
    <n v="300"/>
    <n v="14040"/>
    <n v="24943.74"/>
    <n v="14046"/>
    <n v="24943.7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582"/>
    <s v="P"/>
    <s v="Capitalized"/>
    <s v="Radio Frequency"/>
    <m/>
    <m/>
    <n v="1"/>
    <m/>
    <n v="0"/>
    <m/>
    <m/>
    <s v="HARDWARE AND SOFTWARE"/>
    <s v="TBA"/>
    <m/>
    <m/>
    <m/>
    <d v="2013-12-18T00:00:00"/>
    <d v="2013-12-18T00:00:00"/>
    <s v="2183-13-0017-1"/>
    <n v="300"/>
    <n v="14110"/>
    <n v="134875"/>
    <n v="14116"/>
    <n v="13487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519"/>
    <s v="P"/>
    <s v="Capitalized"/>
    <s v="2014 ASL Truck"/>
    <m/>
    <m/>
    <n v="1"/>
    <s v="3BPZL70XXEF223336"/>
    <n v="2014"/>
    <s v="Peterbilt"/>
    <s v="Wayne"/>
    <s v="TRUCKS AND TRAILERS"/>
    <s v="TBA"/>
    <s v="Automated Side Loader"/>
    <m/>
    <m/>
    <d v="2013-12-31T00:00:00"/>
    <d v="2013-12-31T00:00:00"/>
    <s v="2183-13-0004-3"/>
    <n v="1000"/>
    <n v="14040"/>
    <n v="332641.82"/>
    <n v="14046"/>
    <n v="332641.82"/>
    <n v="0"/>
    <n v="0"/>
    <n v="0"/>
    <n v="51260"/>
    <n v="0"/>
    <n v="0"/>
    <n v="0"/>
    <s v="P"/>
    <m/>
    <n v="3541"/>
    <s v=" "/>
    <x v="20"/>
    <s v="YES"/>
    <m/>
    <m/>
    <m/>
    <m/>
    <m/>
    <m/>
    <m/>
    <m/>
    <m/>
    <m/>
    <s v="No"/>
  </r>
  <r>
    <n v="2183"/>
    <n v="109518"/>
    <s v="P"/>
    <s v="Capitalized"/>
    <s v="2013 ASL Truck"/>
    <m/>
    <m/>
    <n v="1"/>
    <s v="3BPZL70X9DF176282"/>
    <n v="2013"/>
    <s v="Peterbilt"/>
    <s v="Wayne"/>
    <s v="TRUCKS AND TRAILERS"/>
    <s v="TBA"/>
    <s v="Automated Side Loader"/>
    <m/>
    <m/>
    <d v="2013-12-31T00:00:00"/>
    <d v="2013-12-31T00:00:00"/>
    <s v="2183-13-0004-2"/>
    <n v="900"/>
    <n v="14040"/>
    <n v="334095.67"/>
    <n v="14046"/>
    <n v="334095.67"/>
    <n v="0"/>
    <n v="0"/>
    <n v="0"/>
    <n v="51260"/>
    <n v="0"/>
    <n v="0"/>
    <n v="0"/>
    <s v="P"/>
    <m/>
    <n v="3540"/>
    <s v=" "/>
    <x v="20"/>
    <s v="YES"/>
    <m/>
    <m/>
    <m/>
    <m/>
    <m/>
    <m/>
    <m/>
    <m/>
    <m/>
    <m/>
    <s v="No"/>
  </r>
  <r>
    <n v="2183"/>
    <n v="109517"/>
    <s v="P"/>
    <s v="Capitalized"/>
    <s v="2013 ASL Truck"/>
    <m/>
    <m/>
    <n v="1"/>
    <s v="3BPZL70X6DF184419"/>
    <n v="2013"/>
    <s v="Peterbilt"/>
    <s v="Wayne"/>
    <s v="TRUCKS AND TRAILERS"/>
    <s v="TBA"/>
    <s v="Automated Side Loader"/>
    <m/>
    <m/>
    <d v="2013-12-31T00:00:00"/>
    <d v="2013-12-31T00:00:00"/>
    <s v="2183-13-0004-1"/>
    <n v="900"/>
    <n v="14040"/>
    <n v="331758.37"/>
    <n v="14046"/>
    <n v="331758.37"/>
    <n v="0"/>
    <n v="0"/>
    <n v="0"/>
    <n v="51260"/>
    <n v="0"/>
    <n v="0"/>
    <n v="0"/>
    <s v="P"/>
    <m/>
    <n v="3539"/>
    <s v=" "/>
    <x v="20"/>
    <s v="YES"/>
    <m/>
    <m/>
    <m/>
    <m/>
    <m/>
    <m/>
    <m/>
    <m/>
    <m/>
    <m/>
    <s v="No"/>
  </r>
  <r>
    <n v="2183"/>
    <n v="109344"/>
    <s v="P"/>
    <s v="Capitalized"/>
    <s v="35 Gallon Refuse Carts"/>
    <m/>
    <m/>
    <n v="1080"/>
    <m/>
    <n v="0"/>
    <s v="REHRIG PACIFIC COMPANY"/>
    <m/>
    <s v="CONTAINERS"/>
    <s v="TBA"/>
    <m/>
    <m/>
    <m/>
    <d v="2013-11-05T00:00:00"/>
    <d v="2013-11-05T00:00:00"/>
    <s v="2183-13-0016-1"/>
    <n v="700"/>
    <n v="14050"/>
    <n v="38869.17"/>
    <n v="14056"/>
    <n v="38869.1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343"/>
    <s v="P"/>
    <s v="Capitalized"/>
    <s v="95 Gallon Recycle Cart"/>
    <m/>
    <m/>
    <n v="1"/>
    <m/>
    <n v="0"/>
    <s v="REHRIG PACIFIC COMPANY"/>
    <m/>
    <s v="CONTAINERS"/>
    <s v="TBA"/>
    <m/>
    <m/>
    <m/>
    <d v="2013-11-11T00:00:00"/>
    <d v="2013-11-11T00:00:00"/>
    <s v="2183-13-0016-2"/>
    <n v="700"/>
    <n v="14050"/>
    <n v="47.49"/>
    <n v="14056"/>
    <n v="47.4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342"/>
    <s v="P"/>
    <s v="Capitalized"/>
    <s v="95 Gallon Recycle Carts"/>
    <m/>
    <m/>
    <n v="121"/>
    <m/>
    <n v="0"/>
    <s v="REHRIG PACIFIC COMPANY"/>
    <m/>
    <s v="CONTAINERS"/>
    <s v="TBA"/>
    <m/>
    <m/>
    <m/>
    <d v="2013-11-04T00:00:00"/>
    <d v="2013-11-04T00:00:00"/>
    <s v="2183-13-0016-2"/>
    <n v="700"/>
    <n v="14050"/>
    <n v="7248.64"/>
    <n v="14056"/>
    <n v="7248.64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341"/>
    <s v="P"/>
    <s v="Capitalized"/>
    <s v="95 Gallon Refuse Cart"/>
    <m/>
    <m/>
    <n v="122"/>
    <m/>
    <n v="0"/>
    <s v="REHRIG PACIFIC COMPANY"/>
    <m/>
    <s v="CONTAINERS"/>
    <s v="TBA"/>
    <m/>
    <m/>
    <m/>
    <d v="2013-11-04T00:00:00"/>
    <d v="2013-11-04T00:00:00"/>
    <s v="2183-13-0016-3"/>
    <n v="700"/>
    <n v="14050"/>
    <n v="7308.09"/>
    <n v="14056"/>
    <n v="7308.0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186"/>
    <s v="P"/>
    <s v="Capitalized"/>
    <s v="65 Gallon Refuse Carts"/>
    <m/>
    <m/>
    <n v="324"/>
    <m/>
    <n v="0"/>
    <s v="REHRIG PACIFIC COMPANY"/>
    <m/>
    <s v="CONTAINERS"/>
    <s v="TBA"/>
    <m/>
    <m/>
    <m/>
    <d v="2013-11-11T00:00:00"/>
    <d v="2013-11-11T00:00:00"/>
    <s v="2183-13-0016-2"/>
    <n v="700"/>
    <n v="14050"/>
    <n v="13520.49"/>
    <n v="14056"/>
    <n v="13520.4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182"/>
    <n v="61096"/>
    <s v="Capitalized"/>
    <s v="AA Welding Tarping System &amp; Installation"/>
    <m/>
    <m/>
    <n v="1"/>
    <m/>
    <n v="0"/>
    <s v="SOLID WASTE SYSTEMS INC"/>
    <m/>
    <s v="TRUCKS AND TRAILERS"/>
    <s v="TBA"/>
    <s v="Non-Rolling Stock"/>
    <m/>
    <m/>
    <d v="2013-10-23T00:00:00"/>
    <d v="2013-10-23T00:00:00"/>
    <s v="2183-13-0008-1"/>
    <n v="300"/>
    <n v="14040"/>
    <n v="8837.86"/>
    <n v="14046"/>
    <n v="8837.8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181"/>
    <n v="61125"/>
    <s v="Capitalized"/>
    <s v="AA Welding Tarping System &amp; Installation"/>
    <m/>
    <m/>
    <n v="1"/>
    <m/>
    <n v="0"/>
    <s v="SOLID WASTE SYSTEMS INC"/>
    <m/>
    <s v="TRUCKS AND TRAILERS"/>
    <s v="TBA"/>
    <s v="Non-Rolling Stock"/>
    <m/>
    <m/>
    <d v="2013-10-23T00:00:00"/>
    <d v="2013-10-23T00:00:00"/>
    <s v="2183-13-0008-3"/>
    <n v="300"/>
    <n v="14040"/>
    <n v="8837.86"/>
    <n v="14046"/>
    <n v="8837.8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9180"/>
    <n v="61097"/>
    <s v="Capitalized"/>
    <s v="AA Welding Tarping System &amp; Installation"/>
    <m/>
    <m/>
    <n v="1"/>
    <m/>
    <n v="0"/>
    <s v="SOLID WASTE SYSTEMS INC"/>
    <m/>
    <s v="TRUCKS AND TRAILERS"/>
    <s v="TBA"/>
    <s v="Non-Rolling Stock"/>
    <m/>
    <m/>
    <d v="2013-10-23T00:00:00"/>
    <d v="2013-10-23T00:00:00"/>
    <s v="2183-13-0008-5"/>
    <n v="300"/>
    <n v="14040"/>
    <n v="8837.86"/>
    <n v="14046"/>
    <n v="8837.8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8675"/>
    <n v="61112"/>
    <s v="Capitalized"/>
    <s v="Install AA Welding Auto Tarper"/>
    <m/>
    <m/>
    <n v="1"/>
    <m/>
    <n v="0"/>
    <s v="SOLID WASTE SYSTEMS INC"/>
    <m/>
    <s v="TRUCKS AND TRAILERS"/>
    <s v="TBA"/>
    <s v="Non-Rolling Stock"/>
    <m/>
    <m/>
    <d v="2013-11-12T00:00:00"/>
    <d v="2013-11-12T00:00:00"/>
    <s v="2183-13-0008-2"/>
    <n v="300"/>
    <n v="14040"/>
    <n v="8837.86"/>
    <n v="14046"/>
    <n v="8837.8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8250"/>
    <s v="P"/>
    <s v="Capitalized"/>
    <s v="HP Compaq 6300 pro (SN = MXL3291GFX)"/>
    <m/>
    <m/>
    <n v="1"/>
    <m/>
    <n v="0"/>
    <s v="CDW"/>
    <m/>
    <s v="HARDWARE AND SOFTWARE"/>
    <s v="TBA"/>
    <m/>
    <m/>
    <m/>
    <d v="2013-10-15T00:00:00"/>
    <d v="2013-10-15T00:00:00"/>
    <s v="2183-13-0013-1"/>
    <n v="300"/>
    <n v="14110"/>
    <n v="743.47"/>
    <n v="14116"/>
    <n v="743.4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8086"/>
    <n v="61121"/>
    <s v="Capitalized"/>
    <s v="Remove Engine and re-install Remanufactured Engine"/>
    <m/>
    <m/>
    <n v="1"/>
    <m/>
    <n v="0"/>
    <s v="N C MACHINERY"/>
    <m/>
    <s v="TRUCKS AND TRAILERS"/>
    <s v="TBA"/>
    <s v="Non-Rolling Stock"/>
    <m/>
    <m/>
    <d v="2013-10-18T00:00:00"/>
    <d v="2013-10-18T00:00:00"/>
    <s v="2183-13-0014-1"/>
    <n v="300"/>
    <n v="14040"/>
    <n v="23561.96"/>
    <n v="14046"/>
    <n v="23561.9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7455"/>
    <s v="P"/>
    <s v="Capitalized"/>
    <s v="65 Gal Resi Carts w/lids"/>
    <m/>
    <m/>
    <n v="162"/>
    <m/>
    <n v="0"/>
    <s v="REHRIG PACIFIC COMPANY"/>
    <m/>
    <s v="CONTAINERS"/>
    <s v="TBA"/>
    <m/>
    <m/>
    <m/>
    <d v="2013-07-27T00:00:00"/>
    <d v="2013-07-27T00:00:00"/>
    <s v="2183-13-0002-5"/>
    <n v="700"/>
    <n v="14050"/>
    <n v="7724.66"/>
    <n v="14056"/>
    <n v="7724.6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7454"/>
    <s v="P"/>
    <s v="Capitalized"/>
    <s v="95 Gal Resi Carts"/>
    <m/>
    <m/>
    <n v="237"/>
    <m/>
    <n v="0"/>
    <s v="REHRIG PACIFIC COMPANY"/>
    <m/>
    <s v="CONTAINERS"/>
    <s v="TBA"/>
    <m/>
    <m/>
    <m/>
    <d v="2013-07-27T00:00:00"/>
    <d v="2013-07-27T00:00:00"/>
    <s v="2183-13-0002-5"/>
    <n v="700"/>
    <n v="14050"/>
    <n v="13002.62"/>
    <n v="14056"/>
    <n v="13002.6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7453"/>
    <s v="P"/>
    <s v="Capitalized"/>
    <s v="95 Gal Resi Carts"/>
    <m/>
    <m/>
    <n v="5"/>
    <m/>
    <n v="0"/>
    <s v="REHRIG PACIFIC COMPANY"/>
    <m/>
    <s v="CONTAINERS"/>
    <s v="TBA"/>
    <m/>
    <m/>
    <m/>
    <d v="2013-07-27T00:00:00"/>
    <d v="2013-07-27T00:00:00"/>
    <s v="2183-13-0002-4"/>
    <n v="700"/>
    <n v="14050"/>
    <n v="243.98"/>
    <n v="14056"/>
    <n v="243.9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7452"/>
    <s v="P"/>
    <s v="Capitalized"/>
    <s v="95 GAL Recycle Carts"/>
    <m/>
    <m/>
    <n v="486"/>
    <m/>
    <n v="0"/>
    <s v="REHRIG PACIFIC COMPANY"/>
    <m/>
    <s v="CONTAINERS"/>
    <s v="TBA"/>
    <m/>
    <m/>
    <m/>
    <d v="2013-07-27T00:00:00"/>
    <d v="2013-07-27T00:00:00"/>
    <s v="2183-13-0002-6"/>
    <n v="700"/>
    <n v="14050"/>
    <n v="24969.75"/>
    <n v="14056"/>
    <n v="24969.7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7430"/>
    <s v="P"/>
    <s v="Capitalized"/>
    <s v="6yd FEL Containers"/>
    <m/>
    <m/>
    <n v="10"/>
    <m/>
    <n v="0"/>
    <s v="CAPITAL INDUSTRIES INC"/>
    <m/>
    <s v="CONTAINERS"/>
    <s v="TBA"/>
    <m/>
    <s v="6 YD"/>
    <s v="FEL/REL/SL Metal"/>
    <d v="2013-09-19T00:00:00"/>
    <d v="2013-09-19T00:00:00"/>
    <s v="2183-13-0003-2"/>
    <n v="1200"/>
    <n v="14050"/>
    <n v="3940.38"/>
    <n v="14056"/>
    <n v="3475.23"/>
    <n v="0"/>
    <n v="465.15000000000009"/>
    <n v="109.44"/>
    <n v="54260"/>
    <n v="27.36"/>
    <n v="0"/>
    <n v="27.36"/>
    <s v="P"/>
    <m/>
    <m/>
    <s v=" "/>
    <x v="20"/>
    <s v="YES"/>
    <m/>
    <m/>
    <m/>
    <m/>
    <m/>
    <m/>
    <m/>
    <m/>
    <m/>
    <m/>
    <s v="No"/>
  </r>
  <r>
    <n v="2183"/>
    <n v="107429"/>
    <s v="P"/>
    <s v="Capitalized"/>
    <s v="6yd FEL Containers"/>
    <m/>
    <m/>
    <n v="4"/>
    <m/>
    <n v="0"/>
    <s v="CAPITAL INDUSTRIES INC"/>
    <m/>
    <s v="CONTAINERS"/>
    <s v="TBA"/>
    <m/>
    <s v="6 YD"/>
    <s v="FEL/REL/SL Metal"/>
    <d v="2013-09-19T00:00:00"/>
    <d v="2013-09-19T00:00:00"/>
    <s v="2183-13-0003-2"/>
    <n v="1200"/>
    <n v="14050"/>
    <n v="3152.3"/>
    <n v="14056"/>
    <n v="2780.13"/>
    <n v="0"/>
    <n v="372.17000000000007"/>
    <n v="87.56"/>
    <n v="54260"/>
    <n v="21.89"/>
    <n v="0"/>
    <n v="21.89"/>
    <s v="P"/>
    <m/>
    <m/>
    <s v=" "/>
    <x v="20"/>
    <s v="YES"/>
    <m/>
    <m/>
    <m/>
    <m/>
    <m/>
    <m/>
    <m/>
    <m/>
    <m/>
    <m/>
    <s v="No"/>
  </r>
  <r>
    <n v="2183"/>
    <n v="107428"/>
    <s v="P"/>
    <s v="Capitalized"/>
    <s v="6yd FEL Containers"/>
    <m/>
    <m/>
    <n v="11"/>
    <m/>
    <n v="0"/>
    <s v="CAPITAL INDUSTRIES INC"/>
    <m/>
    <s v="CONTAINERS"/>
    <s v="TBA"/>
    <m/>
    <s v="6 YD"/>
    <s v="FEL/REL/SL Metal"/>
    <d v="2013-09-19T00:00:00"/>
    <d v="2013-09-19T00:00:00"/>
    <s v="2183-13-0003-2"/>
    <n v="1200"/>
    <n v="14050"/>
    <n v="8668.83"/>
    <n v="14056"/>
    <n v="7645.4"/>
    <n v="0"/>
    <n v="1023.4300000000003"/>
    <n v="240.8"/>
    <n v="54260"/>
    <n v="60.2"/>
    <n v="0"/>
    <n v="60.2"/>
    <s v="P"/>
    <m/>
    <m/>
    <s v=" "/>
    <x v="20"/>
    <s v="YES"/>
    <m/>
    <m/>
    <m/>
    <m/>
    <m/>
    <m/>
    <m/>
    <m/>
    <m/>
    <m/>
    <s v="No"/>
  </r>
  <r>
    <n v="2183"/>
    <n v="107130"/>
    <s v="P"/>
    <s v="Capitalized"/>
    <s v="4YD FEL Containers"/>
    <m/>
    <m/>
    <n v="8"/>
    <m/>
    <n v="0"/>
    <s v="CAPITAL INDUSTRIES INC"/>
    <m/>
    <s v="CONTAINERS"/>
    <s v="TBA"/>
    <m/>
    <s v="4 YD"/>
    <s v="FEL/REL/SL Metal"/>
    <d v="2013-08-31T00:00:00"/>
    <d v="2013-08-31T00:00:00"/>
    <s v="2183-13-0003-1"/>
    <n v="1200"/>
    <n v="14050"/>
    <n v="5000.2"/>
    <n v="14056"/>
    <n v="4444.58"/>
    <n v="0"/>
    <n v="555.61999999999989"/>
    <n v="138.88"/>
    <n v="54260"/>
    <n v="34.72"/>
    <n v="0"/>
    <n v="34.72"/>
    <s v="P"/>
    <m/>
    <m/>
    <s v=" "/>
    <x v="20"/>
    <s v="YES"/>
    <m/>
    <m/>
    <m/>
    <m/>
    <m/>
    <m/>
    <m/>
    <m/>
    <m/>
    <m/>
    <s v="No"/>
  </r>
  <r>
    <n v="2183"/>
    <n v="107129"/>
    <s v="P"/>
    <s v="Capitalized"/>
    <s v="4YD FEL Containers"/>
    <m/>
    <m/>
    <n v="12"/>
    <m/>
    <n v="0"/>
    <s v="CAPITAL INDUSTRIES INC"/>
    <m/>
    <s v="CONTAINERS"/>
    <s v="TBA"/>
    <m/>
    <s v="4 YD"/>
    <s v="FEL/REL/SL Metal"/>
    <d v="2013-08-31T00:00:00"/>
    <d v="2013-08-31T00:00:00"/>
    <s v="2183-13-0003-2"/>
    <n v="1200"/>
    <n v="14050"/>
    <n v="7500.3"/>
    <n v="14056"/>
    <n v="6667"/>
    <n v="0"/>
    <n v="833.30000000000018"/>
    <n v="208.36"/>
    <n v="54260"/>
    <n v="52.09"/>
    <n v="0"/>
    <n v="52.09"/>
    <s v="P"/>
    <m/>
    <m/>
    <s v=" "/>
    <x v="20"/>
    <s v="YES"/>
    <m/>
    <m/>
    <m/>
    <m/>
    <m/>
    <m/>
    <m/>
    <m/>
    <m/>
    <m/>
    <s v="No"/>
  </r>
  <r>
    <n v="2183"/>
    <n v="107056"/>
    <s v="P"/>
    <s v="Capitalized"/>
    <s v="1yd FEL Containers"/>
    <m/>
    <m/>
    <n v="20"/>
    <m/>
    <n v="0"/>
    <s v="CAPITAL INDUSTRIES INC"/>
    <m/>
    <s v="CONTAINERS"/>
    <s v="TBA"/>
    <m/>
    <s v="1 YD"/>
    <s v="FEL/REL/SL Metal"/>
    <d v="2013-08-12T00:00:00"/>
    <d v="2013-08-12T00:00:00"/>
    <s v="2183-13-0003-1"/>
    <n v="1200"/>
    <n v="14050"/>
    <n v="8913.4"/>
    <n v="14056"/>
    <n v="7984.89"/>
    <n v="0"/>
    <n v="928.50999999999931"/>
    <n v="247.6"/>
    <n v="54260"/>
    <n v="61.9"/>
    <n v="0"/>
    <n v="61.9"/>
    <s v="P"/>
    <m/>
    <m/>
    <s v=" "/>
    <x v="20"/>
    <s v="YES"/>
    <m/>
    <m/>
    <m/>
    <m/>
    <m/>
    <m/>
    <m/>
    <m/>
    <m/>
    <m/>
    <s v="No"/>
  </r>
  <r>
    <n v="2183"/>
    <n v="107055"/>
    <s v="P"/>
    <s v="Capitalized"/>
    <s v="20 Gallon Residential Carts"/>
    <m/>
    <m/>
    <n v="163"/>
    <m/>
    <n v="0"/>
    <s v="REHRIG PACIFIC COMPANY"/>
    <m/>
    <s v="CONTAINERS"/>
    <s v="TBA"/>
    <m/>
    <m/>
    <m/>
    <d v="2013-05-15T00:00:00"/>
    <d v="2013-05-15T00:00:00"/>
    <s v="2183-13-0002-4"/>
    <n v="700"/>
    <n v="14050"/>
    <n v="6529.77"/>
    <n v="14056"/>
    <n v="6529.7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6521"/>
    <s v="P"/>
    <s v="Capitalized"/>
    <s v="95 Gallon Carts"/>
    <m/>
    <m/>
    <n v="243"/>
    <m/>
    <n v="0"/>
    <s v="REHRIG PACIFIC COMPANY"/>
    <m/>
    <s v="CONTAINERS"/>
    <s v="TBA"/>
    <m/>
    <m/>
    <m/>
    <d v="2013-07-24T00:00:00"/>
    <d v="2013-07-24T00:00:00"/>
    <s v="2183-13-0002-5"/>
    <n v="700"/>
    <n v="14050"/>
    <n v="11857.29"/>
    <n v="14056"/>
    <n v="11857.2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6520"/>
    <s v="P"/>
    <s v="Capitalized"/>
    <s v="2 YD CONTAINER"/>
    <m/>
    <m/>
    <n v="20"/>
    <m/>
    <n v="0"/>
    <s v="CAPITAL INDUSTRIES, INC."/>
    <m/>
    <s v="CONTAINERS"/>
    <s v="TBA"/>
    <m/>
    <s v="2 YD"/>
    <s v="FEL/REL/SL Metal"/>
    <d v="2013-08-12T00:00:00"/>
    <d v="2013-08-12T00:00:00"/>
    <s v="2183-13-0003-1"/>
    <n v="1200"/>
    <n v="14050"/>
    <n v="10000.4"/>
    <n v="14056"/>
    <n v="8958.74"/>
    <n v="0"/>
    <n v="1041.6599999999999"/>
    <n v="277.8"/>
    <n v="54260"/>
    <n v="69.45"/>
    <n v="0"/>
    <n v="69.45"/>
    <s v="P"/>
    <m/>
    <m/>
    <s v=" "/>
    <x v="20"/>
    <s v="YES"/>
    <m/>
    <m/>
    <m/>
    <m/>
    <m/>
    <m/>
    <m/>
    <m/>
    <m/>
    <m/>
    <s v="No"/>
  </r>
  <r>
    <n v="2183"/>
    <n v="106448"/>
    <s v="P"/>
    <s v="Capitalized"/>
    <s v="35 Gal Resi Carts"/>
    <m/>
    <m/>
    <n v="540"/>
    <s v="Input Form"/>
    <n v="0"/>
    <m/>
    <m/>
    <s v="CONTAINERS"/>
    <s v="TBA"/>
    <m/>
    <m/>
    <m/>
    <d v="2013-07-24T00:00:00"/>
    <d v="2013-07-24T00:00:00"/>
    <s v="2183-13-0002-5"/>
    <n v="700"/>
    <n v="14050"/>
    <n v="21137.37"/>
    <n v="14056"/>
    <n v="21137.3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6016"/>
    <s v="P"/>
    <s v="Capitalized"/>
    <s v="Model 5680 Floor Scrubber"/>
    <m/>
    <m/>
    <n v="1"/>
    <m/>
    <n v="0"/>
    <m/>
    <m/>
    <s v="SHOP EQUIPMENT"/>
    <s v="TBA"/>
    <m/>
    <m/>
    <m/>
    <d v="2013-07-15T00:00:00"/>
    <d v="2013-07-15T00:00:00"/>
    <s v="2183-13-0012-1"/>
    <n v="500"/>
    <n v="14070"/>
    <n v="14451.45"/>
    <n v="14076"/>
    <n v="14451.4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4202"/>
    <s v="P"/>
    <s v="Capitalized"/>
    <s v="Capital Repairs to 4021-Transmission"/>
    <m/>
    <m/>
    <n v="1"/>
    <m/>
    <n v="0"/>
    <s v="OLYMPIC TRUCK SERVICE"/>
    <m/>
    <s v="TRUCKS AND TRAILERS"/>
    <s v="TBA"/>
    <s v="Non-Rolling Stock"/>
    <m/>
    <m/>
    <d v="2013-04-29T00:00:00"/>
    <d v="2013-04-29T00:00:00"/>
    <s v="2183-13-0001-1"/>
    <n v="300"/>
    <n v="14040"/>
    <n v="5869"/>
    <n v="14046"/>
    <n v="5869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4091"/>
    <s v="P"/>
    <s v="Capitalized"/>
    <s v="95 Gallon  Resi Carts"/>
    <m/>
    <m/>
    <n v="360"/>
    <m/>
    <n v="0"/>
    <s v="REHRIG PACIFIC COMPANY"/>
    <m/>
    <s v="CONTAINERS"/>
    <s v="TBA"/>
    <m/>
    <m/>
    <m/>
    <d v="2013-03-31T00:00:00"/>
    <d v="2013-03-31T00:00:00"/>
    <s v="2183-13-0002-2"/>
    <n v="700"/>
    <n v="14050"/>
    <n v="14320.19"/>
    <n v="14056"/>
    <n v="14320.1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4090"/>
    <s v="P"/>
    <s v="Capitalized"/>
    <s v="95 Gallon Resi Carts"/>
    <m/>
    <m/>
    <n v="360"/>
    <m/>
    <n v="0"/>
    <s v="REHRIG PACIFIC COMPANY"/>
    <m/>
    <s v="CONTAINERS"/>
    <s v="TBA"/>
    <m/>
    <m/>
    <m/>
    <d v="2013-05-12T00:00:00"/>
    <d v="2013-05-12T00:00:00"/>
    <s v="2183-13-0002-3"/>
    <n v="700"/>
    <n v="14050"/>
    <n v="4482.74"/>
    <n v="14056"/>
    <n v="4482.74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4089"/>
    <s v="P"/>
    <s v="Capitalized"/>
    <s v="95 Gallon Resi Carts"/>
    <m/>
    <m/>
    <n v="126"/>
    <m/>
    <n v="0"/>
    <s v="REHRIG PACIFIC COMPANY"/>
    <m/>
    <s v="CONTAINERS"/>
    <s v="TBA"/>
    <m/>
    <m/>
    <m/>
    <d v="2013-05-15T00:00:00"/>
    <d v="2013-05-15T00:00:00"/>
    <s v="2183-13-0002-4"/>
    <n v="700"/>
    <n v="14050"/>
    <n v="6580.15"/>
    <n v="14056"/>
    <n v="6580.1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4088"/>
    <s v="P"/>
    <s v="Capitalized"/>
    <s v="35 Gallon Resi Carts"/>
    <m/>
    <m/>
    <n v="444"/>
    <m/>
    <n v="0"/>
    <s v="REHRIG PACIFIC COMPANY"/>
    <m/>
    <s v="CONTAINERS"/>
    <s v="TBA"/>
    <m/>
    <m/>
    <m/>
    <d v="2013-05-12T00:00:00"/>
    <d v="2013-05-12T00:00:00"/>
    <s v="2183-13-0002-3"/>
    <n v="700"/>
    <n v="14050"/>
    <n v="16700.669999999998"/>
    <n v="14056"/>
    <n v="16700.66999999999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4087"/>
    <s v="P"/>
    <s v="Capitalized"/>
    <s v="65 Gallon Resi Carts"/>
    <m/>
    <m/>
    <n v="324"/>
    <m/>
    <n v="0"/>
    <s v="REHRIG PACIFIC COMPANY"/>
    <m/>
    <s v="CONTAINERS"/>
    <s v="TBA"/>
    <m/>
    <m/>
    <m/>
    <d v="2013-03-31T00:00:00"/>
    <d v="2013-03-31T00:00:00"/>
    <s v="2183-13-0002-2"/>
    <n v="700"/>
    <n v="14050"/>
    <n v="14387.53"/>
    <n v="14056"/>
    <n v="14387.5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3479"/>
    <n v="61093"/>
    <s v="Capitalized"/>
    <s v="Capital Repair Engine-1042"/>
    <m/>
    <m/>
    <n v="1"/>
    <m/>
    <n v="0"/>
    <s v="CASCADIA"/>
    <m/>
    <s v="TRUCKS AND TRAILERS"/>
    <s v="TBA"/>
    <s v="Non-Rolling Stock "/>
    <m/>
    <m/>
    <d v="2013-03-20T00:00:00"/>
    <d v="2013-03-20T00:00:00"/>
    <s v="2183-13-0010-1"/>
    <n v="300"/>
    <n v="14040"/>
    <n v="13741.65"/>
    <n v="14046"/>
    <n v="13741.6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2857"/>
    <n v="102855"/>
    <s v="Capitalized"/>
    <s v="Freight for (513) 35 Gallon Comm Recycle- Forest Green"/>
    <m/>
    <m/>
    <n v="513"/>
    <m/>
    <n v="0"/>
    <s v="REHRIG PACIFIC COMPANY"/>
    <m/>
    <s v="CONTAINERS"/>
    <s v="TBA"/>
    <m/>
    <m/>
    <m/>
    <d v="2013-03-31T00:00:00"/>
    <d v="2013-03-31T00:00:00"/>
    <s v="2183-13-0002-2"/>
    <n v="500"/>
    <n v="14050"/>
    <n v="292.27999999999997"/>
    <n v="14056"/>
    <n v="292.2799999999999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2856"/>
    <n v="102855"/>
    <s v="Capitalized"/>
    <s v="Freight for (513) 35 Gallon Comm Recycle- Forest Green"/>
    <m/>
    <m/>
    <n v="513"/>
    <m/>
    <n v="0"/>
    <s v="REHRIG PACIFIC COMPANY"/>
    <m/>
    <s v="CONTAINERS"/>
    <s v="TBA"/>
    <m/>
    <m/>
    <m/>
    <d v="2013-03-31T00:00:00"/>
    <d v="2013-03-31T00:00:00"/>
    <s v="2183-13-0002-1"/>
    <n v="500"/>
    <n v="14050"/>
    <n v="1148"/>
    <n v="14056"/>
    <n v="114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2855"/>
    <s v="P"/>
    <s v="Capitalized"/>
    <s v="35 Gallon Comm Recycle-Forest Green"/>
    <m/>
    <m/>
    <n v="513"/>
    <m/>
    <n v="0"/>
    <s v="REHRIG PACIFIC COMPANY"/>
    <m/>
    <s v="CONTAINERS"/>
    <s v="TBA"/>
    <m/>
    <m/>
    <m/>
    <d v="2013-03-31T00:00:00"/>
    <d v="2013-03-31T00:00:00"/>
    <s v="2183-13-0002-1"/>
    <n v="500"/>
    <n v="14050"/>
    <n v="16650.86"/>
    <n v="14056"/>
    <n v="16650.8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102295"/>
    <n v="97216"/>
    <s v="Capitalized"/>
    <s v="Wash Rack System Replacement Remaining Work not completed in 2012"/>
    <m/>
    <m/>
    <n v="1"/>
    <m/>
    <n v="0"/>
    <s v="NORTHWEST ENVIRONMENTAL &amp;"/>
    <m/>
    <s v="BUILDINGS"/>
    <s v="TBA"/>
    <m/>
    <m/>
    <m/>
    <d v="2013-01-01T00:00:00"/>
    <d v="2013-01-01T00:00:00"/>
    <s v="2183-13-0009-1"/>
    <n v="909"/>
    <n v="14080"/>
    <n v="48345.38"/>
    <n v="14086"/>
    <n v="48345.38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9673"/>
    <s v="P"/>
    <s v="Capitalized"/>
    <s v="Conference Room Furniture for Pacific Office (Lacey, WA)"/>
    <m/>
    <m/>
    <n v="1"/>
    <m/>
    <n v="0"/>
    <m/>
    <m/>
    <s v="OFFICE EQUIPMENT"/>
    <s v="TBA"/>
    <m/>
    <m/>
    <m/>
    <d v="2012-12-31T00:00:00"/>
    <d v="2012-12-31T00:00:00"/>
    <s v="2183-12-0021-1"/>
    <n v="1000"/>
    <n v="14100"/>
    <n v="9416.14"/>
    <n v="14106"/>
    <n v="9416.1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9666"/>
    <s v="P"/>
    <s v="Capitalized"/>
    <s v="2013 Peterbilt 320"/>
    <m/>
    <m/>
    <n v="1"/>
    <s v="3BPZL70X4DF193460"/>
    <n v="2013"/>
    <s v="Peterbilt 320"/>
    <s v="Wittke"/>
    <s v="TRUCKS AND TRAILERS"/>
    <s v="TBA"/>
    <s v="Front Loader"/>
    <m/>
    <m/>
    <d v="2012-12-31T00:00:00"/>
    <d v="2012-12-31T00:00:00"/>
    <s v="2183-12-0007-1"/>
    <n v="1000"/>
    <n v="14040"/>
    <n v="301280.5"/>
    <n v="14046"/>
    <n v="301280.5"/>
    <n v="0"/>
    <n v="0"/>
    <n v="0"/>
    <n v="51260"/>
    <n v="0"/>
    <n v="0"/>
    <n v="0"/>
    <s v="P"/>
    <m/>
    <n v="2011"/>
    <s v=" "/>
    <x v="20"/>
    <s v="YES"/>
    <m/>
    <m/>
    <m/>
    <m/>
    <m/>
    <m/>
    <m/>
    <m/>
    <m/>
    <m/>
    <s v="No"/>
  </r>
  <r>
    <n v="2183"/>
    <n v="98282"/>
    <s v="P"/>
    <s v="Capitalized"/>
    <s v="3 RM Licenses for LeMay Pacific"/>
    <m/>
    <m/>
    <n v="1"/>
    <m/>
    <n v="0"/>
    <s v="WESTERN MICROSYSTEMS"/>
    <m/>
    <s v="HARDWARE AND SOFTWARE"/>
    <s v="TBA"/>
    <m/>
    <m/>
    <m/>
    <d v="2012-10-29T00:00:00"/>
    <d v="2012-10-29T00:00:00"/>
    <s v="2183-12-0015-1"/>
    <n v="300"/>
    <n v="14110"/>
    <n v="2625"/>
    <n v="14116"/>
    <n v="262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739"/>
    <s v="P"/>
    <s v="Capitalized"/>
    <s v="80 Liter Carts w/ Lids - Forest Green"/>
    <m/>
    <m/>
    <n v="217"/>
    <m/>
    <n v="0"/>
    <s v="REHRIG PACIFIC COMPANY"/>
    <m/>
    <s v="CONTAINERS"/>
    <s v="TBA"/>
    <m/>
    <m/>
    <m/>
    <d v="2012-10-19T00:00:00"/>
    <d v="2012-10-19T00:00:00"/>
    <s v="2183-12-0018-1"/>
    <n v="700"/>
    <n v="14050"/>
    <n v="7167.46"/>
    <n v="14056"/>
    <n v="7167.4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551"/>
    <s v="P"/>
    <s v="Capitalized"/>
    <s v="HP Probook 6460b (SN = CNU241B5LH)"/>
    <m/>
    <m/>
    <n v="1"/>
    <m/>
    <n v="0"/>
    <s v="CDW"/>
    <m/>
    <s v="HARDWARE AND SOFTWARE"/>
    <s v="TBA"/>
    <m/>
    <m/>
    <m/>
    <d v="2012-10-25T00:00:00"/>
    <d v="2012-10-25T00:00:00"/>
    <s v="2183-12-0022-1"/>
    <n v="300"/>
    <n v="14110"/>
    <n v="767.09"/>
    <n v="14116"/>
    <n v="767.09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550"/>
    <s v="P"/>
    <s v="Capitalized"/>
    <s v="HP Docking Station (SN = CNU229ZQ98)"/>
    <m/>
    <m/>
    <n v="1"/>
    <m/>
    <n v="0"/>
    <s v="CDW"/>
    <m/>
    <s v="HARDWARE AND SOFTWARE"/>
    <s v="TBA"/>
    <m/>
    <m/>
    <m/>
    <d v="2012-10-25T00:00:00"/>
    <d v="2012-10-25T00:00:00"/>
    <s v="2183-12-0022-1"/>
    <n v="300"/>
    <n v="14110"/>
    <n v="180.05"/>
    <n v="14116"/>
    <n v="180.0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274"/>
    <s v="P"/>
    <s v="Capitalized"/>
    <s v="95 Gallon Resi Recycle - Forest Green"/>
    <m/>
    <m/>
    <n v="121"/>
    <m/>
    <n v="0"/>
    <s v="REHRIG PACIFIC COMPANY"/>
    <m/>
    <s v="CONTAINERS"/>
    <s v="TBA"/>
    <m/>
    <m/>
    <m/>
    <d v="2012-06-11T00:00:00"/>
    <d v="2012-06-11T00:00:00"/>
    <s v="2183-12-0014-6"/>
    <n v="700"/>
    <n v="14050"/>
    <n v="6276.47"/>
    <n v="14056"/>
    <n v="6276.4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273"/>
    <s v="P"/>
    <s v="Capitalized"/>
    <s v="95 Gallon Resi Recycle - Forest Green"/>
    <m/>
    <m/>
    <n v="365"/>
    <m/>
    <n v="0"/>
    <s v="REHRIG PACIFIC COMPANY"/>
    <m/>
    <s v="CONTAINERS"/>
    <s v="TBA"/>
    <m/>
    <m/>
    <m/>
    <d v="2012-06-11T00:00:00"/>
    <d v="2012-06-11T00:00:00"/>
    <s v="2183-12-0014-5"/>
    <n v="700"/>
    <n v="14050"/>
    <n v="18933.14"/>
    <n v="14056"/>
    <n v="18933.14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258"/>
    <n v="95877"/>
    <s v="Capitalized"/>
    <s v="Additional work done for Waste Expo Truck"/>
    <m/>
    <m/>
    <n v="1"/>
    <s v="3BPZL70X6CF168039"/>
    <n v="2012"/>
    <s v="Peterbilt 320"/>
    <s v="Wayne"/>
    <s v="TRUCKS AND TRAILERS"/>
    <s v="TBA"/>
    <s v="Automated Side Loader"/>
    <m/>
    <m/>
    <d v="2012-08-01T00:00:00"/>
    <d v="2012-08-01T00:00:00"/>
    <s v="2183-12-0005-1"/>
    <n v="900"/>
    <n v="14040"/>
    <n v="23410.92"/>
    <n v="14046"/>
    <n v="23410.92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7216"/>
    <s v="P"/>
    <s v="Capitalized"/>
    <s v="Wash Rack System Replacement"/>
    <m/>
    <m/>
    <n v="1"/>
    <m/>
    <n v="0"/>
    <m/>
    <m/>
    <s v="BUILDINGS"/>
    <s v="TBA"/>
    <m/>
    <m/>
    <m/>
    <d v="2012-10-01T00:00:00"/>
    <d v="2012-10-01T00:00:00"/>
    <s v="2183-12-0017-1"/>
    <n v="1000"/>
    <n v="14080"/>
    <n v="9478.64"/>
    <n v="14086"/>
    <n v="9478.64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949"/>
    <s v="P"/>
    <s v="Capitalized"/>
    <s v="95 Gallon Refuse - Forest Green"/>
    <m/>
    <m/>
    <n v="243"/>
    <m/>
    <n v="0"/>
    <s v="REHRIG PACIFIC COMPANY"/>
    <m/>
    <s v="CONTAINERS"/>
    <s v="TBA"/>
    <m/>
    <m/>
    <m/>
    <d v="2012-09-25T00:00:00"/>
    <d v="2012-09-25T00:00:00"/>
    <s v="2183-12-0018-4"/>
    <n v="700"/>
    <n v="14050"/>
    <n v="12468.21"/>
    <n v="14056"/>
    <n v="12468.21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948"/>
    <s v="P"/>
    <s v="Capitalized"/>
    <s v="65 Gallon Refuse - Forest Green"/>
    <m/>
    <m/>
    <n v="324"/>
    <m/>
    <n v="0"/>
    <s v="REHRIG PACIFIC COMPANY"/>
    <m/>
    <s v="CONTAINERS"/>
    <s v="TBA"/>
    <m/>
    <m/>
    <m/>
    <d v="2012-09-25T00:00:00"/>
    <d v="2012-09-25T00:00:00"/>
    <s v="2183-12-0018-3"/>
    <n v="700"/>
    <n v="14050"/>
    <n v="14291.66"/>
    <n v="14056"/>
    <n v="14291.6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947"/>
    <s v="P"/>
    <s v="Capitalized"/>
    <s v="95 Gallon Refuse - Forest Green"/>
    <m/>
    <m/>
    <n v="486"/>
    <m/>
    <n v="0"/>
    <s v="REHRIG PACIFIC COMPANY"/>
    <m/>
    <s v="CONTAINERS"/>
    <s v="TBA"/>
    <m/>
    <m/>
    <m/>
    <d v="2012-09-25T00:00:00"/>
    <d v="2012-09-25T00:00:00"/>
    <s v="2183-12-0018-5"/>
    <n v="700"/>
    <n v="14050"/>
    <n v="24408.13"/>
    <n v="14056"/>
    <n v="24408.1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611"/>
    <s v="P"/>
    <s v="Capitalized"/>
    <s v="95 Gallon Refuse - Forest Green"/>
    <m/>
    <m/>
    <n v="486"/>
    <m/>
    <n v="0"/>
    <s v="REHRIG PACIFIC COMPANY"/>
    <m/>
    <s v="CONTAINERS"/>
    <s v="TBA"/>
    <m/>
    <m/>
    <m/>
    <d v="2012-09-25T00:00:00"/>
    <d v="2012-09-25T00:00:00"/>
    <s v="2183-12-0018-5"/>
    <n v="700"/>
    <n v="14050"/>
    <n v="24408.13"/>
    <n v="14056"/>
    <n v="24408.1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401"/>
    <s v="P"/>
    <s v="Capitalized"/>
    <s v="35 Gallon Refuse - Forest Green"/>
    <m/>
    <m/>
    <n v="810"/>
    <m/>
    <n v="0"/>
    <s v="REHRIG PACIFIC COMPANY"/>
    <m/>
    <s v="CONTAINERS"/>
    <s v="TBA"/>
    <m/>
    <m/>
    <m/>
    <d v="2012-09-10T00:00:00"/>
    <d v="2012-09-10T00:00:00"/>
    <s v="2183-12-0018-2"/>
    <n v="700"/>
    <n v="14050"/>
    <n v="27988.19"/>
    <n v="14056"/>
    <n v="27988.1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400"/>
    <s v="P"/>
    <s v="Capitalized"/>
    <s v="95 Gallon Refuse - Forest Green"/>
    <m/>
    <m/>
    <n v="243"/>
    <m/>
    <n v="0"/>
    <s v="REHRIG PACIFIC COMPANY"/>
    <m/>
    <s v="CONTAINERS"/>
    <s v="TBA"/>
    <m/>
    <m/>
    <m/>
    <d v="2012-06-27T00:00:00"/>
    <d v="2012-06-27T00:00:00"/>
    <s v="2183-12-0014-4"/>
    <n v="700"/>
    <n v="14050"/>
    <n v="12604.82"/>
    <n v="14056"/>
    <n v="12604.8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399"/>
    <s v="P"/>
    <s v="Capitalized"/>
    <s v="65 Gallon Refuse - Forest Green"/>
    <m/>
    <m/>
    <n v="324"/>
    <m/>
    <n v="0"/>
    <s v="REHRIG PACIFIC COMPANY"/>
    <m/>
    <s v="CONTAINERS"/>
    <s v="TBA"/>
    <m/>
    <m/>
    <m/>
    <d v="2012-06-27T00:00:00"/>
    <d v="2012-06-27T00:00:00"/>
    <s v="2183-12-0014-3"/>
    <n v="700"/>
    <n v="14050"/>
    <n v="14460.83"/>
    <n v="14056"/>
    <n v="14460.8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398"/>
    <s v="P"/>
    <s v="Capitalized"/>
    <s v="35 Gallon Refuse - Forest Green"/>
    <m/>
    <m/>
    <n v="810"/>
    <m/>
    <n v="0"/>
    <s v="REHRIG PACIFIC COMPANY"/>
    <m/>
    <s v="CONTAINERS"/>
    <s v="TBA"/>
    <m/>
    <m/>
    <m/>
    <d v="2012-07-24T00:00:00"/>
    <d v="2012-07-24T00:00:00"/>
    <s v="2183-12-0014-2"/>
    <n v="700"/>
    <n v="14050"/>
    <n v="28315.919999999998"/>
    <n v="14056"/>
    <n v="28315.91999999999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397"/>
    <s v="P"/>
    <s v="Capitalized"/>
    <s v="20 Gallon Refuse - Forest Green"/>
    <m/>
    <m/>
    <n v="217"/>
    <m/>
    <n v="0"/>
    <s v="REHRIG PACIFIC COMPANY"/>
    <m/>
    <s v="CONTAINERS"/>
    <s v="TBA"/>
    <m/>
    <m/>
    <m/>
    <d v="2012-07-24T00:00:00"/>
    <d v="2012-07-24T00:00:00"/>
    <s v="2183-12-0014-1"/>
    <n v="700"/>
    <n v="14050"/>
    <n v="7373.57"/>
    <n v="14056"/>
    <n v="7373.5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6158"/>
    <n v="95877"/>
    <s v="Capitalized"/>
    <s v="Rcore Hardware Computer"/>
    <m/>
    <m/>
    <n v="1"/>
    <m/>
    <n v="0"/>
    <s v="2180ROUTEWAR"/>
    <m/>
    <s v="TRUCKS AND TRAILERS"/>
    <s v="TBA"/>
    <s v="Non-Rolling Stock"/>
    <m/>
    <m/>
    <d v="2012-08-01T00:00:00"/>
    <d v="2012-08-01T00:00:00"/>
    <s v="2183-12-0005-1"/>
    <n v="300"/>
    <n v="14040"/>
    <n v="8555.08"/>
    <n v="14046"/>
    <n v="8555.0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5877"/>
    <s v="P"/>
    <s v="Capitalized"/>
    <s v="New 2012 Peterbil 320 w/ Wayne Body"/>
    <m/>
    <m/>
    <n v="1"/>
    <s v="3BPZL70X6CF168039"/>
    <n v="2012"/>
    <s v="Peterbilt 320"/>
    <s v="Wayne"/>
    <s v="TRUCKS AND TRAILERS"/>
    <s v="TBA"/>
    <s v="Automated Side Loader"/>
    <m/>
    <m/>
    <d v="2012-08-01T00:00:00"/>
    <d v="2012-08-01T00:00:00"/>
    <s v="2183-12-0005-1"/>
    <n v="900"/>
    <n v="14040"/>
    <n v="297122.34999999998"/>
    <n v="14046"/>
    <n v="297122.34999999998"/>
    <n v="0"/>
    <n v="0"/>
    <n v="0"/>
    <n v="51260"/>
    <n v="0"/>
    <n v="0"/>
    <n v="0"/>
    <s v="P"/>
    <m/>
    <n v="3632"/>
    <s v=" "/>
    <x v="20"/>
    <s v="YES"/>
    <m/>
    <m/>
    <m/>
    <m/>
    <m/>
    <m/>
    <m/>
    <m/>
    <m/>
    <m/>
    <s v="No"/>
  </r>
  <r>
    <n v="2183"/>
    <n v="95840"/>
    <s v="P"/>
    <s v="Capitalized"/>
    <s v="Replace R/O Body for Unit# 4030"/>
    <m/>
    <m/>
    <n v="1"/>
    <m/>
    <n v="0"/>
    <s v="SOLID WASTE SYSTEMS INC"/>
    <m/>
    <s v="TRUCKS AND TRAILERS"/>
    <s v="TBA"/>
    <s v="Non-Rolling Stock "/>
    <m/>
    <m/>
    <d v="2012-07-31T00:00:00"/>
    <d v="2012-07-31T00:00:00"/>
    <s v="2183-12-0019-1"/>
    <n v="300"/>
    <n v="14040"/>
    <n v="45310.51"/>
    <n v="14046"/>
    <n v="45310.51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4943"/>
    <s v="P"/>
    <s v="Capitalized"/>
    <s v="95 Gallon Carts - Dark Aqua Blue"/>
    <m/>
    <m/>
    <n v="486"/>
    <s v="#069743 t0 070228"/>
    <n v="0"/>
    <s v="REHRIG PACIFIC COMPANY"/>
    <m/>
    <s v="CONTAINERS"/>
    <s v="TBA"/>
    <m/>
    <m/>
    <m/>
    <d v="2012-07-06T00:00:00"/>
    <d v="2012-07-06T00:00:00"/>
    <s v="2183-12-0016-1"/>
    <n v="700"/>
    <n v="14050"/>
    <n v="25209.59"/>
    <n v="14056"/>
    <n v="25209.5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3959"/>
    <s v="P"/>
    <s v="Capitalized"/>
    <s v="HP Probook 6460b (SN = CNU21636V6) and Docking Station (SN = CNU151ZGCL)"/>
    <m/>
    <m/>
    <n v="1"/>
    <m/>
    <n v="0"/>
    <s v="CDW"/>
    <m/>
    <s v="HARDWARE AND SOFTWARE"/>
    <s v="TBA"/>
    <m/>
    <m/>
    <m/>
    <d v="2012-05-07T00:00:00"/>
    <d v="2012-05-07T00:00:00"/>
    <s v="2183-12-0012-1"/>
    <n v="300"/>
    <n v="14110"/>
    <n v="949.73"/>
    <n v="14116"/>
    <n v="949.73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2581"/>
    <s v="P"/>
    <s v="Capitalized"/>
    <s v="HP Probook 6460B (SN = CNU2070JQR)  and Docking Station (CNU201Z3S5)"/>
    <m/>
    <m/>
    <n v="1"/>
    <m/>
    <n v="0"/>
    <s v="CDW"/>
    <m/>
    <s v="HARDWARE AND SOFTWARE"/>
    <s v="TBA"/>
    <m/>
    <m/>
    <m/>
    <d v="2012-03-20T00:00:00"/>
    <d v="2012-03-20T00:00:00"/>
    <s v="2183-12-0011-1"/>
    <n v="300"/>
    <n v="14110"/>
    <n v="947.94"/>
    <n v="14116"/>
    <n v="947.9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2496"/>
    <n v="67015"/>
    <s v="Capitalized"/>
    <s v="Labor to install New Engine in Unit# 4511"/>
    <m/>
    <m/>
    <n v="1"/>
    <m/>
    <n v="0"/>
    <s v="OLYMPIC TRUCK"/>
    <m/>
    <s v="TRUCKS AND TRAILERS"/>
    <s v="TBA"/>
    <s v="Non-Rolling Stock"/>
    <m/>
    <m/>
    <d v="2012-02-13T00:00:00"/>
    <d v="2012-02-13T00:00:00"/>
    <s v="2183-12-0010-1"/>
    <n v="300"/>
    <n v="14040"/>
    <n v="4164.8"/>
    <n v="14046"/>
    <n v="4164.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2495"/>
    <n v="67015"/>
    <s v="Capitalized"/>
    <s v="Core Credit for Truck# 4511"/>
    <m/>
    <m/>
    <n v="1"/>
    <m/>
    <n v="0"/>
    <s v="HUSKY TRUCK"/>
    <m/>
    <s v="TRUCKS AND TRAILERS"/>
    <s v="TBA"/>
    <s v="Non-Rolling Stock"/>
    <m/>
    <m/>
    <d v="2012-02-13T00:00:00"/>
    <d v="2012-02-13T00:00:00"/>
    <s v="2183-12-0010-1"/>
    <n v="300"/>
    <n v="14040"/>
    <n v="-4700.16"/>
    <n v="14046"/>
    <n v="-4700.1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1687"/>
    <s v="P"/>
    <s v="Capitalized"/>
    <s v="95 Gallon Comm Recycle - Forest Green"/>
    <m/>
    <m/>
    <n v="486"/>
    <m/>
    <n v="0"/>
    <s v="REHRIG PACIFIC COMPANY"/>
    <m/>
    <s v="CONTAINERS"/>
    <s v="TBA"/>
    <m/>
    <m/>
    <m/>
    <d v="2012-03-31T00:00:00"/>
    <d v="2012-03-31T00:00:00"/>
    <s v="2183-12-0009-1"/>
    <n v="700"/>
    <n v="14050"/>
    <n v="24829.25"/>
    <n v="14056"/>
    <n v="24829.2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1068"/>
    <n v="67015"/>
    <s v="Capitalized"/>
    <s v="Rebuild Engine on Truck 4511"/>
    <m/>
    <m/>
    <n v="1"/>
    <m/>
    <n v="0"/>
    <s v="HUSKY INTERNATIONAL TRUCK"/>
    <m/>
    <s v="TRUCKS AND TRAILERS"/>
    <s v="TBA"/>
    <s v="Non-Rolling Stock"/>
    <m/>
    <m/>
    <d v="2012-02-13T00:00:00"/>
    <d v="2012-02-13T00:00:00"/>
    <s v="2183-12-0010-1"/>
    <n v="300"/>
    <n v="14040"/>
    <n v="12472.57"/>
    <n v="14046"/>
    <n v="12472.5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90470"/>
    <s v="P"/>
    <s v="Capitalized"/>
    <s v="Sony Internet TV (SN = 3S18264700B1CD1112368)"/>
    <m/>
    <m/>
    <n v="1"/>
    <m/>
    <n v="0"/>
    <s v="cdw"/>
    <m/>
    <s v="HARDWARE AND SOFTWARE"/>
    <s v="TBA"/>
    <m/>
    <m/>
    <m/>
    <d v="2012-01-25T00:00:00"/>
    <d v="2012-01-25T00:00:00"/>
    <s v="1010-12-0018-1"/>
    <n v="500"/>
    <n v="14110"/>
    <n v="561.34"/>
    <n v="14116"/>
    <n v="561.3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9484"/>
    <s v="P"/>
    <s v="Capitalized"/>
    <s v="New 2011 Packer FEL Truck"/>
    <m/>
    <m/>
    <n v="1"/>
    <s v="3BPZL00X5BF115175"/>
    <n v="2011"/>
    <s v="Peterbilt 320"/>
    <s v="McNeilus"/>
    <s v="TRUCKS AND TRAILERS"/>
    <s v="TBA"/>
    <s v="Front Loader"/>
    <m/>
    <m/>
    <d v="2011-12-01T00:00:00"/>
    <d v="2011-12-01T00:00:00"/>
    <s v="2188-11-0014-1"/>
    <n v="900"/>
    <n v="14040"/>
    <n v="245480.55"/>
    <n v="14046"/>
    <n v="245480.55"/>
    <n v="0"/>
    <n v="0"/>
    <n v="0"/>
    <n v="51260"/>
    <n v="0"/>
    <n v="0"/>
    <n v="0"/>
    <s v="P"/>
    <m/>
    <n v="2036"/>
    <s v=" "/>
    <x v="20"/>
    <s v="YES"/>
    <m/>
    <m/>
    <m/>
    <m/>
    <m/>
    <m/>
    <m/>
    <m/>
    <m/>
    <m/>
    <s v="No"/>
  </r>
  <r>
    <n v="2183"/>
    <n v="88725"/>
    <s v="P"/>
    <s v="Capitalized"/>
    <s v="Repeater"/>
    <m/>
    <m/>
    <n v="1"/>
    <m/>
    <n v="0"/>
    <m/>
    <m/>
    <s v="SHOP EQUIPMENT"/>
    <s v="TBA"/>
    <m/>
    <m/>
    <m/>
    <d v="2011-12-01T00:00:00"/>
    <d v="2011-12-01T00:00:00"/>
    <s v="2183-11-0019-1"/>
    <n v="500"/>
    <n v="14070"/>
    <n v="61493.04"/>
    <n v="14076"/>
    <n v="61493.0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8721"/>
    <s v="P"/>
    <s v="Capitalized"/>
    <s v="(79) Mounted Radios &amp; (12) Handheld"/>
    <m/>
    <m/>
    <n v="1"/>
    <m/>
    <n v="0"/>
    <m/>
    <m/>
    <s v="SHOP EQUIPMENT"/>
    <s v="TBA"/>
    <m/>
    <m/>
    <m/>
    <d v="2011-12-01T00:00:00"/>
    <d v="2011-12-01T00:00:00"/>
    <s v="2183-11-0019-1"/>
    <n v="500"/>
    <n v="14070"/>
    <n v="44376.34"/>
    <n v="14076"/>
    <n v="44376.3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8651"/>
    <s v="P"/>
    <s v="Capitalized"/>
    <s v="3 RouteManager User Licenses"/>
    <m/>
    <m/>
    <n v="1"/>
    <m/>
    <n v="0"/>
    <s v="WESTERN MICROSYSTEMS"/>
    <m/>
    <s v="HARDWARE AND SOFTWARE"/>
    <s v="TBA"/>
    <m/>
    <m/>
    <m/>
    <d v="2011-12-01T00:00:00"/>
    <d v="2011-12-01T00:00:00"/>
    <s v="2183-11-0022-1"/>
    <n v="300"/>
    <n v="14110"/>
    <n v="2625"/>
    <n v="14116"/>
    <n v="262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8606"/>
    <s v="P"/>
    <s v="Capitalized"/>
    <s v="65 Gallon Carts &amp; Lids - Forest Green"/>
    <m/>
    <m/>
    <n v="548"/>
    <m/>
    <n v="0"/>
    <s v="REHRIG PACIFIC COMPANY"/>
    <m/>
    <s v="CONTAINERS"/>
    <s v="TBA"/>
    <m/>
    <m/>
    <m/>
    <d v="2011-12-20T00:00:00"/>
    <d v="2011-12-20T00:00:00"/>
    <s v="2183-11-0023-1"/>
    <n v="700"/>
    <n v="14050"/>
    <n v="24666.94"/>
    <n v="14056"/>
    <n v="24666.94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8135"/>
    <s v="P"/>
    <s v="Capitalized"/>
    <s v="35 Gallon Carts - Forest Green"/>
    <m/>
    <m/>
    <n v="1080"/>
    <m/>
    <n v="0"/>
    <s v="REHRIG PACIFIC COMPANY"/>
    <m/>
    <s v="CONTAINERS"/>
    <s v="TBA"/>
    <m/>
    <m/>
    <m/>
    <d v="2011-10-31T00:00:00"/>
    <d v="2011-10-31T00:00:00"/>
    <s v="2183-11-0020-1"/>
    <n v="700"/>
    <n v="14050"/>
    <n v="38752.42"/>
    <n v="14056"/>
    <n v="38752.4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8134"/>
    <s v="P"/>
    <s v="Capitalized"/>
    <s v="95 Gallon Carts - Forest Green"/>
    <m/>
    <m/>
    <n v="486"/>
    <s v="# 988023 T0 988508"/>
    <n v="0"/>
    <s v="REHRIG PACIFIC COMPANY"/>
    <m/>
    <s v="CONTAINERS"/>
    <s v="TBA"/>
    <m/>
    <m/>
    <m/>
    <d v="2011-10-29T00:00:00"/>
    <d v="2011-10-29T00:00:00"/>
    <s v="2183-11-0020-1"/>
    <n v="700"/>
    <n v="14050"/>
    <n v="26699.38"/>
    <n v="14056"/>
    <n v="26699.3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7756"/>
    <s v="P"/>
    <s v="Capitalized"/>
    <s v="New 2012 Peterbilt w/ Wayne Body"/>
    <m/>
    <m/>
    <n v="1"/>
    <s v="3BPZL70X0CF154833"/>
    <n v="2012"/>
    <s v="Peterbilt 320"/>
    <s v="Wayne"/>
    <s v="TRUCKS AND TRAILERS"/>
    <s v="TBA"/>
    <s v="Automated Side Loader"/>
    <m/>
    <m/>
    <d v="2011-11-01T00:00:00"/>
    <d v="2011-11-01T00:00:00"/>
    <s v="2183-11-0009-1"/>
    <n v="1000"/>
    <n v="14040"/>
    <n v="289049.83"/>
    <n v="14046"/>
    <n v="289049.83"/>
    <n v="0"/>
    <n v="0"/>
    <n v="0"/>
    <n v="51260"/>
    <n v="0"/>
    <n v="0"/>
    <n v="0"/>
    <s v="P"/>
    <m/>
    <n v="3629"/>
    <s v=" "/>
    <x v="20"/>
    <s v="YES"/>
    <m/>
    <m/>
    <m/>
    <m/>
    <m/>
    <m/>
    <m/>
    <m/>
    <m/>
    <m/>
    <s v="No"/>
  </r>
  <r>
    <n v="2183"/>
    <n v="86471"/>
    <s v="P"/>
    <s v="Capitalized"/>
    <s v="95 Gallon Carts - Forest Green"/>
    <m/>
    <m/>
    <n v="486"/>
    <m/>
    <n v="0"/>
    <s v="REHRIG PACIFIC COMPANY"/>
    <m/>
    <s v="CONTAINERS"/>
    <s v="TBA"/>
    <m/>
    <m/>
    <m/>
    <d v="2011-09-24T00:00:00"/>
    <d v="2011-09-24T00:00:00"/>
    <s v="2183-11-0001-1"/>
    <n v="700"/>
    <n v="14050"/>
    <n v="26699.38"/>
    <n v="14056"/>
    <n v="26699.3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5936"/>
    <s v="P"/>
    <s v="Capitalized"/>
    <s v="40 Yard R/O Containers"/>
    <m/>
    <m/>
    <n v="68"/>
    <m/>
    <n v="0"/>
    <m/>
    <m/>
    <s v="CONTAINERS"/>
    <s v="TBA"/>
    <m/>
    <s v="40 YD"/>
    <s v="RO Box"/>
    <d v="2008-11-03T00:00:00"/>
    <d v="2008-11-03T00:00:00"/>
    <m/>
    <n v="700"/>
    <n v="14050"/>
    <n v="146200"/>
    <n v="14056"/>
    <n v="14620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s v="No"/>
  </r>
  <r>
    <n v="2183"/>
    <n v="85655"/>
    <s v="P"/>
    <s v="Capitalized"/>
    <s v="RouteManager Licenses 2 Users for LeMay Pacific"/>
    <m/>
    <m/>
    <n v="1"/>
    <m/>
    <n v="0"/>
    <s v="DESERT MICRO"/>
    <m/>
    <s v="HARDWARE AND SOFTWARE"/>
    <s v="TBA"/>
    <m/>
    <m/>
    <m/>
    <d v="2011-08-01T00:00:00"/>
    <d v="2011-08-01T00:00:00"/>
    <s v="2183-11-0017-1"/>
    <n v="300"/>
    <n v="14110"/>
    <n v="1750"/>
    <n v="14116"/>
    <n v="1750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5605"/>
    <s v="P"/>
    <s v="Capitalized"/>
    <s v="95 Gallon Carts - Forest Green"/>
    <m/>
    <m/>
    <n v="100"/>
    <m/>
    <n v="0"/>
    <s v="REHRIG PACIFIC COMPANY"/>
    <m/>
    <s v="CONTAINERS"/>
    <s v="TBA"/>
    <m/>
    <m/>
    <m/>
    <d v="2011-07-26T00:00:00"/>
    <d v="2011-07-26T00:00:00"/>
    <s v="2183-11-0016-1"/>
    <n v="700"/>
    <n v="14050"/>
    <n v="5500.23"/>
    <n v="14056"/>
    <n v="5500.2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5604"/>
    <s v="P"/>
    <s v="Capitalized"/>
    <s v="65 Gallon Carts - Forest Green"/>
    <m/>
    <m/>
    <n v="131"/>
    <m/>
    <n v="0"/>
    <s v="REHRIG PACIFIC COMPANY"/>
    <m/>
    <s v="CONTAINERS"/>
    <s v="TBA"/>
    <m/>
    <m/>
    <m/>
    <d v="2011-07-26T00:00:00"/>
    <d v="2011-07-26T00:00:00"/>
    <s v="2183-11-0016-1"/>
    <n v="700"/>
    <n v="14050"/>
    <n v="6373.68"/>
    <n v="14056"/>
    <n v="6373.6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5602"/>
    <s v="P"/>
    <s v="Capitalized"/>
    <s v="95 Gallon Carts - Dark Blue"/>
    <m/>
    <m/>
    <n v="174"/>
    <m/>
    <n v="0"/>
    <s v="REHRIG PACIFIC COMPANY"/>
    <m/>
    <s v="CONTAINERS"/>
    <s v="TBA"/>
    <m/>
    <m/>
    <m/>
    <d v="2011-07-01T00:00:00"/>
    <d v="2011-07-01T00:00:00"/>
    <s v="2183-11-0016-1"/>
    <n v="700"/>
    <n v="14050"/>
    <n v="9570.39"/>
    <n v="14056"/>
    <n v="9570.3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1015"/>
    <s v="P"/>
    <s v="Capitalized"/>
    <s v="35 Gallon Carts - Green"/>
    <m/>
    <m/>
    <n v="1080"/>
    <s v="#35040531-35041610"/>
    <n v="0"/>
    <s v="REHRIG PACIFIC COMPANY"/>
    <m/>
    <s v="CONTAINERS"/>
    <s v="TBA"/>
    <m/>
    <m/>
    <m/>
    <d v="2011-04-05T00:00:00"/>
    <d v="2011-04-05T00:00:00"/>
    <s v="2183-11-0015-1"/>
    <n v="700"/>
    <n v="14050"/>
    <n v="36815.379999999997"/>
    <n v="14056"/>
    <n v="36815.37999999999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1014"/>
    <s v="P"/>
    <s v="Capitalized"/>
    <s v="95 Gallon Green Carts &amp; Lids"/>
    <m/>
    <m/>
    <n v="243"/>
    <s v="#986079-986321"/>
    <n v="0"/>
    <s v="REHRIG PACIFIC COMPANY"/>
    <m/>
    <s v="CONTAINERS"/>
    <s v="TBA"/>
    <m/>
    <m/>
    <m/>
    <d v="2011-04-05T00:00:00"/>
    <d v="2011-04-05T00:00:00"/>
    <s v="2183-11-0015-1"/>
    <n v="700"/>
    <n v="14050"/>
    <n v="12929.7"/>
    <n v="14056"/>
    <n v="12929.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1012"/>
    <s v="P"/>
    <s v="Capitalized"/>
    <s v="95 Gallon Forest Green Carts"/>
    <m/>
    <m/>
    <n v="386"/>
    <s v="#985693 - 986078"/>
    <n v="0"/>
    <s v="REHRIG PACIFIC COMPANY"/>
    <m/>
    <s v="CONTAINERS"/>
    <s v="TBA"/>
    <m/>
    <m/>
    <m/>
    <d v="2011-04-05T00:00:00"/>
    <d v="2011-04-05T00:00:00"/>
    <s v="2183-11-0015-1"/>
    <n v="700"/>
    <n v="14050"/>
    <n v="20538.54"/>
    <n v="14056"/>
    <n v="20538.54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s v="No"/>
  </r>
  <r>
    <n v="2183"/>
    <n v="80385"/>
    <s v="P"/>
    <s v="Capitalized"/>
    <s v="3 RouteManager Licenses for Pacific"/>
    <m/>
    <m/>
    <n v="1"/>
    <m/>
    <n v="0"/>
    <s v="DESERT MICRO"/>
    <m/>
    <s v="HARDWARE AND SOFTWARE"/>
    <s v="TBA"/>
    <m/>
    <m/>
    <m/>
    <d v="2011-03-07T00:00:00"/>
    <d v="2011-03-07T00:00:00"/>
    <s v="2184-11-0006-1"/>
    <n v="300"/>
    <n v="14110"/>
    <n v="2625"/>
    <n v="14116"/>
    <n v="262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676"/>
    <s v="P"/>
    <s v="Capitalized"/>
    <s v="26 Mappoint 2010 Licenses"/>
    <m/>
    <m/>
    <n v="1"/>
    <m/>
    <n v="0"/>
    <s v="SOFTWARE ONE"/>
    <m/>
    <s v="HARDWARE AND SOFTWARE"/>
    <s v="TBA"/>
    <m/>
    <m/>
    <m/>
    <d v="2011-01-01T00:00:00"/>
    <d v="2011-01-01T00:00:00"/>
    <s v="2183-10-0024-1"/>
    <n v="300"/>
    <n v="14110"/>
    <n v="5850"/>
    <n v="14116"/>
    <n v="5850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584"/>
    <n v="79676"/>
    <s v="Capitalized"/>
    <s v="ADD TAX AT .085 for Route Ware Licenses"/>
    <m/>
    <m/>
    <n v="1"/>
    <m/>
    <n v="0"/>
    <s v="SOFTWARE ONE"/>
    <m/>
    <s v="HARDWARE AND SOFTWARE"/>
    <s v="TBA"/>
    <m/>
    <m/>
    <m/>
    <d v="2010-12-31T00:00:00"/>
    <d v="2010-12-31T00:00:00"/>
    <s v="2183-10-0024-1"/>
    <n v="300"/>
    <n v="14110"/>
    <n v="497.25"/>
    <n v="14116"/>
    <n v="497.2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583"/>
    <n v="78978"/>
    <s v="Capitalized"/>
    <s v="Tax on Invoice# 16591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2931.7"/>
    <n v="14106"/>
    <n v="2931.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582"/>
    <n v="78978"/>
    <s v="Capitalized"/>
    <s v="Tax on Invoice# 16560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29.67"/>
    <n v="14106"/>
    <n v="29.6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581"/>
    <n v="78978"/>
    <s v="Capitalized"/>
    <s v="Tax on Invoice 16588 (Phone System)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2130.35"/>
    <n v="14106"/>
    <n v="2130.3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580"/>
    <n v="78978"/>
    <s v="Capitalized"/>
    <s v="Tax on Invoice 15899 (Phone System)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1521.68"/>
    <n v="14106"/>
    <n v="1521.68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579"/>
    <n v="78978"/>
    <s v="Capitalized"/>
    <s v="Tax On Invoice# 16457 (Phone System)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2434.69"/>
    <n v="14106"/>
    <n v="2434.69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490"/>
    <n v="78978"/>
    <s v="Capitalized"/>
    <s v="Phone System port upgrade at Pacific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710"/>
    <n v="14106"/>
    <n v="710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489"/>
    <n v="78978"/>
    <s v="Capitalized"/>
    <s v="Phone System port upgrade at Pacific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1764"/>
    <n v="14106"/>
    <n v="176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488"/>
    <n v="78978"/>
    <s v="Capitalized"/>
    <s v="Phone System port upgrade at Pacific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7988.4"/>
    <n v="14106"/>
    <n v="7988.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487"/>
    <n v="78978"/>
    <s v="Capitalized"/>
    <s v="NEC SV8300 and BBX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25062.9"/>
    <n v="14106"/>
    <n v="25062.9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9486"/>
    <n v="78978"/>
    <s v="Capitalized"/>
    <s v="NEC SV8300 and BBX"/>
    <m/>
    <m/>
    <n v="1"/>
    <m/>
    <n v="0"/>
    <s v="Gaynor Telesystems"/>
    <m/>
    <s v="OFFICE EQUIPMENT"/>
    <s v="TBA"/>
    <m/>
    <m/>
    <m/>
    <d v="2010-12-31T00:00:00"/>
    <d v="2010-12-31T00:00:00"/>
    <s v="2183-10-0022-1"/>
    <n v="500"/>
    <n v="14100"/>
    <n v="349"/>
    <n v="14106"/>
    <n v="349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8978"/>
    <s v="P"/>
    <s v="Capitalized"/>
    <s v="Phone System for Pacfic Disposal"/>
    <m/>
    <m/>
    <n v="1"/>
    <m/>
    <n v="0"/>
    <m/>
    <m/>
    <s v="OFFICE EQUIPMENT"/>
    <s v="TBA"/>
    <m/>
    <m/>
    <m/>
    <d v="2010-12-31T00:00:00"/>
    <d v="2010-12-31T00:00:00"/>
    <s v="2183-10-0022-1"/>
    <n v="500"/>
    <n v="14100"/>
    <n v="47401.52"/>
    <n v="14106"/>
    <n v="47401.52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8790"/>
    <s v="P"/>
    <s v="Capitalized"/>
    <s v="Trailblazer 302 Kohler (Gas Welder), Suitecase Extreme"/>
    <m/>
    <m/>
    <n v="1"/>
    <s v="MA410450H &amp; MA370324A"/>
    <n v="0"/>
    <s v="AIRGAS NOR-PAC"/>
    <m/>
    <s v="SHOP EQUIPMENT"/>
    <s v="TBA"/>
    <m/>
    <m/>
    <m/>
    <d v="2010-12-08T00:00:00"/>
    <d v="2010-12-08T00:00:00"/>
    <s v="2183-10-0030-1"/>
    <n v="500"/>
    <n v="14070"/>
    <n v="5900.24"/>
    <n v="14076"/>
    <n v="5900.2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78782"/>
    <s v="P"/>
    <s v="Capitalized"/>
    <s v="95 Gallon Carts w/ Lids - Forest Green"/>
    <m/>
    <m/>
    <n v="360"/>
    <s v="# 988233 T0 988592"/>
    <n v="0"/>
    <s v="REHRIG PACIFIC COMPANY-LA"/>
    <m/>
    <s v="CONTAINERS"/>
    <s v="TBA"/>
    <m/>
    <m/>
    <m/>
    <d v="2010-11-28T00:00:00"/>
    <d v="2010-11-28T00:00:00"/>
    <s v="2183-10-0028-1"/>
    <n v="700"/>
    <n v="14050"/>
    <n v="17592.62"/>
    <n v="14056"/>
    <n v="17592.6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8781"/>
    <s v="P"/>
    <s v="Capitalized"/>
    <s v="35 Gallon Carts w/ Lids - Forest Green"/>
    <m/>
    <m/>
    <n v="270"/>
    <s v="# G35000261 T0 G35000530"/>
    <n v="0"/>
    <s v="REHRIG PACIFIC COMPANY-LA"/>
    <m/>
    <s v="CONTAINERS"/>
    <s v="TBA"/>
    <m/>
    <m/>
    <m/>
    <d v="2010-11-28T00:00:00"/>
    <d v="2010-11-28T00:00:00"/>
    <s v="2183-10-0028-1"/>
    <n v="700"/>
    <n v="14050"/>
    <n v="9025.7900000000009"/>
    <n v="14056"/>
    <n v="9025.790000000000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8664"/>
    <s v="P"/>
    <s v="Capitalized"/>
    <s v="65 Gallon Forest Green Carts &amp; Lids"/>
    <m/>
    <m/>
    <n v="648"/>
    <s v="#T53977 T0 T54624"/>
    <n v="0"/>
    <s v="REHRIG PACIFIC COMPANY-LA"/>
    <m/>
    <s v="CONTAINERS"/>
    <s v="TBA"/>
    <m/>
    <m/>
    <m/>
    <d v="2010-11-28T00:00:00"/>
    <d v="2010-11-28T00:00:00"/>
    <s v="2183-10-0028-1"/>
    <n v="700"/>
    <n v="14050"/>
    <n v="27321.69"/>
    <n v="14056"/>
    <n v="27321.69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8223"/>
    <s v="P"/>
    <s v="Capitalized"/>
    <s v="4 Yard FEL (Plastic) &amp; (40) Drain Plugs"/>
    <m/>
    <m/>
    <n v="20"/>
    <m/>
    <n v="0"/>
    <s v="REHRIG PACIFIC COMPANY-LA"/>
    <m/>
    <s v="CONTAINERS"/>
    <s v="TBA"/>
    <m/>
    <s v="4 YD"/>
    <s v="FEL/REL/SL Plastic"/>
    <d v="2010-10-25T00:00:00"/>
    <d v="2010-10-25T00:00:00"/>
    <s v="2183-10-0025-1"/>
    <n v="700"/>
    <n v="14050"/>
    <n v="14298.63"/>
    <n v="14056"/>
    <n v="14298.6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7836"/>
    <n v="75159"/>
    <s v="Capitalized"/>
    <s v="Installation (Routeware 5000)"/>
    <m/>
    <m/>
    <n v="1"/>
    <m/>
    <n v="0"/>
    <s v="ROUTEWARE INC"/>
    <m/>
    <s v="SHOP EQUIPMENT"/>
    <s v="TBA"/>
    <m/>
    <m/>
    <m/>
    <d v="2010-06-15T00:00:00"/>
    <d v="2010-06-15T00:00:00"/>
    <s v="2183-10-0005-1"/>
    <n v="500"/>
    <n v="14070"/>
    <n v="1224.1600000000001"/>
    <n v="14076"/>
    <n v="1224.1600000000001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77835"/>
    <n v="75159"/>
    <s v="Capitalized"/>
    <s v="Freight (Routeware 5000)"/>
    <m/>
    <m/>
    <n v="1"/>
    <m/>
    <n v="0"/>
    <s v="ROUTEWARE INC"/>
    <m/>
    <s v="SHOP EQUIPMENT"/>
    <s v="TBA"/>
    <m/>
    <m/>
    <m/>
    <d v="2010-06-15T00:00:00"/>
    <d v="2010-06-15T00:00:00"/>
    <s v="2183-10-0005-1"/>
    <n v="500"/>
    <n v="14070"/>
    <n v="12.13"/>
    <n v="14076"/>
    <n v="12.13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77834"/>
    <n v="75159"/>
    <s v="Capitalized"/>
    <s v="Reimbursable Travel Expenses (Routeware)"/>
    <m/>
    <m/>
    <n v="1"/>
    <m/>
    <n v="0"/>
    <s v="ROUTEWARE INC"/>
    <m/>
    <s v="SHOP EQUIPMENT"/>
    <s v="TBA"/>
    <m/>
    <m/>
    <m/>
    <d v="2010-06-15T00:00:00"/>
    <d v="2010-06-15T00:00:00"/>
    <s v="2183-10-0005-1"/>
    <n v="500"/>
    <n v="14070"/>
    <n v="418.68"/>
    <n v="14076"/>
    <n v="418.6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77791"/>
    <s v="P"/>
    <s v="Capitalized"/>
    <s v="Professional Services for Stormwater Improvements"/>
    <m/>
    <m/>
    <n v="1"/>
    <m/>
    <n v="0"/>
    <s v="PACLAND"/>
    <m/>
    <s v="LAND IMPROVEMENTS"/>
    <s v="TBA"/>
    <m/>
    <m/>
    <m/>
    <d v="2010-09-14T00:00:00"/>
    <d v="2010-09-14T00:00:00"/>
    <s v="2183-10-0019-1"/>
    <n v="1000"/>
    <n v="14010"/>
    <n v="1098.69"/>
    <n v="14016"/>
    <n v="1098.69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7760"/>
    <s v="P"/>
    <s v="Capitalized"/>
    <s v="New 2010 Autocar ACX FEL Truck"/>
    <m/>
    <m/>
    <n v="1"/>
    <s v="5VCACLJF1AH210404"/>
    <n v="2010"/>
    <s v="Autocar ACX"/>
    <s v="McNeilus"/>
    <s v="TRUCKS AND TRAILERS"/>
    <s v="TBA"/>
    <s v="Front Loader"/>
    <m/>
    <m/>
    <d v="2010-10-01T00:00:00"/>
    <d v="2010-10-01T00:00:00"/>
    <s v="1010-10-0028-1"/>
    <n v="900"/>
    <n v="14040"/>
    <n v="232081.5"/>
    <n v="14046"/>
    <n v="232081.5"/>
    <n v="0"/>
    <n v="0"/>
    <n v="0"/>
    <n v="51260"/>
    <n v="0"/>
    <n v="0"/>
    <n v="0"/>
    <s v="P"/>
    <m/>
    <n v="2035"/>
    <s v=" "/>
    <x v="20"/>
    <s v="YES"/>
    <m/>
    <m/>
    <m/>
    <m/>
    <m/>
    <m/>
    <m/>
    <m/>
    <m/>
    <m/>
    <m/>
  </r>
  <r>
    <n v="2183"/>
    <n v="77561"/>
    <s v="P"/>
    <s v="Capitalized"/>
    <s v="RouteManager Site Licenses and 21 Users for LeMay Pacific"/>
    <m/>
    <m/>
    <n v="1"/>
    <m/>
    <n v="0"/>
    <s v="DESERT MICRO"/>
    <m/>
    <s v="HARDWARE AND SOFTWARE"/>
    <s v="TBA"/>
    <m/>
    <m/>
    <m/>
    <d v="2010-10-01T00:00:00"/>
    <d v="2010-10-01T00:00:00"/>
    <s v="2183-10-0017-1"/>
    <n v="300"/>
    <n v="14110"/>
    <n v="20775"/>
    <n v="14116"/>
    <n v="20775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7322"/>
    <s v="P"/>
    <s v="Capitalized"/>
    <s v="Supply Permit &amp; Connect Office Equipment"/>
    <m/>
    <m/>
    <n v="1"/>
    <m/>
    <n v="0"/>
    <s v="OLYMPIA ELECTRIC"/>
    <m/>
    <s v="BUILDINGS"/>
    <s v="TBA"/>
    <m/>
    <m/>
    <m/>
    <d v="2010-08-15T00:00:00"/>
    <d v="2010-08-15T00:00:00"/>
    <s v="2183-10-0015-1"/>
    <n v="1000"/>
    <n v="14080"/>
    <n v="1127.8399999999999"/>
    <n v="14086"/>
    <n v="1127.8399999999999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7321"/>
    <s v="P"/>
    <s v="Capitalized"/>
    <s v="Run Circuits to New Office Furniture"/>
    <m/>
    <m/>
    <n v="1"/>
    <m/>
    <n v="0"/>
    <s v="OLYMPIA ELECTRIC COMPANY"/>
    <m/>
    <s v="BUILDINGS"/>
    <s v="TBA"/>
    <m/>
    <m/>
    <m/>
    <d v="2010-08-15T00:00:00"/>
    <d v="2010-08-15T00:00:00"/>
    <s v="2183-10-0015-1"/>
    <n v="1000"/>
    <n v="14080"/>
    <n v="790.01"/>
    <n v="14086"/>
    <n v="790.01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7218"/>
    <s v="P"/>
    <s v="Capitalized"/>
    <s v="95 Gallon Carts - Dark Blue #65712 TO 66097"/>
    <m/>
    <m/>
    <n v="386"/>
    <m/>
    <n v="0"/>
    <s v="REHRIG PACIFIC COMPANY-LA"/>
    <m/>
    <s v="CONTAINERS"/>
    <s v="TBA"/>
    <m/>
    <m/>
    <m/>
    <d v="2010-09-11T00:00:00"/>
    <d v="2010-09-11T00:00:00"/>
    <s v="2183-10-0023-1"/>
    <n v="700"/>
    <n v="14050"/>
    <n v="18687.3"/>
    <n v="14056"/>
    <n v="18687.3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7217"/>
    <s v="P"/>
    <s v="Capitalized"/>
    <s v="95 Gallon Carts - Forest Green, SERIAL # 984261 TO #984746"/>
    <m/>
    <m/>
    <n v="486"/>
    <m/>
    <n v="0"/>
    <s v="REHRIG PACIFIC COMPANY-LA"/>
    <m/>
    <s v="CONTAINERS"/>
    <s v="TBA"/>
    <m/>
    <m/>
    <m/>
    <d v="2010-09-11T00:00:00"/>
    <d v="2010-09-11T00:00:00"/>
    <s v="2183-10-0023-1"/>
    <n v="700"/>
    <n v="14050"/>
    <n v="24055.88"/>
    <n v="14056"/>
    <n v="24055.8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7100"/>
    <s v="P"/>
    <s v="Capitalized"/>
    <s v="Professional  Services"/>
    <m/>
    <m/>
    <n v="1"/>
    <m/>
    <n v="0"/>
    <s v="PACLAND"/>
    <m/>
    <s v="LAND IMPROVEMENTS"/>
    <s v="TBA"/>
    <m/>
    <m/>
    <m/>
    <d v="2010-09-14T00:00:00"/>
    <d v="2010-09-14T00:00:00"/>
    <s v="2183-10-0019-1"/>
    <n v="1000"/>
    <n v="14010"/>
    <n v="932.5"/>
    <n v="14016"/>
    <n v="932.5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6937"/>
    <s v="P"/>
    <s v="Capitalized"/>
    <s v="35 Gallon MB Carts w/ Lids - Green"/>
    <m/>
    <m/>
    <n v="1080"/>
    <m/>
    <n v="0"/>
    <s v="REHRIG PACIFIC COMPANY-LA"/>
    <m/>
    <s v="CONTAINERS"/>
    <s v="TBA"/>
    <m/>
    <m/>
    <m/>
    <d v="2010-08-17T00:00:00"/>
    <d v="2010-08-17T00:00:00"/>
    <s v="2183-10-0021-1"/>
    <n v="700"/>
    <n v="14050"/>
    <n v="36068"/>
    <n v="14056"/>
    <n v="3606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6800"/>
    <s v="P"/>
    <s v="Capitalized"/>
    <s v="Cubical panel installation for Pacific Disposal"/>
    <m/>
    <m/>
    <n v="1"/>
    <m/>
    <n v="0"/>
    <s v="CREATIVE OFFICE"/>
    <m/>
    <s v="OFFICE EQUIPMENT"/>
    <s v="TBA"/>
    <m/>
    <m/>
    <m/>
    <d v="2010-08-15T00:00:00"/>
    <d v="2010-08-15T00:00:00"/>
    <s v="2183-10-0015-1"/>
    <n v="1000"/>
    <n v="14100"/>
    <n v="8574.6"/>
    <n v="14106"/>
    <n v="8574.6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6744"/>
    <n v="76648"/>
    <s v="Capitalized"/>
    <s v="Materials and Labor for Stormwater Seperator"/>
    <m/>
    <m/>
    <n v="1"/>
    <m/>
    <n v="0"/>
    <s v="SABIN ENTERPRISES INC"/>
    <m/>
    <s v="LAND IMPROVEMENTS"/>
    <s v="TBA"/>
    <m/>
    <m/>
    <m/>
    <d v="2010-08-30T00:00:00"/>
    <d v="2010-08-30T00:00:00"/>
    <s v="2183-10-0019-1"/>
    <n v="1000"/>
    <n v="14010"/>
    <n v="15273.58"/>
    <n v="14016"/>
    <n v="15273.58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6648"/>
    <s v="P"/>
    <s v="Capitalized"/>
    <s v="Stormwater Improvement (Installation of Oil Water Separator)"/>
    <m/>
    <m/>
    <n v="1"/>
    <m/>
    <n v="0"/>
    <s v="Pacland"/>
    <m/>
    <s v="LAND IMPROVEMENTS"/>
    <s v="TBA"/>
    <m/>
    <m/>
    <m/>
    <d v="2010-08-30T00:00:00"/>
    <d v="2010-08-30T00:00:00"/>
    <s v="2183-10-0019-1"/>
    <n v="1000"/>
    <n v="14010"/>
    <n v="4595.6400000000003"/>
    <n v="14016"/>
    <n v="4595.6400000000003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6639"/>
    <s v="P"/>
    <s v="Capitalized"/>
    <s v="Office Renovation for Pacific Disposal"/>
    <m/>
    <m/>
    <n v="1"/>
    <m/>
    <n v="0"/>
    <s v="Creative Office"/>
    <m/>
    <s v="BUILDINGS"/>
    <s v="TBA"/>
    <m/>
    <m/>
    <m/>
    <d v="2010-08-15T00:00:00"/>
    <d v="2010-08-15T00:00:00"/>
    <s v="2183-10-0015-1"/>
    <n v="1000"/>
    <n v="14080"/>
    <n v="7000"/>
    <n v="14086"/>
    <n v="7000"/>
    <n v="0"/>
    <n v="0"/>
    <n v="0"/>
    <n v="57260"/>
    <n v="0"/>
    <n v="0"/>
    <n v="0"/>
    <s v="P"/>
    <m/>
    <m/>
    <s v=" "/>
    <x v="20"/>
    <s v="YES"/>
    <m/>
    <m/>
    <m/>
    <m/>
    <m/>
    <m/>
    <m/>
    <m/>
    <m/>
    <m/>
    <m/>
  </r>
  <r>
    <n v="2183"/>
    <n v="76066"/>
    <s v="P"/>
    <s v="Capitalized"/>
    <s v="(7) Winterms for Pacific Disposal"/>
    <m/>
    <m/>
    <n v="1"/>
    <m/>
    <n v="0"/>
    <s v="CDW"/>
    <m/>
    <s v="HARDWARE AND SOFTWARE"/>
    <s v="TBA"/>
    <m/>
    <m/>
    <m/>
    <d v="2010-07-15T00:00:00"/>
    <d v="2010-07-15T00:00:00"/>
    <s v="2183-10-0018-1"/>
    <n v="300"/>
    <n v="14110"/>
    <n v="1808.47"/>
    <n v="14116"/>
    <n v="1808.47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75671"/>
    <s v="P"/>
    <s v="Capitalized"/>
    <s v="Used 2005 FORD F150 Pickup"/>
    <m/>
    <m/>
    <n v="1"/>
    <s v="1FTRF14W75NB98208"/>
    <n v="2005"/>
    <s v="Ford F150"/>
    <s v="Pickup"/>
    <s v="TRUCKS AND TRAILERS"/>
    <s v="TBA"/>
    <s v="Pickup Truck"/>
    <m/>
    <m/>
    <d v="2010-07-15T00:00:00"/>
    <d v="2010-07-15T00:00:00"/>
    <s v="2183-10-0016-1"/>
    <n v="300"/>
    <n v="14040"/>
    <n v="15000.01"/>
    <n v="14046"/>
    <n v="15000.01"/>
    <n v="0"/>
    <n v="0"/>
    <n v="0"/>
    <n v="51260"/>
    <n v="0"/>
    <n v="0"/>
    <n v="0"/>
    <s v="P"/>
    <m/>
    <n v="6050"/>
    <s v=" "/>
    <x v="20"/>
    <s v="YES"/>
    <m/>
    <m/>
    <m/>
    <m/>
    <m/>
    <m/>
    <m/>
    <m/>
    <m/>
    <m/>
    <m/>
  </r>
  <r>
    <n v="2183"/>
    <n v="75159"/>
    <s v="P"/>
    <s v="Capitalized"/>
    <s v="Route Ware 5000"/>
    <m/>
    <m/>
    <n v="1"/>
    <m/>
    <n v="0"/>
    <m/>
    <m/>
    <s v="SHOP EQUIPMENT"/>
    <s v="TBA"/>
    <m/>
    <m/>
    <m/>
    <d v="2010-06-15T00:00:00"/>
    <d v="2010-06-15T00:00:00"/>
    <s v="2183-10-0005-1"/>
    <n v="500"/>
    <n v="14070"/>
    <n v="9526.59"/>
    <n v="14076"/>
    <n v="9526.59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73808"/>
    <s v="P"/>
    <s v="Capitalized"/>
    <s v="95 Gallon Forest Green Carts"/>
    <m/>
    <m/>
    <n v="396"/>
    <m/>
    <n v="0"/>
    <s v="REHRIG PACIFIC COMPANY-LA"/>
    <m/>
    <s v="CONTAINERS"/>
    <s v="TBA"/>
    <m/>
    <m/>
    <m/>
    <d v="2010-04-19T00:00:00"/>
    <d v="2010-04-19T00:00:00"/>
    <s v="2183-10-0011-1"/>
    <n v="700"/>
    <n v="14050"/>
    <n v="19261.66"/>
    <n v="14056"/>
    <n v="19261.6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3807"/>
    <s v="P"/>
    <s v="Capitalized"/>
    <s v="35 Gallon Carts - Green"/>
    <m/>
    <m/>
    <n v="1080"/>
    <m/>
    <n v="0"/>
    <s v="REHRIG PACIFIC COMPANY-LA"/>
    <m/>
    <s v="CONTAINERS"/>
    <s v="TBA"/>
    <m/>
    <m/>
    <m/>
    <d v="2010-04-13T00:00:00"/>
    <d v="2010-04-13T00:00:00"/>
    <s v="2183-10-0010-1"/>
    <n v="700"/>
    <n v="14050"/>
    <n v="36044.57"/>
    <n v="14056"/>
    <n v="36044.57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1310"/>
    <s v="P"/>
    <s v="Capitalized"/>
    <s v="95 Gallon Carts - Green"/>
    <m/>
    <m/>
    <n v="486"/>
    <m/>
    <n v="0"/>
    <s v="REHRIG PACIFIC COMPANY-LA"/>
    <m/>
    <s v="CONTAINERS"/>
    <s v="TBA"/>
    <m/>
    <m/>
    <m/>
    <d v="2009-12-07T00:00:00"/>
    <d v="2009-12-07T00:00:00"/>
    <s v="2183-9-0029-1"/>
    <n v="700"/>
    <n v="14050"/>
    <n v="24198.25"/>
    <n v="14056"/>
    <n v="24198.25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70659"/>
    <s v="P"/>
    <s v="Capitalized"/>
    <s v="35 Gallon Forest Green Refuse Carts"/>
    <m/>
    <m/>
    <n v="846"/>
    <m/>
    <n v="0"/>
    <s v="REHRIG PACIFIC COMPANY-LA"/>
    <m/>
    <s v="CONTAINERS"/>
    <s v="TBA"/>
    <m/>
    <m/>
    <m/>
    <d v="2009-11-20T00:00:00"/>
    <d v="2009-11-20T00:00:00"/>
    <s v="2183-9-0029-1"/>
    <n v="700"/>
    <n v="14050"/>
    <n v="29308.86"/>
    <n v="14056"/>
    <n v="29308.8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68612"/>
    <s v="P"/>
    <s v="Capitalized"/>
    <s v="Distribute Drive Cams Invoices (Onsite Technicians)"/>
    <m/>
    <m/>
    <n v="1"/>
    <m/>
    <n v="0"/>
    <s v="Drive Cam"/>
    <m/>
    <s v="SHOP EQUIPMENT"/>
    <s v="TBA"/>
    <m/>
    <m/>
    <m/>
    <d v="2009-07-31T00:00:00"/>
    <d v="2009-07-31T00:00:00"/>
    <s v="2183-9-0027-1"/>
    <n v="500"/>
    <n v="14070"/>
    <n v="14393.06"/>
    <n v="14076"/>
    <n v="14393.06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8611"/>
    <s v="P"/>
    <s v="Capitalized"/>
    <s v="Distribute Drive Cams Invoices (Onsite Technicians)"/>
    <m/>
    <m/>
    <n v="1"/>
    <m/>
    <n v="0"/>
    <s v="Drive Cam"/>
    <m/>
    <s v="SHOP EQUIPMENT"/>
    <s v="TBA"/>
    <m/>
    <m/>
    <m/>
    <d v="2009-07-31T00:00:00"/>
    <d v="2009-07-31T00:00:00"/>
    <s v="2183-9-0027-1"/>
    <n v="500"/>
    <n v="14070"/>
    <n v="-1085"/>
    <n v="14076"/>
    <n v="-1085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8178"/>
    <s v="P"/>
    <s v="Capitalized"/>
    <s v="95 Gallon Carts - Navy Blue"/>
    <m/>
    <m/>
    <n v="243"/>
    <m/>
    <n v="0"/>
    <s v="REHRIG PACIFIC COMPANY-LA"/>
    <m/>
    <s v="CONTAINERS"/>
    <s v="TBA"/>
    <m/>
    <m/>
    <m/>
    <d v="2009-07-07T00:00:00"/>
    <d v="2009-07-07T00:00:00"/>
    <s v="2183-9-0022-1"/>
    <n v="700"/>
    <n v="14050"/>
    <n v="11698.36"/>
    <n v="14056"/>
    <n v="11698.36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67258"/>
    <s v="P"/>
    <s v="Capitalized"/>
    <s v="For Install Drive Cam on Frontline (132 - DriveCams)"/>
    <m/>
    <m/>
    <n v="1"/>
    <m/>
    <n v="0"/>
    <s v="Drive Cam"/>
    <m/>
    <s v="SHOP EQUIPMENT"/>
    <s v="TBA"/>
    <m/>
    <m/>
    <m/>
    <d v="2009-06-30T00:00:00"/>
    <d v="2009-06-30T00:00:00"/>
    <s v="2183-9-0027-1"/>
    <n v="500"/>
    <n v="14070"/>
    <n v="42016.67"/>
    <n v="14076"/>
    <n v="42016.6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7016"/>
    <n v="67015"/>
    <s v="Capitalized"/>
    <s v="FLUP - Truck 4511"/>
    <m/>
    <m/>
    <n v="1"/>
    <n v="272641"/>
    <n v="1996"/>
    <m/>
    <m/>
    <s v="TRUCKS AND TRAILERS"/>
    <s v="TBA"/>
    <s v="Non-Rolling Stock"/>
    <m/>
    <m/>
    <d v="2009-06-01T00:00:00"/>
    <d v="2009-06-01T00:00:00"/>
    <s v="2184-9-0005-1"/>
    <n v="300"/>
    <n v="14040"/>
    <n v="3096.41"/>
    <n v="14046"/>
    <n v="3096.41"/>
    <n v="0"/>
    <n v="0"/>
    <n v="0"/>
    <n v="51260"/>
    <n v="0"/>
    <n v="0"/>
    <n v="0"/>
    <s v="P"/>
    <m/>
    <n v="4511"/>
    <s v=" "/>
    <x v="20"/>
    <s v="YES"/>
    <m/>
    <m/>
    <m/>
    <m/>
    <m/>
    <m/>
    <m/>
    <m/>
    <m/>
    <m/>
    <m/>
  </r>
  <r>
    <n v="2183"/>
    <n v="67015"/>
    <s v="P"/>
    <s v="Capitalized"/>
    <s v="1996 Type M Hook HL"/>
    <m/>
    <m/>
    <n v="1"/>
    <s v="1HTSCABK7TH272641"/>
    <n v="1996"/>
    <s v="International"/>
    <s v="Other"/>
    <s v="TRUCKS AND TRAILERS"/>
    <s v="TBA"/>
    <s v="Hooklift"/>
    <m/>
    <m/>
    <d v="2008-11-03T00:00:00"/>
    <d v="2008-11-03T00:00:00"/>
    <m/>
    <n v="300"/>
    <n v="14040"/>
    <n v="21500"/>
    <n v="14046"/>
    <n v="21500"/>
    <n v="0"/>
    <n v="0"/>
    <n v="0"/>
    <n v="51260"/>
    <n v="0"/>
    <n v="0"/>
    <n v="0"/>
    <s v="A"/>
    <s v="LeMay Enterprises"/>
    <n v="4511"/>
    <s v=" "/>
    <x v="20"/>
    <s v="YES"/>
    <m/>
    <m/>
    <m/>
    <m/>
    <m/>
    <m/>
    <m/>
    <m/>
    <m/>
    <m/>
    <m/>
  </r>
  <r>
    <n v="2183"/>
    <n v="66604"/>
    <s v="P"/>
    <s v="Capitalized"/>
    <s v="10 Ton Floor Jack"/>
    <m/>
    <m/>
    <n v="1"/>
    <m/>
    <n v="0"/>
    <s v="NAPA Auto Parts"/>
    <m/>
    <s v="SHOP EQUIPMENT"/>
    <s v="TBA"/>
    <m/>
    <m/>
    <m/>
    <d v="2009-07-01T00:00:00"/>
    <d v="2009-07-01T00:00:00"/>
    <s v="2183-9-0018-1"/>
    <n v="500"/>
    <n v="14070"/>
    <n v="2347.9299999999998"/>
    <n v="14076"/>
    <n v="2347.9299999999998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6103"/>
    <s v="P"/>
    <s v="Capitalized"/>
    <s v="35 Gallon Carts - Forest Green"/>
    <m/>
    <m/>
    <n v="540"/>
    <m/>
    <n v="0"/>
    <s v="REHRIG PACIFIC COMPANY-LA"/>
    <m/>
    <s v="CONTAINERS"/>
    <s v="TBA"/>
    <m/>
    <m/>
    <m/>
    <d v="2009-07-07T00:00:00"/>
    <d v="2009-07-07T00:00:00"/>
    <s v="2183-9-0022-1"/>
    <n v="700"/>
    <n v="14050"/>
    <n v="18474.009999999998"/>
    <n v="14056"/>
    <n v="18474.009999999998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65997"/>
    <s v="P"/>
    <s v="Capitalized"/>
    <s v="Pair of 220 Emerson Floor Jacks ($1,740/each)"/>
    <m/>
    <m/>
    <n v="1"/>
    <m/>
    <n v="0"/>
    <s v="Emerson"/>
    <m/>
    <s v="SHOP EQUIPMENT"/>
    <s v="TBA"/>
    <m/>
    <m/>
    <m/>
    <d v="2009-06-20T00:00:00"/>
    <d v="2009-06-20T00:00:00"/>
    <s v="2183-9-0018-1"/>
    <n v="500"/>
    <n v="14070"/>
    <n v="4147.3100000000004"/>
    <n v="14076"/>
    <n v="4147.310000000000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5733"/>
    <s v="P"/>
    <s v="Capitalized"/>
    <s v="95 Gallon Carts - Blue"/>
    <m/>
    <m/>
    <n v="416"/>
    <m/>
    <n v="0"/>
    <s v="REHRIG PACIFIC COMPANY-LA"/>
    <m/>
    <s v="CONTAINERS"/>
    <s v="TBA"/>
    <m/>
    <m/>
    <m/>
    <d v="2009-06-10T00:00:00"/>
    <d v="2009-06-10T00:00:00"/>
    <s v="2183-9-0022-1"/>
    <n v="700"/>
    <n v="14050"/>
    <n v="19259.52"/>
    <n v="14056"/>
    <n v="19259.5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65599"/>
    <s v="P"/>
    <s v="Capitalized"/>
    <s v="FLUP - Truck 5600"/>
    <m/>
    <m/>
    <n v="1"/>
    <n v="56820"/>
    <n v="2001"/>
    <m/>
    <m/>
    <s v="TRUCKS AND TRAILERS"/>
    <s v="TBA"/>
    <s v="Non-Rolling Stock"/>
    <m/>
    <m/>
    <d v="2009-06-01T00:00:00"/>
    <d v="2009-06-01T00:00:00"/>
    <s v="2183-9-0024-1"/>
    <n v="300"/>
    <n v="14040"/>
    <n v="17657.45"/>
    <n v="14046"/>
    <n v="17657.45"/>
    <n v="0"/>
    <n v="0"/>
    <n v="0"/>
    <n v="51260"/>
    <n v="0"/>
    <n v="0"/>
    <n v="0"/>
    <s v="P"/>
    <m/>
    <n v="5600"/>
    <s v=" "/>
    <x v="20"/>
    <s v="YES"/>
    <m/>
    <m/>
    <m/>
    <m/>
    <m/>
    <m/>
    <m/>
    <m/>
    <m/>
    <m/>
    <m/>
  </r>
  <r>
    <n v="2183"/>
    <n v="65594"/>
    <s v="P"/>
    <s v="Capitalized"/>
    <s v="FLUP - Truck 4030"/>
    <m/>
    <m/>
    <n v="1"/>
    <n v="33908"/>
    <n v="2002"/>
    <m/>
    <m/>
    <s v="TRUCKS AND TRAILERS"/>
    <s v="TBA"/>
    <s v="Non-Rolling Stock"/>
    <m/>
    <m/>
    <d v="2009-06-01T00:00:00"/>
    <d v="2009-06-01T00:00:00"/>
    <s v="2183-9-0020-1"/>
    <n v="300"/>
    <n v="14040"/>
    <n v="2556.91"/>
    <n v="14046"/>
    <n v="2556.91"/>
    <n v="0"/>
    <n v="0"/>
    <n v="0"/>
    <n v="51260"/>
    <n v="0"/>
    <n v="0"/>
    <n v="0"/>
    <s v="P"/>
    <m/>
    <n v="4030"/>
    <s v=" "/>
    <x v="20"/>
    <s v="YES"/>
    <m/>
    <m/>
    <m/>
    <m/>
    <m/>
    <m/>
    <m/>
    <m/>
    <m/>
    <m/>
    <m/>
  </r>
  <r>
    <n v="2183"/>
    <n v="64730"/>
    <s v="P"/>
    <s v="Capitalized"/>
    <s v="4 Yard Commercial Containers"/>
    <m/>
    <m/>
    <n v="10"/>
    <m/>
    <n v="0"/>
    <m/>
    <m/>
    <s v="CONTAINERS"/>
    <s v="TBA"/>
    <m/>
    <s v="4 YD"/>
    <s v="FEL/REL/SL Metal"/>
    <d v="2008-11-03T00:00:00"/>
    <d v="2008-11-03T00:00:00"/>
    <m/>
    <n v="1200"/>
    <n v="14050"/>
    <n v="2300"/>
    <n v="14056"/>
    <n v="2300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4692"/>
    <s v="P"/>
    <s v="Capitalized"/>
    <s v="10 Yard R/O Containers"/>
    <m/>
    <m/>
    <n v="1"/>
    <m/>
    <n v="0"/>
    <m/>
    <m/>
    <s v="CONTAINERS"/>
    <s v="TBA"/>
    <m/>
    <s v="10 YD"/>
    <s v="RO Box"/>
    <d v="2008-11-03T00:00:00"/>
    <d v="2008-11-03T00:00:00"/>
    <m/>
    <n v="700"/>
    <n v="14050"/>
    <n v="546.41999999999996"/>
    <n v="14056"/>
    <n v="546.41999999999996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4669"/>
    <s v="P"/>
    <s v="Capitalized"/>
    <s v="35 Yard R/O Containers"/>
    <m/>
    <m/>
    <n v="1"/>
    <m/>
    <n v="0"/>
    <m/>
    <m/>
    <s v="CONTAINERS"/>
    <s v="TBA"/>
    <m/>
    <s v="35 YD"/>
    <s v="RO Box"/>
    <d v="2008-11-03T00:00:00"/>
    <d v="2008-11-03T00:00:00"/>
    <m/>
    <n v="700"/>
    <n v="14050"/>
    <n v="17357"/>
    <n v="14056"/>
    <n v="17357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4658"/>
    <s v="P"/>
    <s v="Capitalized"/>
    <s v="5 Yard Commercial Containers"/>
    <m/>
    <m/>
    <n v="95"/>
    <m/>
    <n v="0"/>
    <m/>
    <m/>
    <s v="CONTAINERS"/>
    <s v="TBA"/>
    <m/>
    <s v="5 YD"/>
    <s v="FEL/REL/SL Metal"/>
    <d v="2008-11-03T00:00:00"/>
    <d v="2008-11-03T00:00:00"/>
    <m/>
    <n v="1200"/>
    <n v="14050"/>
    <n v="26013.03"/>
    <n v="14056"/>
    <n v="26013.03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4656"/>
    <s v="P"/>
    <s v="Capitalized"/>
    <s v="1.5 Yard Commercial Containers"/>
    <m/>
    <m/>
    <n v="149"/>
    <m/>
    <n v="0"/>
    <m/>
    <m/>
    <s v="CONTAINERS"/>
    <s v="TBA"/>
    <m/>
    <s v="1.5 YD"/>
    <s v="FEL/REL/SL Metal"/>
    <d v="2008-11-03T00:00:00"/>
    <d v="2008-11-03T00:00:00"/>
    <m/>
    <n v="1200"/>
    <n v="14050"/>
    <n v="19524.95"/>
    <n v="14056"/>
    <n v="19524.95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3080"/>
    <s v="P"/>
    <s v="Capitalized"/>
    <s v="35 Gallon Carts - Green"/>
    <m/>
    <m/>
    <n v="515"/>
    <m/>
    <n v="0"/>
    <s v="REHRIG PACIFIC COMPANY-LA"/>
    <m/>
    <s v="CONTAINERS"/>
    <s v="TBA"/>
    <m/>
    <m/>
    <m/>
    <d v="2009-02-15T00:00:00"/>
    <d v="2009-02-15T00:00:00"/>
    <s v="2183-9-0001-1"/>
    <n v="700"/>
    <n v="14050"/>
    <n v="21296.12"/>
    <n v="14056"/>
    <n v="21296.12"/>
    <n v="0"/>
    <n v="0"/>
    <n v="0"/>
    <n v="54260"/>
    <n v="0"/>
    <n v="0"/>
    <n v="0"/>
    <s v="P"/>
    <m/>
    <m/>
    <s v=" "/>
    <x v="20"/>
    <s v="YES"/>
    <m/>
    <m/>
    <m/>
    <m/>
    <m/>
    <m/>
    <m/>
    <m/>
    <m/>
    <m/>
    <m/>
  </r>
  <r>
    <n v="2183"/>
    <n v="62921"/>
    <s v="P"/>
    <s v="Capitalized"/>
    <s v="HP 6730b Notebook SN SCNU8423YYD and Docking Station"/>
    <m/>
    <m/>
    <n v="1"/>
    <m/>
    <n v="0"/>
    <s v="CDW"/>
    <m/>
    <s v="HARDWARE AND SOFTWARE"/>
    <s v="TBA"/>
    <m/>
    <m/>
    <m/>
    <d v="2009-01-01T00:00:00"/>
    <d v="2009-01-01T00:00:00"/>
    <s v="2183-9-0002-1"/>
    <n v="201"/>
    <n v="14110"/>
    <n v="1366.14"/>
    <n v="14116"/>
    <n v="1366.14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62920"/>
    <s v="P"/>
    <s v="Capitalized"/>
    <s v="Panasonic Toughbook 52 SN 8KTYA34668"/>
    <m/>
    <m/>
    <n v="1"/>
    <m/>
    <n v="0"/>
    <s v="CDW"/>
    <m/>
    <s v="HARDWARE AND SOFTWARE"/>
    <s v="TBA"/>
    <m/>
    <m/>
    <m/>
    <d v="2009-01-01T00:00:00"/>
    <d v="2009-01-01T00:00:00"/>
    <s v="2183-9-0002-1"/>
    <n v="201"/>
    <n v="14110"/>
    <n v="1715.83"/>
    <n v="14116"/>
    <n v="1715.83"/>
    <n v="0"/>
    <n v="0"/>
    <n v="0"/>
    <n v="70260"/>
    <n v="0"/>
    <n v="0"/>
    <n v="0"/>
    <s v="P"/>
    <m/>
    <m/>
    <s v=" "/>
    <x v="20"/>
    <s v="YES"/>
    <m/>
    <m/>
    <m/>
    <m/>
    <m/>
    <m/>
    <m/>
    <m/>
    <m/>
    <m/>
    <m/>
  </r>
  <r>
    <n v="2183"/>
    <n v="62784"/>
    <s v="P"/>
    <s v="Capitalized"/>
    <s v="Shop Jacks"/>
    <m/>
    <m/>
    <n v="1"/>
    <m/>
    <n v="0"/>
    <s v="ARI HETRA"/>
    <m/>
    <s v="SHOP EQUIPMENT"/>
    <s v="TBA"/>
    <m/>
    <m/>
    <m/>
    <d v="2009-01-01T00:00:00"/>
    <d v="2009-01-01T00:00:00"/>
    <s v="2183-8-0004-1"/>
    <n v="411"/>
    <n v="14070"/>
    <n v="2847"/>
    <n v="14076"/>
    <n v="2847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2604"/>
    <n v="61128"/>
    <s v="Capitalized"/>
    <s v="Autogreaser for Truck 3621"/>
    <m/>
    <m/>
    <n v="1"/>
    <m/>
    <n v="0"/>
    <m/>
    <m/>
    <s v="TRUCKS AND TRAILERS"/>
    <s v="TBA"/>
    <s v="Non-Rolling Stock"/>
    <m/>
    <m/>
    <d v="2009-01-01T00:00:00"/>
    <d v="2009-01-01T00:00:00"/>
    <s v="2183-8-0002-1"/>
    <n v="300"/>
    <n v="14040"/>
    <n v="3949.44"/>
    <n v="14046"/>
    <n v="3949.44"/>
    <n v="0"/>
    <n v="0"/>
    <n v="0"/>
    <n v="51260"/>
    <n v="0"/>
    <n v="0"/>
    <n v="0"/>
    <s v="P"/>
    <m/>
    <m/>
    <s v=" "/>
    <x v="20"/>
    <s v="YES"/>
    <m/>
    <m/>
    <m/>
    <m/>
    <m/>
    <m/>
    <m/>
    <m/>
    <m/>
    <m/>
    <m/>
  </r>
  <r>
    <n v="2183"/>
    <n v="62487"/>
    <s v="P"/>
    <s v="Capitalized"/>
    <s v="Goodwill Entries"/>
    <m/>
    <m/>
    <n v="1"/>
    <m/>
    <n v="0"/>
    <m/>
    <m/>
    <s v="GOODWILL"/>
    <s v="GOODWILL"/>
    <m/>
    <m/>
    <m/>
    <d v="2008-12-01T00:00:00"/>
    <d v="2008-12-01T00:00:00"/>
    <m/>
    <n v="0"/>
    <n v="15110"/>
    <n v="-1045249.13"/>
    <n v="15115"/>
    <n v="0"/>
    <n v="0"/>
    <n v="-1045249.13"/>
    <n v="0"/>
    <n v="70264"/>
    <n v="0"/>
    <n v="0"/>
    <n v="0"/>
    <s v="A"/>
    <s v="LeMay"/>
    <s v="NA"/>
    <s v=" "/>
    <x v="20"/>
    <s v="NO"/>
    <m/>
    <m/>
    <m/>
    <m/>
    <m/>
    <m/>
    <m/>
    <m/>
    <m/>
    <m/>
    <m/>
  </r>
  <r>
    <n v="2183"/>
    <n v="61495"/>
    <s v="P"/>
    <s v="Capitalized"/>
    <s v="Butlers Cove G Certificate"/>
    <m/>
    <m/>
    <n v="1"/>
    <m/>
    <n v="0"/>
    <m/>
    <m/>
    <s v="INDEFINITE LIVED INTANGIBLES"/>
    <s v="INDEFINITE LIVED INTANGIBLES"/>
    <m/>
    <m/>
    <m/>
    <d v="2008-11-03T00:00:00"/>
    <d v="2008-11-03T00:00:00"/>
    <m/>
    <n v="0"/>
    <n v="15260"/>
    <n v="3093535"/>
    <n v="15266"/>
    <n v="0"/>
    <n v="0"/>
    <n v="3093535"/>
    <n v="0"/>
    <n v="70264"/>
    <n v="0"/>
    <n v="0"/>
    <n v="0"/>
    <s v="A"/>
    <s v="LeMay Enterprises"/>
    <s v="NA"/>
    <s v=" "/>
    <x v="20"/>
    <s v="NO"/>
    <m/>
    <m/>
    <m/>
    <m/>
    <m/>
    <m/>
    <m/>
    <m/>
    <m/>
    <m/>
    <m/>
  </r>
  <r>
    <n v="2183"/>
    <n v="61494"/>
    <s v="P"/>
    <s v="Capitalized"/>
    <s v="Rural G Certificate"/>
    <m/>
    <m/>
    <n v="1"/>
    <m/>
    <n v="0"/>
    <m/>
    <m/>
    <s v="INDEFINITE LIVED INTANGIBLES"/>
    <s v="INDEFINITE LIVED INTANGIBLES"/>
    <m/>
    <m/>
    <m/>
    <d v="2008-11-03T00:00:00"/>
    <d v="2008-11-03T00:00:00"/>
    <m/>
    <n v="0"/>
    <n v="15260"/>
    <n v="5634865"/>
    <n v="15266"/>
    <n v="0"/>
    <n v="0"/>
    <n v="5634865"/>
    <n v="0"/>
    <n v="70264"/>
    <n v="0"/>
    <n v="0"/>
    <n v="0"/>
    <s v="A"/>
    <s v="LeMay Enterprises"/>
    <s v="NA"/>
    <s v=" "/>
    <x v="20"/>
    <s v="NO"/>
    <m/>
    <m/>
    <m/>
    <m/>
    <m/>
    <m/>
    <m/>
    <m/>
    <m/>
    <m/>
    <m/>
  </r>
  <r>
    <n v="2183"/>
    <n v="61493"/>
    <s v="P"/>
    <s v="Capitalized"/>
    <s v="Pacific G Certificate"/>
    <m/>
    <m/>
    <n v="1"/>
    <m/>
    <n v="0"/>
    <m/>
    <m/>
    <s v="INDEFINITE LIVED INTANGIBLES"/>
    <s v="INDEFINITE LIVED INTANGIBLES"/>
    <m/>
    <m/>
    <m/>
    <d v="2008-11-03T00:00:00"/>
    <d v="2008-11-03T00:00:00"/>
    <m/>
    <n v="0"/>
    <n v="15260"/>
    <n v="32885751"/>
    <n v="15266"/>
    <n v="0"/>
    <n v="0"/>
    <n v="32885751"/>
    <n v="0"/>
    <n v="70264"/>
    <n v="0"/>
    <n v="0"/>
    <n v="0"/>
    <s v="A"/>
    <s v="LeMay Enterprises"/>
    <s v="NA"/>
    <s v=" "/>
    <x v="20"/>
    <s v="NO"/>
    <m/>
    <m/>
    <m/>
    <m/>
    <m/>
    <m/>
    <m/>
    <m/>
    <m/>
    <m/>
    <m/>
  </r>
  <r>
    <n v="2183"/>
    <n v="61492"/>
    <s v="P"/>
    <s v="Capitalized"/>
    <s v="Lacey Building"/>
    <m/>
    <m/>
    <n v="1"/>
    <m/>
    <n v="0"/>
    <m/>
    <m/>
    <s v="BUILDINGS"/>
    <s v="TBA"/>
    <m/>
    <m/>
    <m/>
    <d v="2008-11-03T00:00:00"/>
    <d v="2008-11-03T00:00:00"/>
    <m/>
    <n v="2000"/>
    <n v="14080"/>
    <n v="2698000"/>
    <n v="14086"/>
    <n v="2090950.01"/>
    <n v="0"/>
    <n v="607049.99"/>
    <n v="44966.68"/>
    <n v="57260"/>
    <n v="11241.67"/>
    <n v="0"/>
    <n v="11241.67"/>
    <s v="A"/>
    <s v="LeMay Enterprises"/>
    <s v="NA"/>
    <s v=" "/>
    <x v="20"/>
    <s v="YES"/>
    <m/>
    <m/>
    <m/>
    <m/>
    <m/>
    <m/>
    <m/>
    <m/>
    <m/>
    <m/>
    <m/>
  </r>
  <r>
    <n v="2183"/>
    <n v="61491"/>
    <s v="P"/>
    <s v="Capitalized"/>
    <s v="6 Yard Commercial Containers"/>
    <m/>
    <m/>
    <n v="15"/>
    <m/>
    <n v="0"/>
    <m/>
    <m/>
    <s v="CONTAINERS"/>
    <s v="TBA"/>
    <m/>
    <s v="6 YD"/>
    <s v="FEL/REL/SL Metal"/>
    <d v="2008-11-03T00:00:00"/>
    <d v="2008-11-03T00:00:00"/>
    <m/>
    <n v="1200"/>
    <n v="14050"/>
    <n v="2094.15"/>
    <n v="14056"/>
    <n v="2094.15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1490"/>
    <s v="P"/>
    <s v="Capitalized"/>
    <s v="40YD."/>
    <m/>
    <m/>
    <n v="13"/>
    <m/>
    <n v="0"/>
    <m/>
    <m/>
    <s v="CONTAINERS"/>
    <s v="TBA"/>
    <m/>
    <s v="40 YD"/>
    <s v="RO Box"/>
    <d v="2008-11-03T00:00:00"/>
    <d v="2008-11-03T00:00:00"/>
    <m/>
    <n v="700"/>
    <n v="14050"/>
    <n v="16852.53"/>
    <n v="14056"/>
    <n v="16852.53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1489"/>
    <s v="P"/>
    <s v="Capitalized"/>
    <s v="(108,900) Residential Customers ($10 each)"/>
    <m/>
    <m/>
    <n v="108090"/>
    <m/>
    <n v="0"/>
    <m/>
    <m/>
    <s v="CONTAINERS"/>
    <s v="TBA"/>
    <m/>
    <m/>
    <m/>
    <d v="2008-11-03T00:00:00"/>
    <d v="2008-11-03T00:00:00"/>
    <m/>
    <n v="500"/>
    <n v="14050"/>
    <n v="1060918.8700000001"/>
    <n v="14056"/>
    <n v="1060918.8700000001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1488"/>
    <s v="P"/>
    <s v="Capitalized"/>
    <s v="30 Yard R/O Containers"/>
    <m/>
    <m/>
    <n v="7"/>
    <m/>
    <n v="0"/>
    <m/>
    <m/>
    <s v="CONTAINERS"/>
    <s v="TBA"/>
    <m/>
    <s v="30 YD"/>
    <s v="RO Box"/>
    <d v="2008-11-03T00:00:00"/>
    <d v="2008-11-03T00:00:00"/>
    <m/>
    <n v="700"/>
    <n v="14050"/>
    <n v="100552.05"/>
    <n v="14056"/>
    <n v="100552.05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1487"/>
    <s v="P"/>
    <s v="Capitalized"/>
    <s v="30 Yard R/O Containers"/>
    <m/>
    <m/>
    <n v="49"/>
    <m/>
    <n v="0"/>
    <m/>
    <m/>
    <s v="CONTAINERS"/>
    <s v="TBA"/>
    <m/>
    <s v="30 YD"/>
    <s v="RO Box"/>
    <d v="2008-11-03T00:00:00"/>
    <d v="2008-11-03T00:00:00"/>
    <m/>
    <n v="700"/>
    <n v="14050"/>
    <n v="73583.89"/>
    <n v="14056"/>
    <n v="73583.89"/>
    <n v="0"/>
    <n v="0"/>
    <n v="0"/>
    <n v="54260"/>
    <n v="0"/>
    <n v="0"/>
    <n v="0"/>
    <s v="A"/>
    <s v="LeMay Enterprises"/>
    <s v="NA"/>
    <s v=" "/>
    <x v="20"/>
    <s v="YES"/>
    <m/>
    <m/>
    <m/>
    <m/>
    <m/>
    <m/>
    <m/>
    <m/>
    <m/>
    <m/>
    <m/>
  </r>
  <r>
    <n v="2183"/>
    <n v="61486"/>
    <s v="P"/>
    <s v="Capitalized"/>
    <s v="Lacey Building Improvements"/>
    <m/>
    <m/>
    <n v="1"/>
    <m/>
    <n v="0"/>
    <m/>
    <m/>
    <s v="LAND IMPROVEMENTS"/>
    <s v="TBA"/>
    <m/>
    <m/>
    <m/>
    <d v="2008-11-03T00:00:00"/>
    <d v="2008-11-03T00:00:00"/>
    <m/>
    <n v="2000"/>
    <n v="14010"/>
    <n v="600000"/>
    <n v="14016"/>
    <n v="465000"/>
    <n v="0"/>
    <n v="135000"/>
    <n v="10000"/>
    <n v="57260"/>
    <n v="2500"/>
    <n v="0"/>
    <n v="2500"/>
    <s v="A"/>
    <s v="LeMay Enterprises"/>
    <s v="NA"/>
    <s v=" "/>
    <x v="20"/>
    <s v="YES"/>
    <m/>
    <m/>
    <m/>
    <m/>
    <m/>
    <m/>
    <m/>
    <m/>
    <m/>
    <m/>
    <m/>
  </r>
  <r>
    <n v="2183"/>
    <n v="61130"/>
    <s v="P"/>
    <s v="Capitalized"/>
    <s v="Goodwil - LeMay Enterprises"/>
    <m/>
    <m/>
    <n v="1"/>
    <m/>
    <n v="0"/>
    <m/>
    <m/>
    <s v="GOODWILL"/>
    <s v="GOODWILL"/>
    <m/>
    <m/>
    <m/>
    <d v="2008-11-03T00:00:00"/>
    <d v="2008-11-03T00:00:00"/>
    <m/>
    <n v="0"/>
    <n v="15110"/>
    <n v="3164917"/>
    <n v="15115"/>
    <n v="0"/>
    <n v="0"/>
    <n v="3164917"/>
    <n v="0"/>
    <n v="70264"/>
    <n v="0"/>
    <n v="0"/>
    <n v="0"/>
    <s v="A"/>
    <s v="LeMay Enterprises"/>
    <s v="NA"/>
    <s v=" "/>
    <x v="20"/>
    <s v="NO"/>
    <m/>
    <m/>
    <m/>
    <m/>
    <m/>
    <m/>
    <m/>
    <m/>
    <m/>
    <m/>
    <m/>
  </r>
  <r>
    <n v="2183"/>
    <n v="61129"/>
    <s v="P"/>
    <s v="Capitalized"/>
    <s v="2009 Type H TSide ASL"/>
    <m/>
    <m/>
    <n v="1"/>
    <s v="3BPZL50X49F719193"/>
    <n v="2009"/>
    <s v="Peterbilt"/>
    <s v="Wayne"/>
    <s v="TRUCKS AND TRAILERS"/>
    <s v="TBA"/>
    <s v="Automated Side Loader"/>
    <m/>
    <m/>
    <d v="2008-11-03T00:00:00"/>
    <d v="2008-11-03T00:00:00"/>
    <m/>
    <n v="1000"/>
    <n v="14040"/>
    <n v="132128.6"/>
    <n v="14046"/>
    <n v="132128.6"/>
    <n v="0"/>
    <n v="0"/>
    <n v="0"/>
    <n v="51260"/>
    <n v="0"/>
    <n v="0"/>
    <n v="0"/>
    <s v="A"/>
    <s v="LeMay Enterprises"/>
    <n v="3622"/>
    <s v=" "/>
    <x v="20"/>
    <s v="YES"/>
    <m/>
    <m/>
    <m/>
    <m/>
    <m/>
    <m/>
    <m/>
    <m/>
    <m/>
    <m/>
    <m/>
  </r>
  <r>
    <n v="2183"/>
    <n v="61128"/>
    <s v="P"/>
    <s v="Capitalized"/>
    <s v="2009 Type H TSide ASL"/>
    <m/>
    <m/>
    <n v="1"/>
    <s v="3BPZL50X29F719192"/>
    <n v="2009"/>
    <s v="Peterbilt"/>
    <s v="Wayne"/>
    <s v="TRUCKS AND TRAILERS"/>
    <s v="TBA"/>
    <s v="Automated Side Loader"/>
    <m/>
    <m/>
    <d v="2008-11-03T00:00:00"/>
    <d v="2008-11-03T00:00:00"/>
    <m/>
    <n v="1000"/>
    <n v="14040"/>
    <n v="132128.6"/>
    <n v="14046"/>
    <n v="132128.6"/>
    <n v="0"/>
    <n v="0"/>
    <n v="0"/>
    <n v="51260"/>
    <n v="0"/>
    <n v="0"/>
    <n v="0"/>
    <s v="A"/>
    <s v="LeMay Enterprises"/>
    <n v="3621"/>
    <s v=" "/>
    <x v="20"/>
    <s v="YES"/>
    <m/>
    <m/>
    <m/>
    <m/>
    <m/>
    <m/>
    <m/>
    <m/>
    <m/>
    <m/>
    <m/>
  </r>
  <r>
    <n v="2183"/>
    <n v="61125"/>
    <s v="P"/>
    <s v="Capitalized"/>
    <s v="2008 Type H Drop R/O"/>
    <m/>
    <m/>
    <n v="1"/>
    <s v="4V5M99GHX8N487360"/>
    <n v="2008"/>
    <s v="Volvo"/>
    <s v="Helm"/>
    <s v="TRUCKS AND TRAILERS"/>
    <s v="TBA"/>
    <s v="Roll Off"/>
    <m/>
    <m/>
    <d v="2008-11-03T00:00:00"/>
    <d v="2008-11-03T00:00:00"/>
    <m/>
    <n v="900"/>
    <n v="14040"/>
    <n v="106500"/>
    <n v="14046"/>
    <n v="106500"/>
    <n v="0"/>
    <n v="0"/>
    <n v="0"/>
    <n v="51260"/>
    <n v="0"/>
    <n v="0"/>
    <n v="0"/>
    <s v="A"/>
    <s v="LeMay Enterprises"/>
    <n v="4061"/>
    <s v=" "/>
    <x v="20"/>
    <s v="YES"/>
    <m/>
    <m/>
    <m/>
    <m/>
    <m/>
    <m/>
    <m/>
    <m/>
    <m/>
    <m/>
    <m/>
  </r>
  <r>
    <n v="2183"/>
    <n v="61124"/>
    <s v="P"/>
    <s v="Capitalized"/>
    <s v="2007 Type H TSide ASL"/>
    <m/>
    <m/>
    <n v="1"/>
    <s v="3BPZLD9X87F717683"/>
    <n v="2007"/>
    <s v="Peterbilt"/>
    <s v="Wayne"/>
    <s v="TRUCKS AND TRAILERS"/>
    <s v="TBA"/>
    <s v="Automated Side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3615"/>
    <s v=" "/>
    <x v="20"/>
    <s v="YES"/>
    <m/>
    <m/>
    <m/>
    <m/>
    <m/>
    <m/>
    <m/>
    <m/>
    <m/>
    <m/>
    <m/>
  </r>
  <r>
    <n v="2183"/>
    <n v="61121"/>
    <s v="P"/>
    <s v="Capitalized"/>
    <s v="2007 Type H TSide ASL"/>
    <m/>
    <m/>
    <n v="1"/>
    <s v="3BPZLD9X77F717576"/>
    <n v="2007"/>
    <s v="Peterbilt"/>
    <s v="Wayne"/>
    <s v="TRUCKS AND TRAILERS"/>
    <s v="TBA"/>
    <s v="Automated Side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3604"/>
    <s v=" "/>
    <x v="20"/>
    <s v="YES"/>
    <m/>
    <m/>
    <m/>
    <m/>
    <m/>
    <m/>
    <m/>
    <m/>
    <m/>
    <m/>
    <m/>
  </r>
  <r>
    <n v="2183"/>
    <n v="61120"/>
    <s v="P"/>
    <s v="Capitalized"/>
    <s v="2007 Type H TSide ASL"/>
    <m/>
    <m/>
    <n v="1"/>
    <s v="3BPZLD9X57F717575"/>
    <n v="2007"/>
    <s v="Peterbilt"/>
    <s v="Wayne"/>
    <s v="TRUCKS AND TRAILERS"/>
    <s v="TBA"/>
    <s v="Automated Side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3603"/>
    <s v=" "/>
    <x v="20"/>
    <s v="YES"/>
    <m/>
    <m/>
    <m/>
    <m/>
    <m/>
    <m/>
    <m/>
    <m/>
    <m/>
    <m/>
    <m/>
  </r>
  <r>
    <n v="2183"/>
    <n v="61117"/>
    <s v="P"/>
    <s v="Capitalized"/>
    <s v="2007 Type H TSide ASL"/>
    <m/>
    <m/>
    <n v="1"/>
    <s v="3BPZLD9XX7F717572"/>
    <n v="2007"/>
    <s v="Peterbilt"/>
    <s v="Wayne"/>
    <s v="TRUCKS AND TRAILERS"/>
    <s v="TBA"/>
    <s v="Automated Side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3600"/>
    <s v=" "/>
    <x v="20"/>
    <s v="YES"/>
    <m/>
    <m/>
    <m/>
    <m/>
    <m/>
    <m/>
    <m/>
    <m/>
    <m/>
    <m/>
    <m/>
  </r>
  <r>
    <n v="2183"/>
    <n v="61112"/>
    <s v="P"/>
    <s v="Capitalized"/>
    <s v="2007 Type H Drop R/O"/>
    <m/>
    <m/>
    <n v="1"/>
    <s v="4V5M99GHX7N481928"/>
    <n v="2007"/>
    <s v="Volvo"/>
    <s v="Helm"/>
    <s v="TRUCKS AND TRAILERS"/>
    <s v="TBA"/>
    <s v="Roll Off"/>
    <m/>
    <m/>
    <d v="2008-11-03T00:00:00"/>
    <d v="2008-11-03T00:00:00"/>
    <m/>
    <n v="800"/>
    <n v="14040"/>
    <n v="86500"/>
    <n v="14046"/>
    <n v="86500"/>
    <n v="0"/>
    <n v="0"/>
    <n v="0"/>
    <n v="51260"/>
    <n v="0"/>
    <n v="0"/>
    <n v="0"/>
    <s v="A"/>
    <s v="LeMay Enterprises"/>
    <n v="4054"/>
    <s v=" "/>
    <x v="20"/>
    <s v="YES"/>
    <m/>
    <m/>
    <m/>
    <m/>
    <m/>
    <m/>
    <m/>
    <m/>
    <m/>
    <m/>
    <m/>
  </r>
  <r>
    <n v="2183"/>
    <n v="61111"/>
    <s v="P"/>
    <s v="Capitalized"/>
    <s v="2007 Type H Rear REL"/>
    <m/>
    <m/>
    <n v="1"/>
    <s v="1HTWCAAN17J411769"/>
    <n v="2007"/>
    <s v="International"/>
    <s v="McNeilus"/>
    <s v="TRUCKS AND TRAILERS"/>
    <s v="TBA"/>
    <s v="Rear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1067"/>
    <s v=" "/>
    <x v="20"/>
    <s v="YES"/>
    <m/>
    <m/>
    <m/>
    <m/>
    <m/>
    <m/>
    <m/>
    <m/>
    <m/>
    <m/>
    <m/>
  </r>
  <r>
    <n v="2183"/>
    <n v="61110"/>
    <s v="P"/>
    <s v="Capitalized"/>
    <s v="2007 Type H Rear REL"/>
    <m/>
    <m/>
    <n v="1"/>
    <s v="1HTWCAAN77J471894"/>
    <n v="2007"/>
    <s v="International"/>
    <s v="McNeilus"/>
    <s v="TRUCKS AND TRAILERS"/>
    <s v="TBA"/>
    <s v="Rear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1062"/>
    <s v=" "/>
    <x v="20"/>
    <s v="YES"/>
    <m/>
    <m/>
    <m/>
    <m/>
    <m/>
    <m/>
    <m/>
    <m/>
    <m/>
    <m/>
    <m/>
  </r>
  <r>
    <n v="2183"/>
    <n v="61108"/>
    <s v="P"/>
    <s v="Capitalized"/>
    <s v="2007 Type H Rear REL"/>
    <m/>
    <m/>
    <n v="1"/>
    <s v="1HTWCAAN67J411766"/>
    <n v="2007"/>
    <s v="International"/>
    <s v="McNeilus"/>
    <s v="TRUCKS AND TRAILERS"/>
    <s v="TBA"/>
    <s v="Rear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1054"/>
    <s v=" "/>
    <x v="20"/>
    <s v="YES"/>
    <m/>
    <m/>
    <m/>
    <m/>
    <m/>
    <m/>
    <m/>
    <m/>
    <m/>
    <m/>
    <m/>
  </r>
  <r>
    <n v="2183"/>
    <n v="61107"/>
    <s v="P"/>
    <s v="Capitalized"/>
    <s v="2007 Type H Rear REL"/>
    <m/>
    <m/>
    <n v="1"/>
    <s v="1HTWCAAN67J408429"/>
    <n v="2007"/>
    <s v="International"/>
    <s v="McNeilus"/>
    <s v="TRUCKS AND TRAILERS"/>
    <s v="TBA"/>
    <s v="Rear Loader"/>
    <m/>
    <m/>
    <d v="2008-11-03T00:00:00"/>
    <d v="2008-11-03T00:00:00"/>
    <m/>
    <n v="800"/>
    <n v="14040"/>
    <n v="133500"/>
    <n v="14046"/>
    <n v="133500"/>
    <n v="0"/>
    <n v="0"/>
    <n v="0"/>
    <n v="51260"/>
    <n v="0"/>
    <n v="0"/>
    <n v="0"/>
    <s v="A"/>
    <s v="LeMay Enterprises"/>
    <n v="1049"/>
    <s v=" "/>
    <x v="20"/>
    <s v="YES"/>
    <m/>
    <m/>
    <m/>
    <m/>
    <m/>
    <m/>
    <m/>
    <m/>
    <m/>
    <m/>
    <m/>
  </r>
  <r>
    <n v="2183"/>
    <n v="61097"/>
    <s v="P"/>
    <s v="Capitalized"/>
    <s v="2006 Type H Drop R/O"/>
    <m/>
    <m/>
    <n v="1"/>
    <s v="4V5M99GH86N425470"/>
    <n v="2006"/>
    <s v="Volvo"/>
    <s v="Helm"/>
    <s v="TRUCKS AND TRAILERS"/>
    <s v="TBA"/>
    <s v="Roll Off"/>
    <m/>
    <m/>
    <d v="2008-11-03T00:00:00"/>
    <d v="2008-11-03T00:00:00"/>
    <m/>
    <n v="700"/>
    <n v="14040"/>
    <n v="81500"/>
    <n v="14046"/>
    <n v="81500"/>
    <n v="0"/>
    <n v="0"/>
    <n v="0"/>
    <n v="51260"/>
    <n v="0"/>
    <n v="0"/>
    <n v="0"/>
    <s v="A"/>
    <s v="LeMay Enterprises"/>
    <n v="4047"/>
    <s v=" "/>
    <x v="20"/>
    <s v="YES"/>
    <m/>
    <m/>
    <m/>
    <m/>
    <m/>
    <m/>
    <m/>
    <m/>
    <m/>
    <m/>
    <m/>
  </r>
  <r>
    <n v="2183"/>
    <n v="61096"/>
    <s v="P"/>
    <s v="Capitalized"/>
    <s v="2006 Type H Drop R/O"/>
    <m/>
    <m/>
    <n v="1"/>
    <s v="4V5M99GH16N425469"/>
    <n v="2006"/>
    <s v="Volvo"/>
    <s v="Helm"/>
    <s v="TRUCKS AND TRAILERS"/>
    <s v="TBA"/>
    <s v="Roll Off"/>
    <m/>
    <m/>
    <d v="2008-11-03T00:00:00"/>
    <d v="2008-11-03T00:00:00"/>
    <m/>
    <n v="700"/>
    <n v="14040"/>
    <n v="81500"/>
    <n v="14046"/>
    <n v="81500"/>
    <n v="0"/>
    <n v="0"/>
    <n v="0"/>
    <n v="51260"/>
    <n v="0"/>
    <n v="0"/>
    <n v="0"/>
    <s v="A"/>
    <s v="LeMay Enterprises"/>
    <n v="4046"/>
    <s v=" "/>
    <x v="20"/>
    <s v="YES"/>
    <m/>
    <m/>
    <m/>
    <m/>
    <m/>
    <m/>
    <m/>
    <m/>
    <m/>
    <m/>
    <m/>
  </r>
  <r>
    <n v="2183"/>
    <n v="61095"/>
    <s v="P"/>
    <s v="Capitalized"/>
    <s v="2006 Type H Rear REL"/>
    <m/>
    <m/>
    <n v="1"/>
    <s v="1HTWCAAN76J265117"/>
    <n v="2006"/>
    <s v="International"/>
    <s v="McNeilus"/>
    <s v="TRUCKS AND TRAILERS"/>
    <s v="TBA"/>
    <s v="Rear Loader"/>
    <m/>
    <m/>
    <d v="2008-11-03T00:00:00"/>
    <d v="2008-11-03T00:00:00"/>
    <m/>
    <n v="700"/>
    <n v="14040"/>
    <n v="123500"/>
    <n v="14046"/>
    <n v="123500"/>
    <n v="0"/>
    <n v="0"/>
    <n v="0"/>
    <n v="51260"/>
    <n v="0"/>
    <n v="0"/>
    <n v="0"/>
    <s v="A"/>
    <s v="LeMay Enterprises"/>
    <n v="1046"/>
    <s v=" "/>
    <x v="20"/>
    <s v="YES"/>
    <m/>
    <m/>
    <m/>
    <m/>
    <m/>
    <m/>
    <m/>
    <m/>
    <m/>
    <m/>
    <m/>
  </r>
  <r>
    <n v="2183"/>
    <n v="61094"/>
    <s v="P"/>
    <s v="Capitalized"/>
    <s v="2006 Type H Rear REL"/>
    <m/>
    <m/>
    <n v="1"/>
    <s v="1HTWCAAN56J265116"/>
    <n v="2006"/>
    <s v="International"/>
    <s v="McNeilus"/>
    <s v="TRUCKS AND TRAILERS"/>
    <s v="TBA"/>
    <s v="Rear Loader"/>
    <m/>
    <m/>
    <d v="2008-11-03T00:00:00"/>
    <d v="2008-11-03T00:00:00"/>
    <m/>
    <n v="700"/>
    <n v="14040"/>
    <n v="123500"/>
    <n v="14046"/>
    <n v="123500"/>
    <n v="0"/>
    <n v="0"/>
    <n v="0"/>
    <n v="51260"/>
    <n v="0"/>
    <n v="0"/>
    <n v="0"/>
    <s v="A"/>
    <s v="LeMay Enterprises"/>
    <n v="1045"/>
    <s v=" "/>
    <x v="20"/>
    <s v="YES"/>
    <m/>
    <m/>
    <m/>
    <m/>
    <m/>
    <m/>
    <m/>
    <m/>
    <m/>
    <m/>
    <m/>
  </r>
  <r>
    <n v="2183"/>
    <n v="61093"/>
    <s v="P"/>
    <s v="Capitalized"/>
    <s v="2006 Type H Rear REL"/>
    <m/>
    <m/>
    <n v="1"/>
    <s v="1HTWCAANX6J265113"/>
    <n v="2006"/>
    <s v="International"/>
    <s v="McNeilus"/>
    <s v="TRUCKS AND TRAILERS"/>
    <s v="TBA"/>
    <s v="Rear Loader"/>
    <m/>
    <m/>
    <d v="2008-11-03T00:00:00"/>
    <d v="2008-11-03T00:00:00"/>
    <m/>
    <n v="700"/>
    <n v="14040"/>
    <n v="123500"/>
    <n v="14046"/>
    <n v="123500"/>
    <n v="0"/>
    <n v="0"/>
    <n v="0"/>
    <n v="51260"/>
    <n v="0"/>
    <n v="0"/>
    <n v="0"/>
    <s v="A"/>
    <s v="LeMay Enterprises"/>
    <n v="1042"/>
    <s v=" "/>
    <x v="20"/>
    <s v="YES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1CD9B3-0FA2-4DC4-9415-2FF0FF9FC280}" name="PivotTable2" cacheId="4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B3:G22" firstHeaderRow="0" firstDataRow="1" firstDataCol="1"/>
  <pivotFields count="4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71" showAll="0"/>
    <pivotField numFmtId="172" showAll="0"/>
    <pivotField showAll="0"/>
    <pivotField showAll="0"/>
    <pivotField showAll="0"/>
    <pivotField dataField="1" numFmtId="44" showAll="0"/>
    <pivotField showAll="0"/>
    <pivotField numFmtId="44" showAll="0"/>
    <pivotField numFmtId="43" showAll="0"/>
    <pivotField numFmtId="44" showAll="0"/>
    <pivotField showAll="0"/>
    <pivotField numFmtId="44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3">
        <item x="18"/>
        <item x="13"/>
        <item x="14"/>
        <item x="17"/>
        <item h="1" x="19"/>
        <item x="5"/>
        <item x="16"/>
        <item x="0"/>
        <item x="15"/>
        <item h="1" x="9"/>
        <item x="7"/>
        <item x="8"/>
        <item h="1" m="1" x="21"/>
        <item x="1"/>
        <item x="2"/>
        <item x="3"/>
        <item x="6"/>
        <item x="10"/>
        <item x="11"/>
        <item x="12"/>
        <item h="1" x="20"/>
        <item x="4"/>
        <item t="default"/>
      </items>
    </pivotField>
    <pivotField showAll="0"/>
    <pivotField showAll="0"/>
    <pivotField showAll="0"/>
    <pivotField showAll="0"/>
    <pivotField numFmtId="167" showAll="0"/>
    <pivotField numFmtId="168" showAll="0"/>
    <pivotField numFmtId="168" showAll="0"/>
    <pivotField dataField="1" numFmtId="168" showAll="0"/>
    <pivotField dataField="1" numFmtId="168" showAll="0"/>
    <pivotField dataField="1" numFmtId="168" showAll="0"/>
    <pivotField dataField="1" numFmtId="168" showAll="0"/>
    <pivotField showAll="0"/>
  </pivotFields>
  <rowFields count="1">
    <field x="36"/>
  </rowFields>
  <rowItems count="19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Asset Cost" fld="22" baseField="0" baseItem="0"/>
    <dataField name="Sum of Test Year Dep" fld="44" baseField="0" baseItem="0"/>
    <dataField name="Sum of BOY Accum" fld="45" baseField="0" baseItem="0"/>
    <dataField name="Sum of EOY Accum" fld="46" baseField="0" baseItem="0"/>
    <dataField name="Sum of EOY Average Investment" fld="47" baseField="0" baseItem="0"/>
  </dataFields>
  <formats count="8"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1">
      <pivotArea collapsedLevelsAreSubtotals="1" fieldPosition="0">
        <references count="1">
          <reference field="36" count="6">
            <x v="0"/>
            <x v="1"/>
            <x v="2"/>
            <x v="3"/>
            <x v="4"/>
            <x v="5"/>
          </reference>
        </references>
      </pivotArea>
    </format>
    <format dxfId="0">
      <pivotArea collapsedLevelsAreSubtotals="1" fieldPosition="0">
        <references count="1">
          <reference field="36" count="8">
            <x v="0"/>
            <x v="1"/>
            <x v="2"/>
            <x v="3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sacinf05/DistShares/Fixed%20Assets/2013" TargetMode="Externa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AI62"/>
  <sheetViews>
    <sheetView tabSelected="1" view="pageBreakPreview" topLeftCell="E1" zoomScale="60" zoomScaleNormal="100" workbookViewId="0">
      <selection activeCell="R41" sqref="R41"/>
    </sheetView>
  </sheetViews>
  <sheetFormatPr defaultColWidth="11.42578125" defaultRowHeight="12.75"/>
  <cols>
    <col min="1" max="1" width="24.140625" customWidth="1"/>
    <col min="2" max="2" width="14.28515625" bestFit="1" customWidth="1"/>
    <col min="3" max="3" width="12.7109375" bestFit="1" customWidth="1"/>
    <col min="4" max="4" width="14.28515625" bestFit="1" customWidth="1"/>
    <col min="5" max="5" width="13.140625" bestFit="1" customWidth="1"/>
    <col min="6" max="8" width="14.28515625" bestFit="1" customWidth="1"/>
    <col min="9" max="9" width="11.42578125" customWidth="1"/>
    <col min="10" max="10" width="23" bestFit="1" customWidth="1"/>
    <col min="11" max="11" width="14" bestFit="1" customWidth="1"/>
    <col min="12" max="12" width="8.42578125" bestFit="1" customWidth="1"/>
    <col min="13" max="13" width="14.5703125" bestFit="1" customWidth="1"/>
    <col min="14" max="14" width="12.85546875" bestFit="1" customWidth="1"/>
    <col min="15" max="15" width="12.42578125" bestFit="1" customWidth="1"/>
    <col min="16" max="16" width="14.85546875" bestFit="1" customWidth="1"/>
    <col min="17" max="17" width="14" bestFit="1" customWidth="1"/>
    <col min="19" max="19" width="23" bestFit="1" customWidth="1"/>
    <col min="20" max="20" width="13.85546875" bestFit="1" customWidth="1"/>
    <col min="21" max="21" width="8.42578125" bestFit="1" customWidth="1"/>
    <col min="22" max="22" width="10.5703125" bestFit="1" customWidth="1"/>
    <col min="23" max="23" width="10" bestFit="1" customWidth="1"/>
    <col min="24" max="24" width="12.42578125" bestFit="1" customWidth="1"/>
    <col min="25" max="25" width="14.85546875" bestFit="1" customWidth="1"/>
    <col min="26" max="26" width="14" bestFit="1" customWidth="1"/>
    <col min="28" max="28" width="23" bestFit="1" customWidth="1"/>
    <col min="29" max="29" width="13.28515625" bestFit="1" customWidth="1"/>
    <col min="30" max="30" width="8.42578125" bestFit="1" customWidth="1"/>
    <col min="31" max="31" width="13.28515625" bestFit="1" customWidth="1"/>
    <col min="32" max="32" width="12.5703125" bestFit="1" customWidth="1"/>
    <col min="33" max="34" width="14.85546875" bestFit="1" customWidth="1"/>
    <col min="35" max="35" width="14" bestFit="1" customWidth="1"/>
  </cols>
  <sheetData>
    <row r="1" spans="1:35">
      <c r="A1" s="2" t="s">
        <v>428</v>
      </c>
    </row>
    <row r="2" spans="1:35">
      <c r="A2" s="2" t="s">
        <v>456</v>
      </c>
    </row>
    <row r="3" spans="1:35">
      <c r="A3" s="2" t="s">
        <v>383</v>
      </c>
    </row>
    <row r="4" spans="1:35" ht="13.5" thickBot="1">
      <c r="A4" s="2"/>
    </row>
    <row r="5" spans="1:35" ht="13.5" thickBot="1">
      <c r="A5" s="219" t="s">
        <v>912</v>
      </c>
      <c r="B5" s="220"/>
      <c r="C5" s="220"/>
      <c r="D5" s="220"/>
      <c r="E5" s="220"/>
      <c r="F5" s="220"/>
      <c r="G5" s="220"/>
      <c r="H5" s="221"/>
      <c r="J5" s="219" t="s">
        <v>919</v>
      </c>
      <c r="K5" s="220"/>
      <c r="L5" s="220"/>
      <c r="M5" s="220"/>
      <c r="N5" s="220"/>
      <c r="O5" s="220"/>
      <c r="P5" s="220"/>
      <c r="Q5" s="221"/>
      <c r="S5" s="219" t="s">
        <v>920</v>
      </c>
      <c r="T5" s="220"/>
      <c r="U5" s="220"/>
      <c r="V5" s="220"/>
      <c r="W5" s="220"/>
      <c r="X5" s="220"/>
      <c r="Y5" s="220"/>
      <c r="Z5" s="221"/>
      <c r="AB5" s="219" t="s">
        <v>921</v>
      </c>
      <c r="AC5" s="220"/>
      <c r="AD5" s="220"/>
      <c r="AE5" s="220"/>
      <c r="AF5" s="220"/>
      <c r="AG5" s="220"/>
      <c r="AH5" s="220"/>
      <c r="AI5" s="221"/>
    </row>
    <row r="6" spans="1:35">
      <c r="A6" s="10"/>
      <c r="B6" s="11"/>
      <c r="C6" s="11"/>
      <c r="D6" s="11"/>
      <c r="E6" s="11"/>
      <c r="F6" s="11" t="s">
        <v>188</v>
      </c>
      <c r="G6" s="11" t="s">
        <v>43</v>
      </c>
      <c r="H6" s="12" t="s">
        <v>55</v>
      </c>
      <c r="J6" s="10"/>
      <c r="K6" s="11"/>
      <c r="L6" s="11"/>
      <c r="M6" s="11"/>
      <c r="N6" s="11"/>
      <c r="O6" s="11" t="s">
        <v>188</v>
      </c>
      <c r="P6" s="11" t="s">
        <v>43</v>
      </c>
      <c r="Q6" s="12" t="s">
        <v>55</v>
      </c>
      <c r="S6" s="10"/>
      <c r="T6" s="11"/>
      <c r="U6" s="11"/>
      <c r="V6" s="11"/>
      <c r="W6" s="11"/>
      <c r="X6" s="11" t="s">
        <v>188</v>
      </c>
      <c r="Y6" s="11" t="s">
        <v>43</v>
      </c>
      <c r="Z6" s="12" t="s">
        <v>55</v>
      </c>
      <c r="AB6" s="10"/>
      <c r="AC6" s="11"/>
      <c r="AD6" s="11"/>
      <c r="AE6" s="11"/>
      <c r="AF6" s="11"/>
      <c r="AG6" s="11" t="s">
        <v>188</v>
      </c>
      <c r="AH6" s="11" t="s">
        <v>43</v>
      </c>
      <c r="AI6" s="12" t="s">
        <v>55</v>
      </c>
    </row>
    <row r="7" spans="1:35">
      <c r="A7" s="13" t="s">
        <v>115</v>
      </c>
      <c r="B7" s="14" t="s">
        <v>173</v>
      </c>
      <c r="C7" s="14" t="s">
        <v>47</v>
      </c>
      <c r="D7" s="14" t="s">
        <v>62</v>
      </c>
      <c r="E7" s="14" t="s">
        <v>268</v>
      </c>
      <c r="F7" s="14" t="s">
        <v>101</v>
      </c>
      <c r="G7" s="14" t="s">
        <v>101</v>
      </c>
      <c r="H7" s="15" t="s">
        <v>6</v>
      </c>
      <c r="J7" s="13" t="s">
        <v>115</v>
      </c>
      <c r="K7" s="14" t="s">
        <v>173</v>
      </c>
      <c r="L7" s="14" t="s">
        <v>47</v>
      </c>
      <c r="M7" s="14" t="s">
        <v>62</v>
      </c>
      <c r="N7" s="14" t="s">
        <v>268</v>
      </c>
      <c r="O7" s="14" t="s">
        <v>101</v>
      </c>
      <c r="P7" s="14" t="s">
        <v>101</v>
      </c>
      <c r="Q7" s="15" t="s">
        <v>6</v>
      </c>
      <c r="S7" s="13" t="s">
        <v>115</v>
      </c>
      <c r="T7" s="14" t="s">
        <v>173</v>
      </c>
      <c r="U7" s="14" t="s">
        <v>47</v>
      </c>
      <c r="V7" s="14" t="s">
        <v>62</v>
      </c>
      <c r="W7" s="14" t="s">
        <v>268</v>
      </c>
      <c r="X7" s="14" t="s">
        <v>101</v>
      </c>
      <c r="Y7" s="14" t="s">
        <v>101</v>
      </c>
      <c r="Z7" s="15" t="s">
        <v>6</v>
      </c>
      <c r="AB7" s="13" t="s">
        <v>115</v>
      </c>
      <c r="AC7" s="14" t="s">
        <v>173</v>
      </c>
      <c r="AD7" s="14" t="s">
        <v>47</v>
      </c>
      <c r="AE7" s="14" t="s">
        <v>62</v>
      </c>
      <c r="AF7" s="14" t="s">
        <v>268</v>
      </c>
      <c r="AG7" s="14" t="s">
        <v>101</v>
      </c>
      <c r="AH7" s="14" t="s">
        <v>101</v>
      </c>
      <c r="AI7" s="15" t="s">
        <v>6</v>
      </c>
    </row>
    <row r="8" spans="1:35">
      <c r="A8" s="16"/>
      <c r="B8" s="8"/>
      <c r="C8" s="8"/>
      <c r="D8" s="8" t="s">
        <v>173</v>
      </c>
      <c r="E8" s="8" t="s">
        <v>62</v>
      </c>
      <c r="F8" s="9">
        <v>45047</v>
      </c>
      <c r="G8" s="9">
        <v>45412</v>
      </c>
      <c r="H8" s="17">
        <f>G8</f>
        <v>45412</v>
      </c>
      <c r="J8" s="16"/>
      <c r="K8" s="8"/>
      <c r="L8" s="8"/>
      <c r="M8" s="8" t="s">
        <v>173</v>
      </c>
      <c r="N8" s="8" t="s">
        <v>62</v>
      </c>
      <c r="O8" s="9">
        <f>+F8</f>
        <v>45047</v>
      </c>
      <c r="P8" s="9">
        <f t="shared" ref="P8:Q8" si="0">+G8</f>
        <v>45412</v>
      </c>
      <c r="Q8" s="9">
        <f t="shared" si="0"/>
        <v>45412</v>
      </c>
      <c r="S8" s="16"/>
      <c r="T8" s="8"/>
      <c r="U8" s="8"/>
      <c r="V8" s="8" t="s">
        <v>173</v>
      </c>
      <c r="W8" s="8" t="s">
        <v>62</v>
      </c>
      <c r="X8" s="9">
        <f>+O8</f>
        <v>45047</v>
      </c>
      <c r="Y8" s="9">
        <f t="shared" ref="Y8:Z8" si="1">+P8</f>
        <v>45412</v>
      </c>
      <c r="Z8" s="9">
        <f t="shared" si="1"/>
        <v>45412</v>
      </c>
      <c r="AB8" s="16"/>
      <c r="AC8" s="8"/>
      <c r="AD8" s="8"/>
      <c r="AE8" s="8" t="s">
        <v>173</v>
      </c>
      <c r="AF8" s="8" t="s">
        <v>62</v>
      </c>
      <c r="AG8" s="9">
        <f>+X8</f>
        <v>45047</v>
      </c>
      <c r="AH8" s="9">
        <f t="shared" ref="AH8:AI8" si="2">+Y8</f>
        <v>45412</v>
      </c>
      <c r="AI8" s="9">
        <f t="shared" si="2"/>
        <v>45412</v>
      </c>
    </row>
    <row r="9" spans="1:35">
      <c r="A9" s="18" t="s">
        <v>5</v>
      </c>
      <c r="H9" s="19"/>
      <c r="J9" s="18" t="s">
        <v>5</v>
      </c>
      <c r="Q9" s="19"/>
      <c r="S9" s="18" t="s">
        <v>5</v>
      </c>
      <c r="Z9" s="19"/>
      <c r="AB9" s="18" t="s">
        <v>5</v>
      </c>
      <c r="AI9" s="19"/>
    </row>
    <row r="10" spans="1:35">
      <c r="A10" s="18" t="s">
        <v>147</v>
      </c>
      <c r="B10" s="39">
        <f>'Trucks 2183'!L81</f>
        <v>9972368.7827333324</v>
      </c>
      <c r="C10" s="39">
        <f>B10-D10</f>
        <v>0</v>
      </c>
      <c r="D10" s="39">
        <f>'Trucks 2183'!M81</f>
        <v>9972368.7827333324</v>
      </c>
      <c r="E10" s="39">
        <f>'Trucks 2183'!P81</f>
        <v>888063.05212666676</v>
      </c>
      <c r="F10" s="39">
        <f>'Trucks 2183'!Q81</f>
        <v>5324361.1625333903</v>
      </c>
      <c r="G10" s="39">
        <f>'Trucks 2183'!R81</f>
        <v>6212424.214660055</v>
      </c>
      <c r="H10" s="40">
        <f>'Trucks 2183'!S81</f>
        <v>3759944.5680732769</v>
      </c>
      <c r="J10" s="18" t="s">
        <v>147</v>
      </c>
      <c r="K10" s="133">
        <f>SUMIF('Depreciation Pivot'!$A$31:$A$49,'Summary 2183'!$J10,'Depreciation Pivot'!$C$31:$C$49)</f>
        <v>8092450.1900000004</v>
      </c>
      <c r="L10" s="133">
        <f>K10-M10</f>
        <v>0</v>
      </c>
      <c r="M10" s="133">
        <f>K10</f>
        <v>8092450.1900000004</v>
      </c>
      <c r="N10" s="133">
        <f>SUMIF('Depreciation Pivot'!$A$31:$A$48,'Summary 2183'!$J10,'Depreciation Pivot'!$D$31:$D$48)</f>
        <v>804484.65333333332</v>
      </c>
      <c r="O10" s="133">
        <f>SUMIF('Depreciation Pivot'!$A$31:$A$48,'Summary 2183'!$J10,'Depreciation Pivot'!$E$31:$E$48)</f>
        <v>601804.34300005354</v>
      </c>
      <c r="P10" s="133">
        <f>SUMIF('Depreciation Pivot'!$A$31:$A$48,'Summary 2183'!$J10,'Depreciation Pivot'!$F$31:$F$48)</f>
        <v>1406288.9963333872</v>
      </c>
      <c r="Q10" s="40">
        <f>SUMIF('Depreciation Pivot'!$A$31:$A$48,'Summary 2183'!$J10,'Depreciation Pivot'!$G$31:$G$48)</f>
        <v>6686161.1936666127</v>
      </c>
      <c r="R10" s="47"/>
      <c r="S10" s="18" t="s">
        <v>147</v>
      </c>
      <c r="T10" s="39"/>
      <c r="U10" s="39"/>
      <c r="V10" s="39"/>
      <c r="W10" s="39"/>
      <c r="X10" s="39"/>
      <c r="Y10" s="39"/>
      <c r="Z10" s="40"/>
      <c r="AB10" s="18" t="s">
        <v>147</v>
      </c>
      <c r="AC10" s="39">
        <f>+B10+K10+T10</f>
        <v>18064818.972733334</v>
      </c>
      <c r="AD10" s="39">
        <f>AC10-AE10</f>
        <v>0</v>
      </c>
      <c r="AE10" s="39">
        <f>+D10+M10+V10</f>
        <v>18064818.972733334</v>
      </c>
      <c r="AF10" s="39">
        <f>+E10+N10+W10</f>
        <v>1692547.7054600001</v>
      </c>
      <c r="AG10" s="39">
        <f>+F10+O10+X10</f>
        <v>5926165.5055334438</v>
      </c>
      <c r="AH10" s="39">
        <f>+G10+P10+Y10</f>
        <v>7618713.2109934427</v>
      </c>
      <c r="AI10" s="40">
        <f>+H10+Q10+Z10</f>
        <v>10446105.761739889</v>
      </c>
    </row>
    <row r="11" spans="1:35">
      <c r="A11" s="18"/>
      <c r="B11" s="39"/>
      <c r="C11" s="39"/>
      <c r="D11" s="39"/>
      <c r="E11" s="39"/>
      <c r="F11" s="39"/>
      <c r="G11" s="39"/>
      <c r="H11" s="40"/>
      <c r="J11" s="18"/>
      <c r="K11" s="39"/>
      <c r="L11" s="39"/>
      <c r="M11" s="39"/>
      <c r="N11" s="39"/>
      <c r="O11" s="39"/>
      <c r="P11" s="39"/>
      <c r="Q11" s="40"/>
      <c r="S11" s="18"/>
      <c r="T11" s="39"/>
      <c r="U11" s="39"/>
      <c r="V11" s="39"/>
      <c r="W11" s="39"/>
      <c r="X11" s="39"/>
      <c r="Y11" s="39"/>
      <c r="Z11" s="40"/>
      <c r="AB11" s="18"/>
      <c r="AC11" s="39"/>
      <c r="AD11" s="39"/>
      <c r="AE11" s="39"/>
      <c r="AF11" s="39"/>
      <c r="AG11" s="39"/>
      <c r="AH11" s="39"/>
      <c r="AI11" s="40"/>
    </row>
    <row r="12" spans="1:35">
      <c r="A12" s="18" t="s">
        <v>287</v>
      </c>
      <c r="B12" s="39">
        <f>'Trucks 2183'!L124</f>
        <v>2691210.7802666668</v>
      </c>
      <c r="C12" s="39">
        <f>B12-D12</f>
        <v>0</v>
      </c>
      <c r="D12" s="39">
        <f>'Trucks 2183'!M124</f>
        <v>2691210.7802666668</v>
      </c>
      <c r="E12" s="39">
        <f>'Trucks 2183'!P124</f>
        <v>169610.05500000005</v>
      </c>
      <c r="F12" s="39">
        <f>'Trucks 2183'!Q124</f>
        <v>1666787.1561000093</v>
      </c>
      <c r="G12" s="39">
        <f>'Trucks 2183'!R124</f>
        <v>1836397.2111000093</v>
      </c>
      <c r="H12" s="40">
        <f>'Trucks 2183'!S124</f>
        <v>854813.56916665728</v>
      </c>
      <c r="J12" s="18" t="s">
        <v>287</v>
      </c>
      <c r="K12" s="39">
        <f>SUMIF('Depreciation Pivot'!$A$31:$A$49,'Summary 2183'!$J12,'Depreciation Pivot'!$C$31:$C$49)</f>
        <v>456375.43</v>
      </c>
      <c r="L12" s="39">
        <f>K12-M12</f>
        <v>0</v>
      </c>
      <c r="M12" s="39">
        <f>K12</f>
        <v>456375.43</v>
      </c>
      <c r="N12" s="39">
        <f>SUMIF('Depreciation Pivot'!$A$31:$A$48,'Summary 2183'!$J12,'Depreciation Pivot'!$D$31:$D$48)</f>
        <v>20560.648999999998</v>
      </c>
      <c r="O12" s="39">
        <f>SUMIF('Depreciation Pivot'!$A$31:$A$48,'Summary 2183'!$J12,'Depreciation Pivot'!$E$31:$E$48)</f>
        <v>250768.94</v>
      </c>
      <c r="P12" s="39">
        <f>SUMIF('Depreciation Pivot'!$A$31:$A$48,'Summary 2183'!$J12,'Depreciation Pivot'!$F$31:$F$48)</f>
        <v>271329.58900000004</v>
      </c>
      <c r="Q12" s="40">
        <f>SUMIF('Depreciation Pivot'!$A$31:$A$48,'Summary 2183'!$J12,'Depreciation Pivot'!$G$31:$G$48)</f>
        <v>185045.84100000001</v>
      </c>
      <c r="S12" s="18" t="s">
        <v>287</v>
      </c>
      <c r="T12" s="39"/>
      <c r="U12" s="39"/>
      <c r="V12" s="39"/>
      <c r="W12" s="39"/>
      <c r="X12" s="39"/>
      <c r="Y12" s="39"/>
      <c r="Z12" s="40"/>
      <c r="AB12" s="18" t="s">
        <v>287</v>
      </c>
      <c r="AC12" s="39">
        <f>+B12+K12+T12</f>
        <v>3147586.210266667</v>
      </c>
      <c r="AD12" s="39">
        <f>AC12-AE12</f>
        <v>0</v>
      </c>
      <c r="AE12" s="39">
        <f>+D12+M12+V12</f>
        <v>3147586.210266667</v>
      </c>
      <c r="AF12" s="39">
        <f>+E12+N12+W12</f>
        <v>190170.70400000006</v>
      </c>
      <c r="AG12" s="39">
        <f>+F12+O12+X12</f>
        <v>1917556.0961000093</v>
      </c>
      <c r="AH12" s="39">
        <f>+G12+P12+Y12</f>
        <v>2107726.8001000094</v>
      </c>
      <c r="AI12" s="40">
        <f>+H12+Q12+Z12</f>
        <v>1039859.4101666573</v>
      </c>
    </row>
    <row r="13" spans="1:35">
      <c r="A13" s="18"/>
      <c r="B13" s="39"/>
      <c r="C13" s="39"/>
      <c r="D13" s="39"/>
      <c r="E13" s="39"/>
      <c r="F13" s="39"/>
      <c r="G13" s="39"/>
      <c r="H13" s="40"/>
      <c r="J13" s="18"/>
      <c r="K13" s="39"/>
      <c r="L13" s="39"/>
      <c r="M13" s="39"/>
      <c r="N13" s="39"/>
      <c r="O13" s="39"/>
      <c r="P13" s="39"/>
      <c r="Q13" s="40"/>
      <c r="S13" s="18"/>
      <c r="T13" s="39"/>
      <c r="U13" s="39"/>
      <c r="V13" s="39"/>
      <c r="W13" s="39"/>
      <c r="X13" s="39"/>
      <c r="Y13" s="39"/>
      <c r="Z13" s="40"/>
      <c r="AB13" s="18"/>
      <c r="AC13" s="39"/>
      <c r="AD13" s="39"/>
      <c r="AE13" s="39"/>
      <c r="AF13" s="39"/>
      <c r="AG13" s="39"/>
      <c r="AH13" s="39"/>
      <c r="AI13" s="40"/>
    </row>
    <row r="14" spans="1:35">
      <c r="A14" s="18" t="s">
        <v>22</v>
      </c>
      <c r="B14" s="39">
        <f>'Trucks 2183'!L154</f>
        <v>4098094.8978666668</v>
      </c>
      <c r="C14" s="39">
        <f>B14-D14</f>
        <v>0</v>
      </c>
      <c r="D14" s="39">
        <f>'Trucks 2183'!M154</f>
        <v>4098094.8978666668</v>
      </c>
      <c r="E14" s="39">
        <f>'Trucks 2183'!P154</f>
        <v>256989.10177129827</v>
      </c>
      <c r="F14" s="39">
        <f>'Trucks 2183'!Q154</f>
        <v>2744424.5743666715</v>
      </c>
      <c r="G14" s="39">
        <f>'Trucks 2183'!R154</f>
        <v>3001413.6761379698</v>
      </c>
      <c r="H14" s="40">
        <f>'Trucks 2183'!S154</f>
        <v>935410.60606203019</v>
      </c>
      <c r="J14" s="18" t="s">
        <v>22</v>
      </c>
      <c r="K14" s="39">
        <f>SUMIF('Depreciation Pivot'!$A$31:$A$49,'Summary 2183'!$J14,'Depreciation Pivot'!$C$31:$C$49)</f>
        <v>534.04999999999995</v>
      </c>
      <c r="L14" s="39">
        <f>K14-M14</f>
        <v>0</v>
      </c>
      <c r="M14" s="39">
        <f>K14</f>
        <v>534.04999999999995</v>
      </c>
      <c r="N14" s="39">
        <f>SUMIF('Depreciation Pivot'!$A$31:$A$48,'Summary 2183'!$J14,'Depreciation Pivot'!$D$31:$D$48)</f>
        <v>13.369666666666674</v>
      </c>
      <c r="O14" s="39">
        <f>SUMIF('Depreciation Pivot'!$A$31:$A$48,'Summary 2183'!$J14,'Depreciation Pivot'!$E$31:$E$48)</f>
        <v>164.64700000001062</v>
      </c>
      <c r="P14" s="39">
        <f>SUMIF('Depreciation Pivot'!$A$31:$A$48,'Summary 2183'!$J14,'Depreciation Pivot'!$F$31:$F$48)</f>
        <v>178.01666666667728</v>
      </c>
      <c r="Q14" s="40">
        <f>SUMIF('Depreciation Pivot'!$A$31:$A$48,'Summary 2183'!$J14,'Depreciation Pivot'!$G$31:$G$48)</f>
        <v>356.03333333332273</v>
      </c>
      <c r="S14" s="18" t="s">
        <v>22</v>
      </c>
      <c r="T14" s="39"/>
      <c r="U14" s="39"/>
      <c r="V14" s="39"/>
      <c r="W14" s="39"/>
      <c r="X14" s="39"/>
      <c r="Y14" s="39"/>
      <c r="Z14" s="40"/>
      <c r="AB14" s="18" t="s">
        <v>22</v>
      </c>
      <c r="AC14" s="39">
        <f>+B14+K14+T14</f>
        <v>4098628.9478666666</v>
      </c>
      <c r="AD14" s="39">
        <f>AC14-AE14</f>
        <v>0</v>
      </c>
      <c r="AE14" s="39">
        <f>+D14+M14+V14</f>
        <v>4098628.9478666666</v>
      </c>
      <c r="AF14" s="39">
        <f>+E14+N14+W14</f>
        <v>257002.47143796494</v>
      </c>
      <c r="AG14" s="39">
        <f>+F14+O14+X14</f>
        <v>2744589.2213666714</v>
      </c>
      <c r="AH14" s="39">
        <f>+G14+P14+Y14</f>
        <v>3001591.6928046364</v>
      </c>
      <c r="AI14" s="40">
        <f>+H14+Q14+Z14</f>
        <v>935766.63939536351</v>
      </c>
    </row>
    <row r="15" spans="1:35">
      <c r="A15" s="18"/>
      <c r="B15" s="39"/>
      <c r="C15" s="39"/>
      <c r="D15" s="39"/>
      <c r="E15" s="39"/>
      <c r="F15" s="39"/>
      <c r="G15" s="39"/>
      <c r="H15" s="40"/>
      <c r="J15" s="18"/>
      <c r="K15" s="39"/>
      <c r="L15" s="39"/>
      <c r="M15" s="39"/>
      <c r="N15" s="39"/>
      <c r="O15" s="39"/>
      <c r="P15" s="39"/>
      <c r="Q15" s="40"/>
      <c r="S15" s="18"/>
      <c r="T15" s="39"/>
      <c r="U15" s="39"/>
      <c r="V15" s="39"/>
      <c r="W15" s="39"/>
      <c r="X15" s="39"/>
      <c r="Y15" s="39"/>
      <c r="Z15" s="40"/>
      <c r="AB15" s="18"/>
      <c r="AC15" s="39"/>
      <c r="AD15" s="39"/>
      <c r="AE15" s="39"/>
      <c r="AF15" s="39"/>
      <c r="AG15" s="39"/>
      <c r="AH15" s="39"/>
      <c r="AI15" s="40"/>
    </row>
    <row r="16" spans="1:35">
      <c r="A16" s="18" t="s">
        <v>157</v>
      </c>
      <c r="B16" s="39">
        <f>'Trucks 2183'!L170</f>
        <v>1160470.0884000002</v>
      </c>
      <c r="C16" s="39">
        <f>B16-D16</f>
        <v>0</v>
      </c>
      <c r="D16" s="39">
        <f>'Trucks 2183'!M170</f>
        <v>1160470.0884000002</v>
      </c>
      <c r="E16" s="39">
        <f>'Trucks 2183'!P170</f>
        <v>19352.571583330817</v>
      </c>
      <c r="F16" s="39">
        <f>'Trucks 2183'!Q170</f>
        <v>1141117.5168166694</v>
      </c>
      <c r="G16" s="39">
        <f>'Trucks 2183'!R170</f>
        <v>1160470.0884000002</v>
      </c>
      <c r="H16" s="40">
        <f>'Trucks 2183'!S170</f>
        <v>0</v>
      </c>
      <c r="J16" s="18" t="s">
        <v>2300</v>
      </c>
      <c r="K16" s="39">
        <f>SUMIF('Depreciation Pivot'!$A$31:$A$49,'Summary 2183'!$J16,'Depreciation Pivot'!$C$31:$C$49)</f>
        <v>0</v>
      </c>
      <c r="L16" s="39">
        <f>K16-M16</f>
        <v>0</v>
      </c>
      <c r="M16" s="39">
        <f>K16</f>
        <v>0</v>
      </c>
      <c r="N16" s="39">
        <f>SUMIF('Depreciation Pivot'!$A$31:$A$48,'Summary 2183'!$J16,'Depreciation Pivot'!$D$31:$D$48)</f>
        <v>0</v>
      </c>
      <c r="O16" s="39">
        <f>SUMIF('Depreciation Pivot'!$A$31:$A$48,'Summary 2183'!$J16,'Depreciation Pivot'!$E$31:$E$48)</f>
        <v>0</v>
      </c>
      <c r="P16" s="39">
        <f>SUMIF('Depreciation Pivot'!$A$31:$A$48,'Summary 2183'!$J16,'Depreciation Pivot'!$F$31:$F$48)</f>
        <v>0</v>
      </c>
      <c r="Q16" s="40">
        <f>SUMIF('Depreciation Pivot'!$A$31:$A$48,'Summary 2183'!$J16,'Depreciation Pivot'!$G$31:$G$48)</f>
        <v>0</v>
      </c>
      <c r="S16" s="18" t="s">
        <v>157</v>
      </c>
      <c r="T16" s="39"/>
      <c r="U16" s="39"/>
      <c r="V16" s="39"/>
      <c r="W16" s="39"/>
      <c r="X16" s="39"/>
      <c r="Y16" s="39"/>
      <c r="Z16" s="40"/>
      <c r="AB16" s="18" t="s">
        <v>157</v>
      </c>
      <c r="AC16" s="39">
        <f>+B16+K16+T16</f>
        <v>1160470.0884000002</v>
      </c>
      <c r="AD16" s="39">
        <f>AC16-AE16</f>
        <v>0</v>
      </c>
      <c r="AE16" s="39">
        <f>+D16+M16+V16</f>
        <v>1160470.0884000002</v>
      </c>
      <c r="AF16" s="39">
        <f>+E16+N16+W16</f>
        <v>19352.571583330817</v>
      </c>
      <c r="AG16" s="39">
        <f>+F16+O16+X16</f>
        <v>1141117.5168166694</v>
      </c>
      <c r="AH16" s="39">
        <f>+G16+P16+Y16</f>
        <v>1160470.0884000002</v>
      </c>
      <c r="AI16" s="40">
        <f>+H16+Q16+Z16</f>
        <v>0</v>
      </c>
    </row>
    <row r="17" spans="1:35">
      <c r="A17" s="18"/>
      <c r="B17" s="39"/>
      <c r="C17" s="39"/>
      <c r="D17" s="39"/>
      <c r="E17" s="39"/>
      <c r="F17" s="39"/>
      <c r="G17" s="39"/>
      <c r="H17" s="40"/>
      <c r="J17" s="18"/>
      <c r="K17" s="39"/>
      <c r="L17" s="39"/>
      <c r="M17" s="39"/>
      <c r="N17" s="39"/>
      <c r="O17" s="39"/>
      <c r="P17" s="39"/>
      <c r="Q17" s="40"/>
      <c r="S17" s="18"/>
      <c r="T17" s="39"/>
      <c r="U17" s="39"/>
      <c r="V17" s="39"/>
      <c r="W17" s="39"/>
      <c r="X17" s="39"/>
      <c r="Y17" s="39"/>
      <c r="Z17" s="40"/>
      <c r="AB17" s="18"/>
      <c r="AC17" s="39"/>
      <c r="AD17" s="39"/>
      <c r="AE17" s="39"/>
      <c r="AF17" s="39"/>
      <c r="AG17" s="39"/>
      <c r="AH17" s="39"/>
      <c r="AI17" s="40"/>
    </row>
    <row r="18" spans="1:35">
      <c r="A18" s="18" t="s">
        <v>554</v>
      </c>
      <c r="B18" s="39">
        <f>'Trucks 2183'!L196</f>
        <v>1760731.0513333331</v>
      </c>
      <c r="C18" s="39">
        <f>B18-D18</f>
        <v>0</v>
      </c>
      <c r="D18" s="39">
        <f>'Trucks 2183'!M196</f>
        <v>1760731.0513333331</v>
      </c>
      <c r="E18" s="39">
        <f>'Trucks 2183'!P196</f>
        <v>62686.446809523812</v>
      </c>
      <c r="F18" s="39">
        <f>'Trucks 2183'!Q196</f>
        <v>1401050.9250000035</v>
      </c>
      <c r="G18" s="39">
        <f>'Trucks 2183'!R196</f>
        <v>1463737.371809527</v>
      </c>
      <c r="H18" s="40">
        <f>'Trucks 2183'!S196</f>
        <v>296993.67952380585</v>
      </c>
      <c r="J18" s="18" t="s">
        <v>554</v>
      </c>
      <c r="K18" s="39">
        <f>SUMIF('Depreciation Pivot'!$A$31:$A$49,'Summary 2183'!$J18,'Depreciation Pivot'!$C$31:$C$49)</f>
        <v>0</v>
      </c>
      <c r="L18" s="39">
        <f>K18-M18</f>
        <v>0</v>
      </c>
      <c r="M18" s="39">
        <f>K18</f>
        <v>0</v>
      </c>
      <c r="N18" s="39">
        <f>SUMIF('Depreciation Pivot'!$A$31:$A$48,'Summary 2183'!$J18,'Depreciation Pivot'!$D$31:$D$48)</f>
        <v>0</v>
      </c>
      <c r="O18" s="39">
        <f>SUMIF('Depreciation Pivot'!$A$31:$A$48,'Summary 2183'!$J18,'Depreciation Pivot'!$E$31:$E$48)</f>
        <v>0</v>
      </c>
      <c r="P18" s="39">
        <f>SUMIF('Depreciation Pivot'!$A$31:$A$48,'Summary 2183'!$J18,'Depreciation Pivot'!$F$31:$F$48)</f>
        <v>0</v>
      </c>
      <c r="Q18" s="40">
        <f>SUMIF('Depreciation Pivot'!$A$31:$A$48,'Summary 2183'!$J18,'Depreciation Pivot'!$G$31:$G$48)</f>
        <v>0</v>
      </c>
      <c r="S18" s="18" t="s">
        <v>554</v>
      </c>
      <c r="T18" s="39"/>
      <c r="U18" s="39"/>
      <c r="V18" s="39"/>
      <c r="W18" s="39"/>
      <c r="X18" s="39"/>
      <c r="Y18" s="39"/>
      <c r="Z18" s="40"/>
      <c r="AB18" s="18" t="s">
        <v>554</v>
      </c>
      <c r="AC18" s="39">
        <f>+B18+K18+T18</f>
        <v>1760731.0513333331</v>
      </c>
      <c r="AD18" s="39">
        <f>AC18-AE18</f>
        <v>0</v>
      </c>
      <c r="AE18" s="39">
        <f>+D18+M18+V18</f>
        <v>1760731.0513333331</v>
      </c>
      <c r="AF18" s="39">
        <f>+E18+N18+W18</f>
        <v>62686.446809523812</v>
      </c>
      <c r="AG18" s="39">
        <f>+F18+O18+X18</f>
        <v>1401050.9250000035</v>
      </c>
      <c r="AH18" s="39">
        <f>+G18+P18+Y18</f>
        <v>1463737.371809527</v>
      </c>
      <c r="AI18" s="40">
        <f>+H18+Q18+Z18</f>
        <v>296993.67952380585</v>
      </c>
    </row>
    <row r="19" spans="1:35">
      <c r="A19" s="18"/>
      <c r="B19" s="39"/>
      <c r="C19" s="39"/>
      <c r="D19" s="39"/>
      <c r="E19" s="39"/>
      <c r="F19" s="39"/>
      <c r="G19" s="39"/>
      <c r="H19" s="40"/>
      <c r="J19" s="18"/>
      <c r="K19" s="39"/>
      <c r="L19" s="39"/>
      <c r="M19" s="39"/>
      <c r="N19" s="39"/>
      <c r="O19" s="39"/>
      <c r="P19" s="39"/>
      <c r="Q19" s="40"/>
      <c r="S19" s="18"/>
      <c r="T19" s="39"/>
      <c r="U19" s="39"/>
      <c r="V19" s="39"/>
      <c r="W19" s="39"/>
      <c r="X19" s="39"/>
      <c r="Y19" s="39"/>
      <c r="Z19" s="40"/>
      <c r="AB19" s="18"/>
      <c r="AC19" s="39"/>
      <c r="AD19" s="39"/>
      <c r="AE19" s="39"/>
      <c r="AF19" s="39"/>
      <c r="AG19" s="39"/>
      <c r="AH19" s="39"/>
      <c r="AI19" s="40"/>
    </row>
    <row r="20" spans="1:35">
      <c r="A20" s="13" t="s">
        <v>271</v>
      </c>
      <c r="B20" s="41">
        <f t="shared" ref="B20:H20" si="3">SUM(B10:B19)</f>
        <v>19682875.6006</v>
      </c>
      <c r="C20" s="41">
        <f t="shared" si="3"/>
        <v>0</v>
      </c>
      <c r="D20" s="41">
        <f t="shared" si="3"/>
        <v>19682875.6006</v>
      </c>
      <c r="E20" s="41">
        <f t="shared" si="3"/>
        <v>1396701.2272908196</v>
      </c>
      <c r="F20" s="41">
        <f t="shared" si="3"/>
        <v>12277741.334816746</v>
      </c>
      <c r="G20" s="41">
        <f t="shared" si="3"/>
        <v>13674442.562107561</v>
      </c>
      <c r="H20" s="42">
        <f t="shared" si="3"/>
        <v>5847162.4228257705</v>
      </c>
      <c r="I20" s="46"/>
      <c r="J20" s="13" t="s">
        <v>271</v>
      </c>
      <c r="K20" s="41">
        <f t="shared" ref="K20:Q20" si="4">SUM(K10:K19)</f>
        <v>8549359.6700000018</v>
      </c>
      <c r="L20" s="41">
        <f t="shared" si="4"/>
        <v>0</v>
      </c>
      <c r="M20" s="41">
        <f t="shared" si="4"/>
        <v>8549359.6700000018</v>
      </c>
      <c r="N20" s="41">
        <f t="shared" si="4"/>
        <v>825058.67200000002</v>
      </c>
      <c r="O20" s="41">
        <f t="shared" si="4"/>
        <v>852737.9300000536</v>
      </c>
      <c r="P20" s="41">
        <f t="shared" si="4"/>
        <v>1677796.602000054</v>
      </c>
      <c r="Q20" s="42">
        <f t="shared" si="4"/>
        <v>6871563.067999946</v>
      </c>
      <c r="S20" s="13" t="s">
        <v>271</v>
      </c>
      <c r="T20" s="41">
        <f t="shared" ref="T20:Z20" si="5">SUM(T10:T19)</f>
        <v>0</v>
      </c>
      <c r="U20" s="41">
        <f t="shared" si="5"/>
        <v>0</v>
      </c>
      <c r="V20" s="41">
        <f t="shared" si="5"/>
        <v>0</v>
      </c>
      <c r="W20" s="41">
        <f t="shared" si="5"/>
        <v>0</v>
      </c>
      <c r="X20" s="41">
        <f t="shared" si="5"/>
        <v>0</v>
      </c>
      <c r="Y20" s="41">
        <f t="shared" si="5"/>
        <v>0</v>
      </c>
      <c r="Z20" s="42">
        <f t="shared" si="5"/>
        <v>0</v>
      </c>
      <c r="AB20" s="13" t="s">
        <v>271</v>
      </c>
      <c r="AC20" s="41">
        <f t="shared" ref="AC20:AI20" si="6">SUM(AC10:AC19)</f>
        <v>28232235.270600002</v>
      </c>
      <c r="AD20" s="41">
        <f t="shared" si="6"/>
        <v>0</v>
      </c>
      <c r="AE20" s="41">
        <f t="shared" si="6"/>
        <v>28232235.270600002</v>
      </c>
      <c r="AF20" s="41">
        <f t="shared" si="6"/>
        <v>2221759.8992908197</v>
      </c>
      <c r="AG20" s="41">
        <f t="shared" si="6"/>
        <v>13130479.264816798</v>
      </c>
      <c r="AH20" s="41">
        <f t="shared" si="6"/>
        <v>15352239.164107617</v>
      </c>
      <c r="AI20" s="42">
        <f t="shared" si="6"/>
        <v>12718725.490825715</v>
      </c>
    </row>
    <row r="21" spans="1:35">
      <c r="A21" s="18"/>
      <c r="B21" s="39">
        <f>+B20-'Trucks 2183'!L198</f>
        <v>0</v>
      </c>
      <c r="C21" s="39"/>
      <c r="D21" s="39"/>
      <c r="E21" s="39"/>
      <c r="F21" s="39"/>
      <c r="G21" s="39"/>
      <c r="H21" s="40"/>
      <c r="J21" s="18"/>
      <c r="K21" s="39"/>
      <c r="L21" s="39"/>
      <c r="M21" s="39"/>
      <c r="N21" s="39"/>
      <c r="O21" s="39"/>
      <c r="P21" s="39"/>
      <c r="Q21" s="40"/>
      <c r="S21" s="18"/>
      <c r="T21" s="39"/>
      <c r="U21" s="39"/>
      <c r="V21" s="39"/>
      <c r="W21" s="39"/>
      <c r="X21" s="39"/>
      <c r="Y21" s="39"/>
      <c r="Z21" s="40"/>
      <c r="AB21" s="18"/>
      <c r="AC21" s="39">
        <f>+T20+K20+B20-AC20</f>
        <v>0</v>
      </c>
      <c r="AD21" s="39"/>
      <c r="AE21" s="39"/>
      <c r="AF21" s="39"/>
      <c r="AG21" s="39"/>
      <c r="AH21" s="39"/>
      <c r="AI21" s="40"/>
    </row>
    <row r="22" spans="1:35">
      <c r="A22" s="18" t="s">
        <v>272</v>
      </c>
      <c r="B22" s="39"/>
      <c r="C22" s="39"/>
      <c r="D22" s="39"/>
      <c r="E22" s="39"/>
      <c r="F22" s="39"/>
      <c r="G22" s="39"/>
      <c r="H22" s="40"/>
      <c r="J22" s="18" t="s">
        <v>272</v>
      </c>
      <c r="K22" s="39"/>
      <c r="L22" s="39"/>
      <c r="M22" s="39"/>
      <c r="N22" s="39"/>
      <c r="O22" s="39"/>
      <c r="P22" s="39"/>
      <c r="Q22" s="40"/>
      <c r="S22" s="18" t="s">
        <v>272</v>
      </c>
      <c r="T22" s="39"/>
      <c r="U22" s="39"/>
      <c r="V22" s="39"/>
      <c r="W22" s="39"/>
      <c r="X22" s="39"/>
      <c r="Y22" s="39"/>
      <c r="Z22" s="40"/>
      <c r="AB22" s="18" t="s">
        <v>272</v>
      </c>
      <c r="AC22" s="39"/>
      <c r="AD22" s="39"/>
      <c r="AE22" s="39"/>
      <c r="AF22" s="39"/>
      <c r="AG22" s="39"/>
      <c r="AH22" s="39"/>
      <c r="AI22" s="40"/>
    </row>
    <row r="23" spans="1:35">
      <c r="A23" s="38" t="s">
        <v>1854</v>
      </c>
      <c r="B23" s="39">
        <f>'Containers 2183'!K191</f>
        <v>1436655.3200000005</v>
      </c>
      <c r="C23" s="39">
        <f>B23-D23</f>
        <v>0</v>
      </c>
      <c r="D23" s="39">
        <f>'Containers 2183'!L191</f>
        <v>1436655.3200000005</v>
      </c>
      <c r="E23" s="39">
        <f>'Containers 2183'!O191</f>
        <v>54716.095000000016</v>
      </c>
      <c r="F23" s="39">
        <f>'Containers 2183'!P191</f>
        <v>1072579.7677777803</v>
      </c>
      <c r="G23" s="39">
        <f>'Containers 2183'!Q191</f>
        <v>1127295.8627777803</v>
      </c>
      <c r="H23" s="40">
        <f>'Containers 2183'!R191</f>
        <v>309359.45722221927</v>
      </c>
      <c r="J23" s="38" t="s">
        <v>1854</v>
      </c>
      <c r="K23" s="39">
        <f>SUMIF('Depreciation Pivot'!$A$31:$A$49,'Summary 2183'!$J23,'Depreciation Pivot'!$C$31:$C$49)</f>
        <v>649362.81999999995</v>
      </c>
      <c r="L23" s="39">
        <f>K23-M23</f>
        <v>0</v>
      </c>
      <c r="M23" s="39">
        <f>K23</f>
        <v>649362.81999999995</v>
      </c>
      <c r="N23" s="39">
        <f>SUMIF('Depreciation Pivot'!$A$31:$A$48,'Summary 2183'!$J23,'Depreciation Pivot'!$D$31:$D$48)</f>
        <v>52429.220833333333</v>
      </c>
      <c r="O23" s="39">
        <f>SUMIF('Depreciation Pivot'!$A$31:$A$48,'Summary 2183'!$J23,'Depreciation Pivot'!$E$31:$E$48)</f>
        <v>70381.892083337443</v>
      </c>
      <c r="P23" s="39">
        <f>SUMIF('Depreciation Pivot'!$A$31:$A$48,'Summary 2183'!$J23,'Depreciation Pivot'!$F$31:$F$48)</f>
        <v>122811.11291667078</v>
      </c>
      <c r="Q23" s="40">
        <f>SUMIF('Depreciation Pivot'!$A$31:$A$48,'Summary 2183'!$J23,'Depreciation Pivot'!$G$31:$G$48)</f>
        <v>526551.70708332933</v>
      </c>
      <c r="S23" s="38" t="s">
        <v>1854</v>
      </c>
      <c r="T23" s="39"/>
      <c r="U23" s="39"/>
      <c r="V23" s="39"/>
      <c r="W23" s="39"/>
      <c r="X23" s="39"/>
      <c r="Y23" s="39"/>
      <c r="Z23" s="40"/>
      <c r="AB23" s="38" t="s">
        <v>1854</v>
      </c>
      <c r="AC23" s="39">
        <f>+B23+K23+T23</f>
        <v>2086018.1400000006</v>
      </c>
      <c r="AD23" s="39">
        <f>AC23-AE23</f>
        <v>0</v>
      </c>
      <c r="AE23" s="39">
        <f>+D23+M23+V23</f>
        <v>2086018.1400000006</v>
      </c>
      <c r="AF23" s="39">
        <f>+E23+N23+W23</f>
        <v>107145.31583333336</v>
      </c>
      <c r="AG23" s="39">
        <f>+F23+O23+X23</f>
        <v>1142961.6598611178</v>
      </c>
      <c r="AH23" s="39">
        <f>+G23+P23+Y23</f>
        <v>1250106.975694451</v>
      </c>
      <c r="AI23" s="40">
        <f>+H23+Q23+Z23</f>
        <v>835911.16430554865</v>
      </c>
    </row>
    <row r="24" spans="1:35">
      <c r="A24" s="18"/>
      <c r="B24" s="39"/>
      <c r="C24" s="39"/>
      <c r="D24" s="39"/>
      <c r="E24" s="39"/>
      <c r="F24" s="39"/>
      <c r="G24" s="39"/>
      <c r="H24" s="40"/>
      <c r="J24" s="18"/>
      <c r="K24" s="39"/>
      <c r="L24" s="39"/>
      <c r="M24" s="39"/>
      <c r="N24" s="39"/>
      <c r="O24" s="39"/>
      <c r="P24" s="39"/>
      <c r="Q24" s="40"/>
      <c r="S24" s="18"/>
      <c r="T24" s="39"/>
      <c r="U24" s="39"/>
      <c r="V24" s="39"/>
      <c r="W24" s="39"/>
      <c r="X24" s="39"/>
      <c r="Y24" s="39"/>
      <c r="Z24" s="40"/>
      <c r="AB24" s="18"/>
      <c r="AC24" s="39"/>
      <c r="AD24" s="39"/>
      <c r="AE24" s="39"/>
      <c r="AF24" s="39"/>
      <c r="AG24" s="39"/>
      <c r="AH24" s="39"/>
      <c r="AI24" s="40"/>
    </row>
    <row r="25" spans="1:35">
      <c r="A25" s="18" t="s">
        <v>423</v>
      </c>
      <c r="B25" s="39">
        <f>'Containers 2183'!K333</f>
        <v>3445579.1399999969</v>
      </c>
      <c r="C25" s="39">
        <f>B25-D25</f>
        <v>0</v>
      </c>
      <c r="D25" s="39">
        <f>'Containers 2183'!L333</f>
        <v>3445579.1399999969</v>
      </c>
      <c r="E25" s="39">
        <f>'Containers 2183'!O333</f>
        <v>160404.07142857142</v>
      </c>
      <c r="F25" s="39">
        <f>'Containers 2183'!P333</f>
        <v>2983890.176904778</v>
      </c>
      <c r="G25" s="39">
        <f>'Containers 2183'!Q333</f>
        <v>3164097.733809534</v>
      </c>
      <c r="H25" s="40">
        <f>'Containers 2183'!R333</f>
        <v>281481.40619046451</v>
      </c>
      <c r="J25" s="18" t="s">
        <v>423</v>
      </c>
      <c r="K25" s="39">
        <f>SUMIF('Depreciation Pivot'!$A$31:$A$49,'Summary 2183'!$J25,'Depreciation Pivot'!$C$31:$C$49)</f>
        <v>1002424.1100000001</v>
      </c>
      <c r="L25" s="39">
        <f>K25-M25</f>
        <v>0</v>
      </c>
      <c r="M25" s="39">
        <f>K25</f>
        <v>1002424.1100000001</v>
      </c>
      <c r="N25" s="39">
        <f>SUMIF('Depreciation Pivot'!$A$31:$A$48,'Summary 2183'!$J25,'Depreciation Pivot'!$D$31:$D$48)</f>
        <v>143203.44428571427</v>
      </c>
      <c r="O25" s="39">
        <f>SUMIF('Depreciation Pivot'!$A$31:$A$48,'Summary 2183'!$J25,'Depreciation Pivot'!$E$31:$E$48)</f>
        <v>101236.49583333891</v>
      </c>
      <c r="P25" s="39">
        <f>SUMIF('Depreciation Pivot'!$A$31:$A$48,'Summary 2183'!$J25,'Depreciation Pivot'!$F$31:$F$48)</f>
        <v>244439.94011905315</v>
      </c>
      <c r="Q25" s="40">
        <f>SUMIF('Depreciation Pivot'!$A$31:$A$48,'Summary 2183'!$J25,'Depreciation Pivot'!$G$31:$G$48)</f>
        <v>757984.16988094675</v>
      </c>
      <c r="S25" s="18" t="s">
        <v>423</v>
      </c>
      <c r="T25" s="39"/>
      <c r="U25" s="39"/>
      <c r="V25" s="39"/>
      <c r="W25" s="39"/>
      <c r="X25" s="39"/>
      <c r="Y25" s="39"/>
      <c r="Z25" s="40"/>
      <c r="AB25" s="18" t="s">
        <v>423</v>
      </c>
      <c r="AC25" s="39">
        <f>+B25+K25+T25</f>
        <v>4448003.2499999972</v>
      </c>
      <c r="AD25" s="39">
        <f>AC25-AE25</f>
        <v>0</v>
      </c>
      <c r="AE25" s="39">
        <f>+D25+M25+V25</f>
        <v>4448003.2499999972</v>
      </c>
      <c r="AF25" s="39">
        <f>+E25+N25+W25</f>
        <v>303607.51571428566</v>
      </c>
      <c r="AG25" s="39">
        <f>+F25+O25+X25</f>
        <v>3085126.6727381167</v>
      </c>
      <c r="AH25" s="39">
        <f>+G25+P25+Y25</f>
        <v>3408537.6739285872</v>
      </c>
      <c r="AI25" s="40">
        <f>+H25+Q25+Z25</f>
        <v>1039465.5760714113</v>
      </c>
    </row>
    <row r="26" spans="1:35">
      <c r="A26" s="18"/>
      <c r="B26" s="39"/>
      <c r="C26" s="39"/>
      <c r="D26" s="39"/>
      <c r="E26" s="39"/>
      <c r="F26" s="39"/>
      <c r="G26" s="39"/>
      <c r="H26" s="40"/>
      <c r="J26" s="18"/>
      <c r="K26" s="39"/>
      <c r="L26" s="39"/>
      <c r="M26" s="39"/>
      <c r="N26" s="39"/>
      <c r="O26" s="39"/>
      <c r="P26" s="39"/>
      <c r="Q26" s="40"/>
      <c r="S26" s="18"/>
      <c r="T26" s="39"/>
      <c r="U26" s="39"/>
      <c r="V26" s="39"/>
      <c r="W26" s="39"/>
      <c r="X26" s="39"/>
      <c r="Y26" s="39"/>
      <c r="Z26" s="40"/>
      <c r="AB26" s="18"/>
      <c r="AC26" s="39"/>
      <c r="AD26" s="39"/>
      <c r="AE26" s="39"/>
      <c r="AF26" s="39"/>
      <c r="AG26" s="39"/>
      <c r="AH26" s="39"/>
      <c r="AI26" s="40"/>
    </row>
    <row r="27" spans="1:35">
      <c r="A27" s="18" t="s">
        <v>269</v>
      </c>
      <c r="B27" s="39">
        <f>'Containers 2183'!K411</f>
        <v>1975308.2199999997</v>
      </c>
      <c r="C27" s="39">
        <f>B27-D27</f>
        <v>0</v>
      </c>
      <c r="D27" s="39">
        <f>'Containers 2183'!L411</f>
        <v>1975308.2199999997</v>
      </c>
      <c r="E27" s="39">
        <f>'Containers 2183'!O411</f>
        <v>222040.28410059575</v>
      </c>
      <c r="F27" s="39">
        <f>'Containers 2183'!P411</f>
        <v>241541.62034147658</v>
      </c>
      <c r="G27" s="39">
        <f>'Containers 2183'!Q411</f>
        <v>463581.90444207244</v>
      </c>
      <c r="H27" s="40">
        <f>'Containers 2183'!R411</f>
        <v>1511726.3155579278</v>
      </c>
      <c r="J27" s="18" t="s">
        <v>269</v>
      </c>
      <c r="K27" s="39">
        <f>SUMIF('Depreciation Pivot'!$A$31:$A$49,'Summary 2183'!$J27,'Depreciation Pivot'!$C$31:$C$49)</f>
        <v>176695</v>
      </c>
      <c r="L27" s="39">
        <f>K27-M27</f>
        <v>0</v>
      </c>
      <c r="M27" s="39">
        <f>K27</f>
        <v>176695</v>
      </c>
      <c r="N27" s="39">
        <f>SUMIF('Depreciation Pivot'!$A$31:$A$48,'Summary 2183'!$J27,'Depreciation Pivot'!$D$31:$D$48)</f>
        <v>12182.916666666668</v>
      </c>
      <c r="O27" s="39">
        <f>SUMIF('Depreciation Pivot'!$A$31:$A$48,'Summary 2183'!$J27,'Depreciation Pivot'!$E$31:$E$48)</f>
        <v>31261.805555555904</v>
      </c>
      <c r="P27" s="39">
        <f>SUMIF('Depreciation Pivot'!$A$31:$A$48,'Summary 2183'!$J27,'Depreciation Pivot'!$F$31:$F$48)</f>
        <v>43444.722222222576</v>
      </c>
      <c r="Q27" s="40">
        <f>SUMIF('Depreciation Pivot'!$A$31:$A$48,'Summary 2183'!$J27,'Depreciation Pivot'!$G$31:$G$48)</f>
        <v>133250.27777777743</v>
      </c>
      <c r="S27" s="18" t="s">
        <v>269</v>
      </c>
      <c r="T27" s="39"/>
      <c r="U27" s="39"/>
      <c r="V27" s="39"/>
      <c r="W27" s="39"/>
      <c r="X27" s="39"/>
      <c r="Y27" s="39"/>
      <c r="Z27" s="40"/>
      <c r="AB27" s="18" t="s">
        <v>269</v>
      </c>
      <c r="AC27" s="39">
        <f>+B27+K27+T27</f>
        <v>2152003.2199999997</v>
      </c>
      <c r="AD27" s="39">
        <f>AC27-AE27</f>
        <v>0</v>
      </c>
      <c r="AE27" s="39">
        <f>+D27+M27+V27</f>
        <v>2152003.2199999997</v>
      </c>
      <c r="AF27" s="39">
        <f>+E27+N27+W27</f>
        <v>234223.2007672624</v>
      </c>
      <c r="AG27" s="39">
        <f>+F27+O27+X27</f>
        <v>272803.42589703249</v>
      </c>
      <c r="AH27" s="39">
        <f>+G27+P27+Y27</f>
        <v>507026.62666429504</v>
      </c>
      <c r="AI27" s="40">
        <f>+H27+Q27+Z27</f>
        <v>1644976.5933357053</v>
      </c>
    </row>
    <row r="28" spans="1:35" ht="26.25">
      <c r="A28" s="18"/>
      <c r="B28" s="39"/>
      <c r="C28" s="39"/>
      <c r="D28" s="39"/>
      <c r="E28" s="39"/>
      <c r="F28" s="39"/>
      <c r="G28" s="39"/>
      <c r="H28" s="40"/>
      <c r="I28" s="126" t="s">
        <v>918</v>
      </c>
      <c r="J28" s="18"/>
      <c r="K28" s="39"/>
      <c r="L28" s="39"/>
      <c r="M28" s="39"/>
      <c r="N28" s="39"/>
      <c r="O28" s="39"/>
      <c r="P28" s="39"/>
      <c r="Q28" s="40"/>
      <c r="R28" s="126" t="s">
        <v>918</v>
      </c>
      <c r="S28" s="18"/>
      <c r="T28" s="39"/>
      <c r="U28" s="39"/>
      <c r="V28" s="39"/>
      <c r="W28" s="39"/>
      <c r="X28" s="39"/>
      <c r="Y28" s="39"/>
      <c r="Z28" s="40"/>
      <c r="AA28" s="126" t="s">
        <v>922</v>
      </c>
      <c r="AB28" s="18"/>
      <c r="AC28" s="39"/>
      <c r="AD28" s="39"/>
      <c r="AE28" s="39"/>
      <c r="AF28" s="39"/>
      <c r="AG28" s="39"/>
      <c r="AH28" s="39"/>
      <c r="AI28" s="40"/>
    </row>
    <row r="29" spans="1:35">
      <c r="A29" s="18" t="s">
        <v>424</v>
      </c>
      <c r="B29" s="39">
        <f>'Containers 2183'!K453</f>
        <v>3555558.1500000008</v>
      </c>
      <c r="C29" s="39">
        <f>B29-D29</f>
        <v>0</v>
      </c>
      <c r="D29" s="39">
        <f>'Containers 2183'!L453</f>
        <v>3555558.1500000008</v>
      </c>
      <c r="E29" s="39">
        <f>'Containers 2183'!O453</f>
        <v>61006.361428571421</v>
      </c>
      <c r="F29" s="39">
        <f>'Containers 2183'!P453</f>
        <v>3388541.6811904814</v>
      </c>
      <c r="G29" s="39">
        <f>'Containers 2183'!Q453</f>
        <v>3455993.834642862</v>
      </c>
      <c r="H29" s="40">
        <f>'Containers 2183'!R453</f>
        <v>99564.315357138679</v>
      </c>
      <c r="J29" s="18" t="s">
        <v>424</v>
      </c>
      <c r="K29" s="39">
        <f>SUMIF('Depreciation Pivot'!$A$31:$A$49,'Summary 2183'!$J29,'Depreciation Pivot'!$C$31:$C$49)</f>
        <v>429692.47000000003</v>
      </c>
      <c r="L29" s="39">
        <f>K29-M29</f>
        <v>0</v>
      </c>
      <c r="M29" s="39">
        <f>K29</f>
        <v>429692.47000000003</v>
      </c>
      <c r="N29" s="39">
        <f>SUMIF('Depreciation Pivot'!$A$31:$A$48,'Summary 2183'!$J29,'Depreciation Pivot'!$D$31:$D$48)</f>
        <v>61384.638571428564</v>
      </c>
      <c r="O29" s="39">
        <f>SUMIF('Depreciation Pivot'!$A$31:$A$48,'Summary 2183'!$J29,'Depreciation Pivot'!$E$31:$E$48)</f>
        <v>54405.084523812096</v>
      </c>
      <c r="P29" s="39">
        <f>SUMIF('Depreciation Pivot'!$A$31:$A$48,'Summary 2183'!$J29,'Depreciation Pivot'!$F$31:$F$48)</f>
        <v>115789.72309524065</v>
      </c>
      <c r="Q29" s="40">
        <f>SUMIF('Depreciation Pivot'!$A$31:$A$48,'Summary 2183'!$J29,'Depreciation Pivot'!$G$31:$G$48)</f>
        <v>313902.74690475938</v>
      </c>
      <c r="S29" s="18" t="s">
        <v>424</v>
      </c>
      <c r="T29" s="39"/>
      <c r="U29" s="39"/>
      <c r="V29" s="39"/>
      <c r="W29" s="39"/>
      <c r="X29" s="39"/>
      <c r="Y29" s="39"/>
      <c r="Z29" s="40"/>
      <c r="AB29" s="18" t="s">
        <v>424</v>
      </c>
      <c r="AC29" s="39">
        <f>+B29+K29+T29</f>
        <v>3985250.620000001</v>
      </c>
      <c r="AD29" s="39">
        <f>AC29-AE29</f>
        <v>0</v>
      </c>
      <c r="AE29" s="39">
        <f>+D29+M29+V29</f>
        <v>3985250.620000001</v>
      </c>
      <c r="AF29" s="39">
        <f>+E29+N29+W29</f>
        <v>122390.99999999999</v>
      </c>
      <c r="AG29" s="39">
        <f>+F29+O29+X29</f>
        <v>3442946.7657142933</v>
      </c>
      <c r="AH29" s="39">
        <f>+G29+P29+Y29</f>
        <v>3571783.5577381025</v>
      </c>
      <c r="AI29" s="40">
        <f>+H29+Q29+Z29</f>
        <v>413467.06226189807</v>
      </c>
    </row>
    <row r="30" spans="1:35">
      <c r="A30" s="18"/>
      <c r="B30" s="39"/>
      <c r="C30" s="39"/>
      <c r="D30" s="39"/>
      <c r="E30" s="39"/>
      <c r="F30" s="39"/>
      <c r="G30" s="39"/>
      <c r="H30" s="40"/>
      <c r="J30" s="18"/>
      <c r="K30" s="39"/>
      <c r="L30" s="39"/>
      <c r="M30" s="39"/>
      <c r="N30" s="39"/>
      <c r="O30" s="39"/>
      <c r="P30" s="39"/>
      <c r="Q30" s="40"/>
      <c r="S30" s="18"/>
      <c r="T30" s="39"/>
      <c r="U30" s="39"/>
      <c r="V30" s="39"/>
      <c r="W30" s="39"/>
      <c r="X30" s="39"/>
      <c r="Y30" s="39"/>
      <c r="Z30" s="40"/>
      <c r="AB30" s="18"/>
      <c r="AC30" s="39"/>
      <c r="AD30" s="39"/>
      <c r="AE30" s="39"/>
      <c r="AF30" s="39"/>
      <c r="AG30" s="39"/>
      <c r="AH30" s="39"/>
      <c r="AI30" s="40"/>
    </row>
    <row r="31" spans="1:35">
      <c r="A31" s="18" t="s">
        <v>270</v>
      </c>
      <c r="B31" s="39">
        <f>'Containers 2183'!K511</f>
        <v>1263821.17</v>
      </c>
      <c r="C31" s="39">
        <f>B31-D31</f>
        <v>0</v>
      </c>
      <c r="D31" s="39">
        <f>'Containers 2183'!L511</f>
        <v>1263821.17</v>
      </c>
      <c r="E31" s="39">
        <f>'Containers 2183'!O511</f>
        <v>58759.721428571429</v>
      </c>
      <c r="F31" s="39">
        <f>'Containers 2183'!P511</f>
        <v>1084201.045833339</v>
      </c>
      <c r="G31" s="39">
        <f>'Containers 2183'!Q511</f>
        <v>1150898.6660714331</v>
      </c>
      <c r="H31" s="40">
        <f>'Containers 2183'!R511</f>
        <v>112922.50392856692</v>
      </c>
      <c r="J31" s="18" t="s">
        <v>2301</v>
      </c>
      <c r="K31" s="39">
        <f>SUMIF('Depreciation Pivot'!$A$31:$A$49,'Summary 2183'!$J31,'Depreciation Pivot'!$C$31:$C$49)</f>
        <v>507567.02000000008</v>
      </c>
      <c r="L31" s="39">
        <f>K31-M31</f>
        <v>0</v>
      </c>
      <c r="M31" s="39">
        <f>K31</f>
        <v>507567.02000000008</v>
      </c>
      <c r="N31" s="39">
        <f>SUMIF('Depreciation Pivot'!$A$31:$A$48,'Summary 2183'!$J31,'Depreciation Pivot'!$D$31:$D$48)</f>
        <v>72509.574285714261</v>
      </c>
      <c r="O31" s="39">
        <f>SUMIF('Depreciation Pivot'!$A$31:$A$48,'Summary 2183'!$J31,'Depreciation Pivot'!$E$31:$E$48)</f>
        <v>66503.49309524156</v>
      </c>
      <c r="P31" s="39">
        <f>SUMIF('Depreciation Pivot'!$A$31:$A$48,'Summary 2183'!$J31,'Depreciation Pivot'!$F$31:$F$48)</f>
        <v>139013.06738095585</v>
      </c>
      <c r="Q31" s="40">
        <f>SUMIF('Depreciation Pivot'!$A$31:$A$48,'Summary 2183'!$J31,'Depreciation Pivot'!$G$31:$G$48)</f>
        <v>368553.95261904417</v>
      </c>
      <c r="S31" s="18" t="s">
        <v>270</v>
      </c>
      <c r="T31" s="39"/>
      <c r="U31" s="39"/>
      <c r="V31" s="39"/>
      <c r="W31" s="39"/>
      <c r="X31" s="39"/>
      <c r="Y31" s="39"/>
      <c r="Z31" s="40"/>
      <c r="AB31" s="18" t="s">
        <v>270</v>
      </c>
      <c r="AC31" s="39">
        <f>+B31+K31+T31</f>
        <v>1771388.19</v>
      </c>
      <c r="AD31" s="39">
        <f>AC31-AE31</f>
        <v>0</v>
      </c>
      <c r="AE31" s="39">
        <f>+D31+M31+V31</f>
        <v>1771388.19</v>
      </c>
      <c r="AF31" s="39">
        <f>+E31+N31+W31</f>
        <v>131269.29571428569</v>
      </c>
      <c r="AG31" s="39">
        <f>+F31+O31+X31</f>
        <v>1150704.5389285805</v>
      </c>
      <c r="AH31" s="39">
        <f>+G31+P31+Y31</f>
        <v>1289911.733452389</v>
      </c>
      <c r="AI31" s="40">
        <f>+H31+Q31+Z31</f>
        <v>481476.4565476111</v>
      </c>
    </row>
    <row r="32" spans="1:35">
      <c r="A32" s="18"/>
      <c r="B32" s="39"/>
      <c r="C32" s="39"/>
      <c r="D32" s="39"/>
      <c r="E32" s="39"/>
      <c r="F32" s="39"/>
      <c r="G32" s="39"/>
      <c r="H32" s="40"/>
      <c r="J32" s="18"/>
      <c r="K32" s="39"/>
      <c r="L32" s="39"/>
      <c r="M32" s="39"/>
      <c r="N32" s="39"/>
      <c r="O32" s="39"/>
      <c r="P32" s="39"/>
      <c r="Q32" s="40"/>
      <c r="S32" s="18"/>
      <c r="T32" s="39"/>
      <c r="U32" s="39"/>
      <c r="V32" s="39"/>
      <c r="W32" s="39"/>
      <c r="X32" s="39"/>
      <c r="Y32" s="39"/>
      <c r="Z32" s="40"/>
      <c r="AB32" s="18"/>
      <c r="AC32" s="39"/>
      <c r="AD32" s="39"/>
      <c r="AE32" s="39"/>
      <c r="AF32" s="39"/>
      <c r="AG32" s="39"/>
      <c r="AH32" s="39"/>
      <c r="AI32" s="40"/>
    </row>
    <row r="33" spans="1:35">
      <c r="A33" s="38" t="s">
        <v>1855</v>
      </c>
      <c r="B33" s="39">
        <v>0</v>
      </c>
      <c r="C33" s="39">
        <f>B33-D33</f>
        <v>0</v>
      </c>
      <c r="D33" s="39">
        <v>0</v>
      </c>
      <c r="E33" s="39">
        <v>0</v>
      </c>
      <c r="F33" s="39">
        <v>0</v>
      </c>
      <c r="G33" s="39">
        <v>0</v>
      </c>
      <c r="H33" s="40">
        <v>0</v>
      </c>
      <c r="J33" s="38" t="s">
        <v>1855</v>
      </c>
      <c r="K33" s="39">
        <f>SUMIF('Depreciation Pivot'!$A$31:$A$49,'Summary 2183'!$J33,'Depreciation Pivot'!$C$31:$C$49)</f>
        <v>0</v>
      </c>
      <c r="L33" s="39">
        <f>K33-M33</f>
        <v>0</v>
      </c>
      <c r="M33" s="39">
        <f>K33</f>
        <v>0</v>
      </c>
      <c r="N33" s="39">
        <f>SUMIF('Depreciation Pivot'!$A$31:$A$48,'Summary 2183'!$J33,'Depreciation Pivot'!$D$31:$D$48)</f>
        <v>0</v>
      </c>
      <c r="O33" s="39">
        <f>SUMIF('Depreciation Pivot'!$A$31:$A$48,'Summary 2183'!$J33,'Depreciation Pivot'!$E$31:$E$48)</f>
        <v>0</v>
      </c>
      <c r="P33" s="39">
        <f>SUMIF('Depreciation Pivot'!$A$31:$A$48,'Summary 2183'!$J33,'Depreciation Pivot'!$F$31:$F$48)</f>
        <v>0</v>
      </c>
      <c r="Q33" s="40">
        <f>SUMIF('Depreciation Pivot'!$A$31:$A$48,'Summary 2183'!$J33,'Depreciation Pivot'!$G$31:$G$48)</f>
        <v>0</v>
      </c>
      <c r="S33" s="38" t="s">
        <v>1855</v>
      </c>
      <c r="T33" s="39"/>
      <c r="U33" s="39"/>
      <c r="V33" s="39"/>
      <c r="W33" s="39"/>
      <c r="X33" s="39"/>
      <c r="Y33" s="39"/>
      <c r="Z33" s="40"/>
      <c r="AB33" s="38" t="s">
        <v>1855</v>
      </c>
      <c r="AC33" s="39">
        <f>+B33+K33+T33</f>
        <v>0</v>
      </c>
      <c r="AD33" s="39">
        <f>AC33-AE33</f>
        <v>0</v>
      </c>
      <c r="AE33" s="39">
        <f>+D33+M33+V33</f>
        <v>0</v>
      </c>
      <c r="AF33" s="39">
        <f>+E33+N33+W33</f>
        <v>0</v>
      </c>
      <c r="AG33" s="39">
        <f>+F33+O33+X33</f>
        <v>0</v>
      </c>
      <c r="AH33" s="39">
        <f>+G33+P33+Y33</f>
        <v>0</v>
      </c>
      <c r="AI33" s="40">
        <f>+H33+Q33+Z33</f>
        <v>0</v>
      </c>
    </row>
    <row r="34" spans="1:35">
      <c r="A34" s="18"/>
      <c r="B34" s="39"/>
      <c r="C34" s="39"/>
      <c r="D34" s="39"/>
      <c r="E34" s="39"/>
      <c r="F34" s="39"/>
      <c r="G34" s="39"/>
      <c r="H34" s="40"/>
      <c r="J34" s="18"/>
      <c r="K34" s="39"/>
      <c r="L34" s="39"/>
      <c r="M34" s="39"/>
      <c r="N34" s="39"/>
      <c r="O34" s="39"/>
      <c r="P34" s="39"/>
      <c r="Q34" s="40"/>
      <c r="S34" s="18"/>
      <c r="T34" s="39"/>
      <c r="U34" s="39"/>
      <c r="V34" s="39"/>
      <c r="W34" s="39"/>
      <c r="X34" s="39"/>
      <c r="Y34" s="39"/>
      <c r="Z34" s="40"/>
      <c r="AB34" s="18"/>
      <c r="AC34" s="39"/>
      <c r="AD34" s="39"/>
      <c r="AE34" s="39"/>
      <c r="AF34" s="39"/>
      <c r="AG34" s="39"/>
      <c r="AH34" s="39"/>
      <c r="AI34" s="40"/>
    </row>
    <row r="35" spans="1:35">
      <c r="A35" s="13" t="s">
        <v>273</v>
      </c>
      <c r="B35" s="41">
        <f t="shared" ref="B35:H35" si="7">SUM(B23:B34)</f>
        <v>11676921.999999998</v>
      </c>
      <c r="C35" s="41">
        <f t="shared" si="7"/>
        <v>0</v>
      </c>
      <c r="D35" s="41">
        <f t="shared" si="7"/>
        <v>11676921.999999998</v>
      </c>
      <c r="E35" s="41">
        <f t="shared" si="7"/>
        <v>556926.53338630998</v>
      </c>
      <c r="F35" s="41">
        <f t="shared" si="7"/>
        <v>8770754.2920478545</v>
      </c>
      <c r="G35" s="41">
        <f t="shared" si="7"/>
        <v>9361868.0017436817</v>
      </c>
      <c r="H35" s="42">
        <f t="shared" si="7"/>
        <v>2315053.9982563173</v>
      </c>
      <c r="J35" s="13" t="s">
        <v>273</v>
      </c>
      <c r="K35" s="41">
        <f t="shared" ref="K35:Q35" si="8">SUM(K23:K34)</f>
        <v>2765741.4200000004</v>
      </c>
      <c r="L35" s="41">
        <f t="shared" si="8"/>
        <v>0</v>
      </c>
      <c r="M35" s="41">
        <f t="shared" si="8"/>
        <v>2765741.4200000004</v>
      </c>
      <c r="N35" s="41">
        <f t="shared" si="8"/>
        <v>341709.79464285704</v>
      </c>
      <c r="O35" s="41">
        <f t="shared" si="8"/>
        <v>323788.77109128592</v>
      </c>
      <c r="P35" s="41">
        <f t="shared" si="8"/>
        <v>665498.56573414314</v>
      </c>
      <c r="Q35" s="42">
        <f t="shared" si="8"/>
        <v>2100242.8542658575</v>
      </c>
      <c r="S35" s="13" t="s">
        <v>273</v>
      </c>
      <c r="T35" s="41">
        <f t="shared" ref="T35:Z35" si="9">SUM(T23:T34)</f>
        <v>0</v>
      </c>
      <c r="U35" s="41">
        <f t="shared" si="9"/>
        <v>0</v>
      </c>
      <c r="V35" s="41">
        <f t="shared" si="9"/>
        <v>0</v>
      </c>
      <c r="W35" s="41">
        <f t="shared" si="9"/>
        <v>0</v>
      </c>
      <c r="X35" s="41">
        <f t="shared" si="9"/>
        <v>0</v>
      </c>
      <c r="Y35" s="41">
        <f t="shared" si="9"/>
        <v>0</v>
      </c>
      <c r="Z35" s="42">
        <f t="shared" si="9"/>
        <v>0</v>
      </c>
      <c r="AB35" s="13" t="s">
        <v>273</v>
      </c>
      <c r="AC35" s="41">
        <f t="shared" ref="AC35:AI35" si="10">SUM(AC23:AC34)</f>
        <v>14442663.419999998</v>
      </c>
      <c r="AD35" s="41">
        <f t="shared" si="10"/>
        <v>0</v>
      </c>
      <c r="AE35" s="41">
        <f t="shared" si="10"/>
        <v>14442663.419999998</v>
      </c>
      <c r="AF35" s="41">
        <f t="shared" si="10"/>
        <v>898636.32802916714</v>
      </c>
      <c r="AG35" s="41">
        <f t="shared" si="10"/>
        <v>9094543.0631391406</v>
      </c>
      <c r="AH35" s="41">
        <f t="shared" si="10"/>
        <v>10027366.567477824</v>
      </c>
      <c r="AI35" s="42">
        <f t="shared" si="10"/>
        <v>4415296.8525221748</v>
      </c>
    </row>
    <row r="36" spans="1:35">
      <c r="A36" s="18"/>
      <c r="B36" s="39">
        <f>+B35-'Containers 2183'!K513</f>
        <v>0</v>
      </c>
      <c r="C36" s="39"/>
      <c r="D36" s="39"/>
      <c r="E36" s="39"/>
      <c r="F36" s="39"/>
      <c r="G36" s="39"/>
      <c r="H36" s="40"/>
      <c r="J36" s="18"/>
      <c r="K36" s="39"/>
      <c r="L36" s="39"/>
      <c r="M36" s="39"/>
      <c r="N36" s="39"/>
      <c r="O36" s="39"/>
      <c r="P36" s="39"/>
      <c r="Q36" s="40"/>
      <c r="S36" s="18"/>
      <c r="T36" s="39"/>
      <c r="U36" s="39"/>
      <c r="V36" s="39"/>
      <c r="W36" s="39"/>
      <c r="X36" s="39"/>
      <c r="Y36" s="39"/>
      <c r="Z36" s="40"/>
      <c r="AB36" s="18"/>
      <c r="AC36" s="39">
        <f>+T35+K35+B35-AC35</f>
        <v>0</v>
      </c>
      <c r="AD36" s="39"/>
      <c r="AE36" s="39"/>
      <c r="AF36" s="39"/>
      <c r="AG36" s="39"/>
      <c r="AH36" s="39"/>
      <c r="AI36" s="40"/>
    </row>
    <row r="37" spans="1:35">
      <c r="A37" s="18" t="s">
        <v>274</v>
      </c>
      <c r="B37" s="39">
        <f>'OTHER EQUIP 2183'!M125</f>
        <v>315370.82</v>
      </c>
      <c r="C37" s="39">
        <f>B37-D37</f>
        <v>0</v>
      </c>
      <c r="D37" s="39">
        <f>'OTHER EQUIP 2183'!N125</f>
        <v>315370.82</v>
      </c>
      <c r="E37" s="39">
        <f>'OTHER EQUIP 2183'!Q125</f>
        <v>32276.319777777779</v>
      </c>
      <c r="F37" s="39">
        <f>'OTHER EQUIP 2183'!R125</f>
        <v>243580.3783518564</v>
      </c>
      <c r="G37" s="39">
        <f>'OTHER EQUIP 2183'!S125</f>
        <v>278765.58029629989</v>
      </c>
      <c r="H37" s="40">
        <f>'OTHER EQUIP 2183'!T125</f>
        <v>36605.239703700143</v>
      </c>
      <c r="J37" s="18" t="s">
        <v>274</v>
      </c>
      <c r="K37" s="39">
        <f>SUMIF('Depreciation Pivot'!$A$31:$A$49,'Summary 2183'!$J37,'Depreciation Pivot'!$C$31:$C$49)</f>
        <v>252692.09</v>
      </c>
      <c r="L37" s="39">
        <f>K37-M37</f>
        <v>0</v>
      </c>
      <c r="M37" s="39">
        <f>K37</f>
        <v>252692.09</v>
      </c>
      <c r="N37" s="39">
        <f>SUMIF('Depreciation Pivot'!$A$31:$A$48,'Summary 2183'!$J37,'Depreciation Pivot'!$D$31:$D$48)</f>
        <v>36372.550156327539</v>
      </c>
      <c r="O37" s="39">
        <f>SUMIF('Depreciation Pivot'!$A$31:$A$48,'Summary 2183'!$J37,'Depreciation Pivot'!$E$31:$E$48)</f>
        <v>137785.6374906284</v>
      </c>
      <c r="P37" s="39">
        <f>SUMIF('Depreciation Pivot'!$A$31:$A$48,'Summary 2183'!$J37,'Depreciation Pivot'!$F$31:$F$48)</f>
        <v>174158.18764695595</v>
      </c>
      <c r="Q37" s="40">
        <f>SUMIF('Depreciation Pivot'!$A$31:$A$48,'Summary 2183'!$J37,'Depreciation Pivot'!$G$31:$G$48)</f>
        <v>78533.902353044032</v>
      </c>
      <c r="S37" s="18" t="s">
        <v>274</v>
      </c>
      <c r="T37" s="39"/>
      <c r="U37" s="39"/>
      <c r="V37" s="39"/>
      <c r="W37" s="39"/>
      <c r="X37" s="39"/>
      <c r="Y37" s="39"/>
      <c r="Z37" s="40"/>
      <c r="AB37" s="18" t="s">
        <v>274</v>
      </c>
      <c r="AC37" s="39">
        <f>+B37+K37+T37</f>
        <v>568062.91</v>
      </c>
      <c r="AD37" s="39">
        <f>AC37-AE37</f>
        <v>0</v>
      </c>
      <c r="AE37" s="39">
        <f>+D37+M37+V37</f>
        <v>568062.91</v>
      </c>
      <c r="AF37" s="39">
        <f>+E37+N37+W37</f>
        <v>68648.869934105314</v>
      </c>
      <c r="AG37" s="39">
        <f>+F37+O37+X37</f>
        <v>381366.01584248478</v>
      </c>
      <c r="AH37" s="39">
        <f>+G37+P37+Y37</f>
        <v>452923.76794325584</v>
      </c>
      <c r="AI37" s="40">
        <f>+H37+Q37+Z37</f>
        <v>115139.14205674417</v>
      </c>
    </row>
    <row r="38" spans="1:35">
      <c r="A38" s="18"/>
      <c r="B38" s="39"/>
      <c r="C38" s="39"/>
      <c r="D38" s="39"/>
      <c r="E38" s="39"/>
      <c r="F38" s="39"/>
      <c r="G38" s="39"/>
      <c r="H38" s="40"/>
      <c r="J38" s="18"/>
      <c r="K38" s="39"/>
      <c r="L38" s="39"/>
      <c r="M38" s="39"/>
      <c r="N38" s="39"/>
      <c r="O38" s="39"/>
      <c r="P38" s="39"/>
      <c r="Q38" s="40"/>
      <c r="S38" s="18"/>
      <c r="T38" s="39"/>
      <c r="U38" s="39"/>
      <c r="V38" s="39"/>
      <c r="W38" s="39"/>
      <c r="X38" s="39"/>
      <c r="Y38" s="39"/>
      <c r="Z38" s="40"/>
      <c r="AB38" s="18"/>
      <c r="AC38" s="39"/>
      <c r="AD38" s="39"/>
      <c r="AE38" s="39"/>
      <c r="AF38" s="39"/>
      <c r="AG38" s="39"/>
      <c r="AH38" s="39"/>
      <c r="AI38" s="40"/>
    </row>
    <row r="39" spans="1:35">
      <c r="A39" s="18" t="s">
        <v>85</v>
      </c>
      <c r="B39" s="39">
        <f>'OTHER EQUIP 2183'!M103</f>
        <v>1607627.8700000006</v>
      </c>
      <c r="C39" s="39">
        <f>B39-D39</f>
        <v>0</v>
      </c>
      <c r="D39" s="39">
        <f>'OTHER EQUIP 2183'!N103</f>
        <v>1607627.8700000006</v>
      </c>
      <c r="E39" s="39">
        <f>'OTHER EQUIP 2183'!Q103</f>
        <v>1064.0639999999999</v>
      </c>
      <c r="F39" s="39">
        <f>'OTHER EQUIP 2183'!R103</f>
        <v>1599354.8126666688</v>
      </c>
      <c r="G39" s="39">
        <f>'OTHER EQUIP 2183'!S103</f>
        <v>1607007.1660000007</v>
      </c>
      <c r="H39" s="40">
        <f>'OTHER EQUIP 2183'!T103</f>
        <v>620.70399999991969</v>
      </c>
      <c r="J39" s="18" t="s">
        <v>85</v>
      </c>
      <c r="K39" s="39">
        <f>SUMIF('Depreciation Pivot'!$A$31:$A$49,'Summary 2183'!$J39,'Depreciation Pivot'!$C$31:$C$49)</f>
        <v>72383.06</v>
      </c>
      <c r="L39" s="39">
        <f>K39-M39</f>
        <v>0</v>
      </c>
      <c r="M39" s="39">
        <f>K39</f>
        <v>72383.06</v>
      </c>
      <c r="N39" s="39">
        <f>SUMIF('Depreciation Pivot'!$A$31:$A$48,'Summary 2183'!$J39,'Depreciation Pivot'!$D$31:$D$48)</f>
        <v>5351.8119999999999</v>
      </c>
      <c r="O39" s="39">
        <f>SUMIF('Depreciation Pivot'!$A$31:$A$48,'Summary 2183'!$J39,'Depreciation Pivot'!$E$31:$E$48)</f>
        <v>46646.000000000065</v>
      </c>
      <c r="P39" s="39">
        <f>SUMIF('Depreciation Pivot'!$A$31:$A$48,'Summary 2183'!$J39,'Depreciation Pivot'!$F$31:$F$48)</f>
        <v>51997.812000000064</v>
      </c>
      <c r="Q39" s="40">
        <f>SUMIF('Depreciation Pivot'!$A$31:$A$48,'Summary 2183'!$J39,'Depreciation Pivot'!$G$31:$G$48)</f>
        <v>20385.247999999934</v>
      </c>
      <c r="S39" s="18" t="s">
        <v>85</v>
      </c>
      <c r="T39" s="39"/>
      <c r="U39" s="39"/>
      <c r="V39" s="39"/>
      <c r="W39" s="39"/>
      <c r="X39" s="39"/>
      <c r="Y39" s="39"/>
      <c r="Z39" s="40"/>
      <c r="AB39" s="18" t="s">
        <v>85</v>
      </c>
      <c r="AC39" s="39">
        <f>+B39+K39+T39</f>
        <v>1680010.9300000006</v>
      </c>
      <c r="AD39" s="39">
        <f>AC39-AE39</f>
        <v>0</v>
      </c>
      <c r="AE39" s="39">
        <f>+D39+M39+V39</f>
        <v>1680010.9300000006</v>
      </c>
      <c r="AF39" s="39">
        <f>+E39+N39+W39</f>
        <v>6415.8760000000002</v>
      </c>
      <c r="AG39" s="39">
        <f>+F39+O39+X39</f>
        <v>1646000.8126666688</v>
      </c>
      <c r="AH39" s="39">
        <f>+G39+P39+Y39</f>
        <v>1659004.9780000008</v>
      </c>
      <c r="AI39" s="40">
        <f>+H39+Q39+Z39</f>
        <v>21005.951999999852</v>
      </c>
    </row>
    <row r="40" spans="1:35">
      <c r="A40" s="18"/>
      <c r="B40" s="39"/>
      <c r="C40" s="39"/>
      <c r="D40" s="39"/>
      <c r="E40" s="39"/>
      <c r="F40" s="39"/>
      <c r="G40" s="39"/>
      <c r="H40" s="40"/>
      <c r="J40" s="18"/>
      <c r="K40" s="39"/>
      <c r="L40" s="39"/>
      <c r="M40" s="39"/>
      <c r="N40" s="39"/>
      <c r="O40" s="39"/>
      <c r="P40" s="39"/>
      <c r="Q40" s="40"/>
      <c r="S40" s="18"/>
      <c r="T40" s="39"/>
      <c r="U40" s="39"/>
      <c r="V40" s="39"/>
      <c r="W40" s="39"/>
      <c r="X40" s="39"/>
      <c r="Y40" s="39"/>
      <c r="Z40" s="40"/>
      <c r="AB40" s="18"/>
      <c r="AC40" s="39"/>
      <c r="AD40" s="39"/>
      <c r="AE40" s="39"/>
      <c r="AF40" s="39"/>
      <c r="AG40" s="39"/>
      <c r="AH40" s="39"/>
      <c r="AI40" s="40"/>
    </row>
    <row r="41" spans="1:35">
      <c r="A41" s="18" t="s">
        <v>275</v>
      </c>
      <c r="B41" s="39">
        <f>'OTHER EQUIP 2183'!M153</f>
        <v>360647.39</v>
      </c>
      <c r="C41" s="39">
        <f>B41-D41</f>
        <v>0</v>
      </c>
      <c r="D41" s="39">
        <f>'OTHER EQUIP 2183'!N153</f>
        <v>360647.39</v>
      </c>
      <c r="E41" s="39">
        <f>'OTHER EQUIP 2183'!Q153</f>
        <v>0</v>
      </c>
      <c r="F41" s="39">
        <f>'OTHER EQUIP 2183'!R153</f>
        <v>360647.39</v>
      </c>
      <c r="G41" s="39">
        <f>'OTHER EQUIP 2183'!S153</f>
        <v>360647.39</v>
      </c>
      <c r="H41" s="40">
        <f>'OTHER EQUIP 2183'!T153</f>
        <v>0</v>
      </c>
      <c r="J41" s="18" t="s">
        <v>275</v>
      </c>
      <c r="K41" s="39">
        <f>SUMIF('Depreciation Pivot'!$A$31:$A$49,'Summary 2183'!$J41,'Depreciation Pivot'!$C$31:$C$49)</f>
        <v>3895.7099999999996</v>
      </c>
      <c r="L41" s="39">
        <f>K41-M41</f>
        <v>0</v>
      </c>
      <c r="M41" s="39">
        <f>K41</f>
        <v>3895.7099999999996</v>
      </c>
      <c r="N41" s="39">
        <f>SUMIF('Depreciation Pivot'!$A$31:$A$48,'Summary 2183'!$J41,'Depreciation Pivot'!$D$31:$D$48)</f>
        <v>1298.57</v>
      </c>
      <c r="O41" s="39">
        <f>SUMIF('Depreciation Pivot'!$A$31:$A$48,'Summary 2183'!$J41,'Depreciation Pivot'!$E$31:$E$48)</f>
        <v>0</v>
      </c>
      <c r="P41" s="39">
        <f>SUMIF('Depreciation Pivot'!$A$31:$A$48,'Summary 2183'!$J41,'Depreciation Pivot'!$F$31:$F$48)</f>
        <v>1298.57</v>
      </c>
      <c r="Q41" s="40">
        <f>SUMIF('Depreciation Pivot'!$A$31:$A$48,'Summary 2183'!$J41,'Depreciation Pivot'!$G$31:$G$48)</f>
        <v>2597.14</v>
      </c>
      <c r="S41" s="18" t="s">
        <v>275</v>
      </c>
      <c r="T41" s="39"/>
      <c r="U41" s="39"/>
      <c r="V41" s="39"/>
      <c r="W41" s="39"/>
      <c r="X41" s="39"/>
      <c r="Y41" s="39"/>
      <c r="Z41" s="40"/>
      <c r="AB41" s="18" t="s">
        <v>275</v>
      </c>
      <c r="AC41" s="39">
        <f>+B41+K41+T41</f>
        <v>364543.10000000003</v>
      </c>
      <c r="AD41" s="39">
        <f>AC41-AE41</f>
        <v>0</v>
      </c>
      <c r="AE41" s="39">
        <f>+D41+M41+V41</f>
        <v>364543.10000000003</v>
      </c>
      <c r="AF41" s="39">
        <f>+E41+N41+W41</f>
        <v>1298.57</v>
      </c>
      <c r="AG41" s="39">
        <f>+F41+O41+X41</f>
        <v>360647.39</v>
      </c>
      <c r="AH41" s="39">
        <f>+G41+P41+Y41</f>
        <v>361945.96</v>
      </c>
      <c r="AI41" s="40">
        <f>+H41+Q41+Z41</f>
        <v>2597.14</v>
      </c>
    </row>
    <row r="42" spans="1:35">
      <c r="A42" s="18"/>
      <c r="B42" s="39"/>
      <c r="C42" s="39"/>
      <c r="D42" s="39"/>
      <c r="E42" s="39"/>
      <c r="F42" s="39"/>
      <c r="G42" s="39"/>
      <c r="H42" s="40"/>
      <c r="J42" s="18"/>
      <c r="K42" s="39"/>
      <c r="L42" s="39"/>
      <c r="M42" s="39"/>
      <c r="N42" s="39"/>
      <c r="O42" s="39"/>
      <c r="P42" s="39"/>
      <c r="Q42" s="40"/>
      <c r="S42" s="18"/>
      <c r="T42" s="39"/>
      <c r="U42" s="39"/>
      <c r="V42" s="39"/>
      <c r="W42" s="39"/>
      <c r="X42" s="39"/>
      <c r="Y42" s="39"/>
      <c r="Z42" s="40"/>
      <c r="AB42" s="18"/>
      <c r="AC42" s="39"/>
      <c r="AD42" s="39"/>
      <c r="AE42" s="39"/>
      <c r="AF42" s="39"/>
      <c r="AG42" s="39"/>
      <c r="AH42" s="39"/>
      <c r="AI42" s="40"/>
    </row>
    <row r="43" spans="1:35">
      <c r="A43" s="18" t="s">
        <v>21</v>
      </c>
      <c r="B43" s="39">
        <f>'OTHER EQUIP 2183'!M50</f>
        <v>2660769.8699999996</v>
      </c>
      <c r="C43" s="39">
        <f>B43-D43</f>
        <v>0</v>
      </c>
      <c r="D43" s="39">
        <f>'OTHER EQUIP 2183'!N50</f>
        <v>2660769.8699999996</v>
      </c>
      <c r="E43" s="39">
        <f>'OTHER EQUIP 2183'!Q50</f>
        <v>3875.9851538461539</v>
      </c>
      <c r="F43" s="39">
        <f>'OTHER EQUIP 2183'!R50</f>
        <v>2641630.1454294873</v>
      </c>
      <c r="G43" s="39">
        <f>'OTHER EQUIP 2183'!S50</f>
        <v>2645506.1305833333</v>
      </c>
      <c r="H43" s="40">
        <f>'OTHER EQUIP 2183'!T50</f>
        <v>15263.739416666527</v>
      </c>
      <c r="J43" s="18" t="s">
        <v>21</v>
      </c>
      <c r="K43" s="39">
        <f>SUMIF('Depreciation Pivot'!$A$31:$A$49,'Summary 2183'!$J43,'Depreciation Pivot'!$C$31:$C$49)</f>
        <v>0</v>
      </c>
      <c r="L43" s="39">
        <f>K43-M43</f>
        <v>0</v>
      </c>
      <c r="M43" s="39">
        <f>K43</f>
        <v>0</v>
      </c>
      <c r="N43" s="39">
        <f>SUMIF('Depreciation Pivot'!$A$31:$A$48,'Summary 2183'!$J43,'Depreciation Pivot'!$D$31:$D$48)</f>
        <v>0</v>
      </c>
      <c r="O43" s="39">
        <f>SUMIF('Depreciation Pivot'!$A$31:$A$48,'Summary 2183'!$J43,'Depreciation Pivot'!$E$31:$E$48)</f>
        <v>0</v>
      </c>
      <c r="P43" s="39">
        <f>SUMIF('Depreciation Pivot'!$A$31:$A$48,'Summary 2183'!$J43,'Depreciation Pivot'!$F$31:$F$48)</f>
        <v>0</v>
      </c>
      <c r="Q43" s="40">
        <f>SUMIF('Depreciation Pivot'!$A$31:$A$48,'Summary 2183'!$J43,'Depreciation Pivot'!$G$31:$G$48)</f>
        <v>0</v>
      </c>
      <c r="S43" s="18" t="s">
        <v>21</v>
      </c>
      <c r="T43" s="39"/>
      <c r="U43" s="39"/>
      <c r="V43" s="39"/>
      <c r="W43" s="39"/>
      <c r="X43" s="39"/>
      <c r="Y43" s="39"/>
      <c r="Z43" s="40"/>
      <c r="AB43" s="18" t="s">
        <v>21</v>
      </c>
      <c r="AC43" s="39">
        <f>+B43+K43+T43</f>
        <v>2660769.8699999996</v>
      </c>
      <c r="AD43" s="39">
        <f>AC43-AE43</f>
        <v>0</v>
      </c>
      <c r="AE43" s="39">
        <f>+D43+M43+V43</f>
        <v>2660769.8699999996</v>
      </c>
      <c r="AF43" s="39">
        <f>+E43+N43+W43</f>
        <v>3875.9851538461539</v>
      </c>
      <c r="AG43" s="39">
        <f>+F43+O43+X43</f>
        <v>2641630.1454294873</v>
      </c>
      <c r="AH43" s="39">
        <f>+G43+P43+Y43</f>
        <v>2645506.1305833333</v>
      </c>
      <c r="AI43" s="40">
        <f>+H43+Q43+Z43</f>
        <v>15263.739416666527</v>
      </c>
    </row>
    <row r="44" spans="1:35">
      <c r="A44" s="18"/>
      <c r="B44" s="39"/>
      <c r="C44" s="39"/>
      <c r="D44" s="39"/>
      <c r="E44" s="39"/>
      <c r="F44" s="39"/>
      <c r="G44" s="39"/>
      <c r="H44" s="40"/>
      <c r="J44" s="18"/>
      <c r="K44" s="39"/>
      <c r="L44" s="39"/>
      <c r="M44" s="39"/>
      <c r="N44" s="39"/>
      <c r="O44" s="39"/>
      <c r="P44" s="39"/>
      <c r="Q44" s="40"/>
      <c r="S44" s="18"/>
      <c r="T44" s="39"/>
      <c r="U44" s="39"/>
      <c r="V44" s="39"/>
      <c r="W44" s="39"/>
      <c r="X44" s="39"/>
      <c r="Y44" s="39"/>
      <c r="Z44" s="40"/>
      <c r="AB44" s="18"/>
      <c r="AC44" s="39"/>
      <c r="AD44" s="39"/>
      <c r="AE44" s="39"/>
      <c r="AF44" s="39"/>
      <c r="AG44" s="39"/>
      <c r="AH44" s="39"/>
      <c r="AI44" s="40"/>
    </row>
    <row r="45" spans="1:35">
      <c r="A45" s="38" t="s">
        <v>917</v>
      </c>
      <c r="B45" s="39">
        <f>'OTHER EQUIP 2183'!M15</f>
        <v>157653.60999999999</v>
      </c>
      <c r="C45" s="39">
        <f>B45-D45</f>
        <v>0</v>
      </c>
      <c r="D45" s="39">
        <f>'OTHER EQUIP 2183'!N15</f>
        <v>157653.60999999999</v>
      </c>
      <c r="E45" s="39">
        <f>'OTHER EQUIP 2183'!Q15</f>
        <v>4042.4002564102566</v>
      </c>
      <c r="F45" s="39">
        <f>'OTHER EQUIP 2183'!R15</f>
        <v>92301.472521368123</v>
      </c>
      <c r="G45" s="39">
        <f>'OTHER EQUIP 2183'!S15</f>
        <v>96343.872777778379</v>
      </c>
      <c r="H45" s="40">
        <f>'OTHER EQUIP 2183'!T15</f>
        <v>61309.737222221607</v>
      </c>
      <c r="J45" s="38" t="s">
        <v>917</v>
      </c>
      <c r="K45" s="39">
        <f>SUMIF('Depreciation Pivot'!$A$31:$A$49,'Summary 2183'!$J45,'Depreciation Pivot'!$C$31:$C$49)</f>
        <v>4322931.37</v>
      </c>
      <c r="L45" s="39">
        <f>K45-M45</f>
        <v>0</v>
      </c>
      <c r="M45" s="39">
        <f>K45</f>
        <v>4322931.37</v>
      </c>
      <c r="N45" s="39">
        <f>SUMIF('Depreciation Pivot'!$A$31:$A$48,'Summary 2183'!$J45,'Depreciation Pivot'!$D$31:$D$48)</f>
        <v>234965.06816666666</v>
      </c>
      <c r="O45" s="39">
        <f>SUMIF('Depreciation Pivot'!$A$31:$A$48,'Summary 2183'!$J45,'Depreciation Pivot'!$E$31:$E$48)</f>
        <v>402636.23430555948</v>
      </c>
      <c r="P45" s="39">
        <f>SUMIF('Depreciation Pivot'!$A$31:$A$48,'Summary 2183'!$J45,'Depreciation Pivot'!$F$31:$F$48)</f>
        <v>637601.30247222609</v>
      </c>
      <c r="Q45" s="40">
        <f>SUMIF('Depreciation Pivot'!$A$31:$A$48,'Summary 2183'!$J45,'Depreciation Pivot'!$G$31:$G$48)</f>
        <v>3685330.0675277738</v>
      </c>
      <c r="S45" s="38" t="s">
        <v>917</v>
      </c>
      <c r="T45" s="39"/>
      <c r="U45" s="39"/>
      <c r="V45" s="39"/>
      <c r="W45" s="39"/>
      <c r="X45" s="39"/>
      <c r="Y45" s="39"/>
      <c r="Z45" s="40"/>
      <c r="AB45" s="38" t="s">
        <v>917</v>
      </c>
      <c r="AC45" s="39">
        <f>+B45+K45+T45</f>
        <v>4480584.9800000004</v>
      </c>
      <c r="AD45" s="39">
        <f>AC45-AE45</f>
        <v>0</v>
      </c>
      <c r="AE45" s="39">
        <f>+D45+M45+V45</f>
        <v>4480584.9800000004</v>
      </c>
      <c r="AF45" s="39">
        <f>+E45+N45+W45</f>
        <v>239007.46842307693</v>
      </c>
      <c r="AG45" s="39">
        <f>+F45+O45+X45</f>
        <v>494937.70682692761</v>
      </c>
      <c r="AH45" s="39">
        <f>+G45+P45+Y45</f>
        <v>733945.17525000451</v>
      </c>
      <c r="AI45" s="40">
        <f>+H45+Q45+Z45</f>
        <v>3746639.8047499955</v>
      </c>
    </row>
    <row r="46" spans="1:35">
      <c r="A46" s="18"/>
      <c r="B46" s="39"/>
      <c r="C46" s="39"/>
      <c r="D46" s="39"/>
      <c r="E46" s="39"/>
      <c r="F46" s="39"/>
      <c r="G46" s="39"/>
      <c r="H46" s="40"/>
      <c r="J46" s="18"/>
      <c r="K46" s="39"/>
      <c r="L46" s="39"/>
      <c r="M46" s="39"/>
      <c r="N46" s="39"/>
      <c r="O46" s="39"/>
      <c r="P46" s="39"/>
      <c r="Q46" s="40"/>
      <c r="S46" s="18"/>
      <c r="T46" s="39"/>
      <c r="U46" s="39"/>
      <c r="V46" s="39"/>
      <c r="W46" s="39"/>
      <c r="X46" s="39"/>
      <c r="Y46" s="39"/>
      <c r="Z46" s="40"/>
      <c r="AB46" s="18"/>
      <c r="AC46" s="39"/>
      <c r="AD46" s="39"/>
      <c r="AE46" s="39"/>
      <c r="AF46" s="39"/>
      <c r="AG46" s="39"/>
      <c r="AH46" s="39"/>
      <c r="AI46" s="40"/>
    </row>
    <row r="47" spans="1:35">
      <c r="A47" s="38" t="s">
        <v>913</v>
      </c>
      <c r="B47" s="39">
        <f>'OTHER EQUIP 2183'!M25</f>
        <v>839517.31</v>
      </c>
      <c r="C47" s="39">
        <f>B47-D47</f>
        <v>0</v>
      </c>
      <c r="D47" s="39">
        <f>'OTHER EQUIP 2183'!N25</f>
        <v>839517.31</v>
      </c>
      <c r="E47" s="39">
        <f>'OTHER EQUIP 2183'!Q25</f>
        <v>21359.315641025642</v>
      </c>
      <c r="F47" s="39">
        <f>'OTHER EQUIP 2183'!R25</f>
        <v>485262.27824786637</v>
      </c>
      <c r="G47" s="39">
        <f>'OTHER EQUIP 2183'!S25</f>
        <v>506621.59388889198</v>
      </c>
      <c r="H47" s="40">
        <f>'OTHER EQUIP 2183'!T25</f>
        <v>332895.71611110802</v>
      </c>
      <c r="J47" s="38" t="s">
        <v>913</v>
      </c>
      <c r="K47" s="39">
        <f>SUMIF('Depreciation Pivot'!$A$31:$A$49,'Summary 2183'!$J47,'Depreciation Pivot'!$C$31:$C$49)</f>
        <v>25250.39</v>
      </c>
      <c r="L47" s="39">
        <f>K47-M47</f>
        <v>0</v>
      </c>
      <c r="M47" s="39">
        <f>K47</f>
        <v>25250.39</v>
      </c>
      <c r="N47" s="39">
        <f>SUMIF('Depreciation Pivot'!$A$31:$A$48,'Summary 2183'!$J47,'Depreciation Pivot'!$D$31:$D$48)</f>
        <v>2525.0389999999998</v>
      </c>
      <c r="O47" s="39">
        <f>SUMIF('Depreciation Pivot'!$A$31:$A$48,'Summary 2183'!$J47,'Depreciation Pivot'!$E$31:$E$48)</f>
        <v>841.6796666670507</v>
      </c>
      <c r="P47" s="39">
        <f>SUMIF('Depreciation Pivot'!$A$31:$A$48,'Summary 2183'!$J47,'Depreciation Pivot'!$F$31:$F$48)</f>
        <v>3366.7186666670505</v>
      </c>
      <c r="Q47" s="40">
        <f>SUMIF('Depreciation Pivot'!$A$31:$A$48,'Summary 2183'!$J47,'Depreciation Pivot'!$G$31:$G$48)</f>
        <v>21883.671333332946</v>
      </c>
      <c r="S47" s="38" t="s">
        <v>913</v>
      </c>
      <c r="T47" s="39"/>
      <c r="U47" s="39"/>
      <c r="V47" s="39"/>
      <c r="W47" s="39"/>
      <c r="X47" s="39"/>
      <c r="Y47" s="39"/>
      <c r="Z47" s="40"/>
      <c r="AB47" s="38" t="s">
        <v>913</v>
      </c>
      <c r="AC47" s="39">
        <f>+B47+K47+T47</f>
        <v>864767.70000000007</v>
      </c>
      <c r="AD47" s="39">
        <f>AC47-AE47</f>
        <v>0</v>
      </c>
      <c r="AE47" s="39">
        <f>+D47+M47+V47</f>
        <v>864767.70000000007</v>
      </c>
      <c r="AF47" s="39">
        <f>+E47+N47+W47</f>
        <v>23884.354641025642</v>
      </c>
      <c r="AG47" s="39">
        <f>+F47+O47+X47</f>
        <v>486103.95791453344</v>
      </c>
      <c r="AH47" s="39">
        <f>+G47+P47+Y47</f>
        <v>509988.31255555904</v>
      </c>
      <c r="AI47" s="40">
        <f>+H47+Q47+Z47</f>
        <v>354779.38744444097</v>
      </c>
    </row>
    <row r="48" spans="1:35">
      <c r="A48" s="18"/>
      <c r="B48" s="39"/>
      <c r="C48" s="39"/>
      <c r="D48" s="39"/>
      <c r="E48" s="39"/>
      <c r="F48" s="39"/>
      <c r="G48" s="39"/>
      <c r="H48" s="40"/>
      <c r="J48" s="18"/>
      <c r="K48" s="39"/>
      <c r="L48" s="39"/>
      <c r="M48" s="39"/>
      <c r="N48" s="39"/>
      <c r="O48" s="39"/>
      <c r="P48" s="39"/>
      <c r="Q48" s="40"/>
      <c r="S48" s="18"/>
      <c r="T48" s="39"/>
      <c r="U48" s="39"/>
      <c r="V48" s="39"/>
      <c r="W48" s="39"/>
      <c r="X48" s="39"/>
      <c r="Y48" s="39"/>
      <c r="Z48" s="40"/>
      <c r="AB48" s="18"/>
      <c r="AC48" s="39"/>
      <c r="AD48" s="39"/>
      <c r="AE48" s="39"/>
      <c r="AF48" s="39"/>
      <c r="AG48" s="39"/>
      <c r="AH48" s="39"/>
      <c r="AI48" s="40"/>
    </row>
    <row r="49" spans="1:35">
      <c r="A49" s="38" t="s">
        <v>802</v>
      </c>
      <c r="B49" s="39">
        <f>+'OTHER EQUIP 2183'!M159</f>
        <v>1282967.4099999999</v>
      </c>
      <c r="C49" s="39">
        <f>B49-D49</f>
        <v>0</v>
      </c>
      <c r="D49" s="39">
        <f>+'OTHER EQUIP 2183'!N159</f>
        <v>1282967.4099999999</v>
      </c>
      <c r="E49" s="39">
        <f>+'OTHER EQUIP 2183'!Q159</f>
        <v>32770.025384615386</v>
      </c>
      <c r="F49" s="39">
        <f>+'OTHER EQUIP 2183'!R159</f>
        <v>753185.33294872288</v>
      </c>
      <c r="G49" s="39">
        <f>+'OTHER EQUIP 2183'!S159</f>
        <v>785955.35833333828</v>
      </c>
      <c r="H49" s="40">
        <f>+'OTHER EQUIP 2183'!T159</f>
        <v>497012.05166666175</v>
      </c>
      <c r="J49" s="38" t="s">
        <v>802</v>
      </c>
      <c r="K49" s="39">
        <f>SUMIF('Depreciation Pivot'!$A$31:$A$49,'Summary 2183'!$J49,'Depreciation Pivot'!$C$31:$C$49)</f>
        <v>0</v>
      </c>
      <c r="L49" s="39">
        <f>K49-M49</f>
        <v>0</v>
      </c>
      <c r="M49" s="39">
        <f>K49</f>
        <v>0</v>
      </c>
      <c r="N49" s="39">
        <f>SUMIF('Depreciation Pivot'!$A$31:$A$48,'Summary 2183'!$J49,'Depreciation Pivot'!$D$31:$D$48)</f>
        <v>0</v>
      </c>
      <c r="O49" s="39">
        <f>SUMIF('Depreciation Pivot'!$A$31:$A$48,'Summary 2183'!$J49,'Depreciation Pivot'!$E$31:$E$48)</f>
        <v>0</v>
      </c>
      <c r="P49" s="39">
        <f>SUMIF('Depreciation Pivot'!$A$31:$A$48,'Summary 2183'!$J49,'Depreciation Pivot'!$F$31:$F$48)</f>
        <v>0</v>
      </c>
      <c r="Q49" s="40">
        <f>SUMIF('Depreciation Pivot'!$A$31:$A$48,'Summary 2183'!$J49,'Depreciation Pivot'!$G$31:$G$48)</f>
        <v>0</v>
      </c>
      <c r="S49" s="38" t="s">
        <v>802</v>
      </c>
      <c r="T49" s="39"/>
      <c r="U49" s="39"/>
      <c r="V49" s="39"/>
      <c r="W49" s="39"/>
      <c r="X49" s="39"/>
      <c r="Y49" s="39"/>
      <c r="Z49" s="40"/>
      <c r="AB49" s="38" t="s">
        <v>802</v>
      </c>
      <c r="AC49" s="39">
        <f>+B49+K49+T49</f>
        <v>1282967.4099999999</v>
      </c>
      <c r="AD49" s="39">
        <f>AC49-AE49</f>
        <v>0</v>
      </c>
      <c r="AE49" s="39">
        <f>+D49+M49+V49</f>
        <v>1282967.4099999999</v>
      </c>
      <c r="AF49" s="39">
        <f>+E49+N49+W49</f>
        <v>32770.025384615386</v>
      </c>
      <c r="AG49" s="39">
        <f>+F49+O49+X49</f>
        <v>753185.33294872288</v>
      </c>
      <c r="AH49" s="39">
        <f>+G49+P49+Y49</f>
        <v>785955.35833333828</v>
      </c>
      <c r="AI49" s="40">
        <f>+H49+Q49+Z49</f>
        <v>497012.05166666175</v>
      </c>
    </row>
    <row r="50" spans="1:35">
      <c r="A50" s="38"/>
      <c r="B50" s="39"/>
      <c r="C50" s="39"/>
      <c r="D50" s="39"/>
      <c r="E50" s="39"/>
      <c r="F50" s="39"/>
      <c r="G50" s="39"/>
      <c r="H50" s="40"/>
      <c r="J50" s="38"/>
      <c r="K50" s="39"/>
      <c r="L50" s="39"/>
      <c r="M50" s="39"/>
      <c r="N50" s="39"/>
      <c r="O50" s="39"/>
      <c r="P50" s="39"/>
      <c r="Q50" s="40"/>
      <c r="S50" s="38"/>
      <c r="T50" s="39"/>
      <c r="U50" s="39"/>
      <c r="V50" s="39"/>
      <c r="W50" s="39"/>
      <c r="X50" s="39"/>
      <c r="Y50" s="39"/>
      <c r="Z50" s="40"/>
      <c r="AB50" s="38"/>
      <c r="AC50" s="39"/>
      <c r="AD50" s="39"/>
      <c r="AE50" s="39"/>
      <c r="AF50" s="39"/>
      <c r="AG50" s="39"/>
      <c r="AH50" s="39"/>
      <c r="AI50" s="40"/>
    </row>
    <row r="51" spans="1:35">
      <c r="A51" s="38" t="s">
        <v>1856</v>
      </c>
      <c r="B51" s="39">
        <v>0</v>
      </c>
      <c r="C51" s="39">
        <f>B51-D51</f>
        <v>0</v>
      </c>
      <c r="D51" s="39">
        <v>0</v>
      </c>
      <c r="E51" s="39">
        <v>0</v>
      </c>
      <c r="F51" s="39">
        <v>0</v>
      </c>
      <c r="G51" s="39">
        <v>0</v>
      </c>
      <c r="H51" s="40">
        <v>0</v>
      </c>
      <c r="J51" s="38" t="s">
        <v>1856</v>
      </c>
      <c r="K51" s="39">
        <f>SUMIF('Depreciation Pivot'!$A$31:$A$49,'Summary 2183'!$J51,'Depreciation Pivot'!$C$31:$C$49)</f>
        <v>0</v>
      </c>
      <c r="L51" s="39">
        <f>K51-M51</f>
        <v>0</v>
      </c>
      <c r="M51" s="39">
        <f>K51</f>
        <v>0</v>
      </c>
      <c r="N51" s="39">
        <f>SUMIF('Depreciation Pivot'!$A$31:$A$48,'Summary 2183'!$J51,'Depreciation Pivot'!$D$31:$D$48)</f>
        <v>0</v>
      </c>
      <c r="O51" s="39">
        <f>SUMIF('Depreciation Pivot'!$A$31:$A$48,'Summary 2183'!$J51,'Depreciation Pivot'!$E$31:$E$48)</f>
        <v>0</v>
      </c>
      <c r="P51" s="39">
        <f>SUMIF('Depreciation Pivot'!$A$31:$A$48,'Summary 2183'!$J51,'Depreciation Pivot'!$F$31:$F$48)</f>
        <v>0</v>
      </c>
      <c r="Q51" s="40">
        <f>SUMIF('Depreciation Pivot'!$A$31:$A$48,'Summary 2183'!$J51,'Depreciation Pivot'!$G$31:$G$48)</f>
        <v>0</v>
      </c>
      <c r="S51" s="38" t="s">
        <v>1856</v>
      </c>
      <c r="T51" s="39"/>
      <c r="U51" s="39"/>
      <c r="V51" s="39"/>
      <c r="W51" s="39"/>
      <c r="X51" s="39"/>
      <c r="Y51" s="39"/>
      <c r="Z51" s="40"/>
      <c r="AB51" s="38" t="s">
        <v>1856</v>
      </c>
      <c r="AC51" s="39">
        <f>+B51+K51+T51</f>
        <v>0</v>
      </c>
      <c r="AD51" s="39">
        <f>AC51-AE51</f>
        <v>0</v>
      </c>
      <c r="AE51" s="39">
        <f>+D51+M51+V51</f>
        <v>0</v>
      </c>
      <c r="AF51" s="39">
        <f>+E51+N51+W51</f>
        <v>0</v>
      </c>
      <c r="AG51" s="39">
        <f>+F51+O51+X51</f>
        <v>0</v>
      </c>
      <c r="AH51" s="39">
        <f>+G51+P51+Y51</f>
        <v>0</v>
      </c>
      <c r="AI51" s="40">
        <f>+H51+Q51+Z51</f>
        <v>0</v>
      </c>
    </row>
    <row r="52" spans="1:35">
      <c r="A52" s="18"/>
      <c r="B52" s="39"/>
      <c r="C52" s="39"/>
      <c r="D52" s="39"/>
      <c r="E52" s="39"/>
      <c r="F52" s="39"/>
      <c r="G52" s="39"/>
      <c r="H52" s="40"/>
      <c r="J52" s="18"/>
      <c r="K52" s="39"/>
      <c r="L52" s="39"/>
      <c r="M52" s="39"/>
      <c r="N52" s="39"/>
      <c r="O52" s="39"/>
      <c r="P52" s="39"/>
      <c r="Q52" s="40"/>
      <c r="S52" s="18"/>
      <c r="T52" s="39"/>
      <c r="U52" s="39"/>
      <c r="V52" s="39"/>
      <c r="W52" s="39"/>
      <c r="X52" s="39"/>
      <c r="Y52" s="39"/>
      <c r="Z52" s="40"/>
      <c r="AB52" s="18"/>
      <c r="AC52" s="39"/>
      <c r="AD52" s="39"/>
      <c r="AE52" s="39"/>
      <c r="AF52" s="39"/>
      <c r="AG52" s="39"/>
      <c r="AH52" s="39"/>
      <c r="AI52" s="40"/>
    </row>
    <row r="53" spans="1:35">
      <c r="A53" s="18" t="s">
        <v>24</v>
      </c>
      <c r="B53" s="39">
        <v>1474904.23</v>
      </c>
      <c r="C53" s="39">
        <f>B53-D53</f>
        <v>0</v>
      </c>
      <c r="D53" s="39">
        <f>B53</f>
        <v>1474904.23</v>
      </c>
      <c r="E53" s="39">
        <v>0</v>
      </c>
      <c r="F53" s="39">
        <v>0</v>
      </c>
      <c r="G53" s="39">
        <v>0</v>
      </c>
      <c r="H53" s="40">
        <f>B53</f>
        <v>1474904.23</v>
      </c>
      <c r="J53" s="18" t="s">
        <v>24</v>
      </c>
      <c r="K53" s="39">
        <f>SUMIF('Depreciation Pivot'!$A$31:$A$49,'Summary 2183'!$J53,'Depreciation Pivot'!$C$31:$C$49)</f>
        <v>0</v>
      </c>
      <c r="L53" s="39">
        <f>K53-M53</f>
        <v>0</v>
      </c>
      <c r="M53" s="39">
        <f>K53</f>
        <v>0</v>
      </c>
      <c r="N53" s="39">
        <f>SUMIF('Depreciation Pivot'!$A$31:$A$48,'Summary 2183'!$J53,'Depreciation Pivot'!$D$31:$D$48)</f>
        <v>0</v>
      </c>
      <c r="O53" s="39">
        <f>SUMIF('Depreciation Pivot'!$A$31:$A$48,'Summary 2183'!$J53,'Depreciation Pivot'!$E$31:$E$48)</f>
        <v>0</v>
      </c>
      <c r="P53" s="39">
        <f>SUMIF('Depreciation Pivot'!$A$31:$A$48,'Summary 2183'!$J53,'Depreciation Pivot'!$F$31:$F$48)</f>
        <v>0</v>
      </c>
      <c r="Q53" s="40">
        <f>SUMIF('Depreciation Pivot'!$A$31:$A$48,'Summary 2183'!$J53,'Depreciation Pivot'!$G$31:$G$48)</f>
        <v>0</v>
      </c>
      <c r="S53" s="18" t="s">
        <v>24</v>
      </c>
      <c r="T53" s="39"/>
      <c r="U53" s="39"/>
      <c r="V53" s="39"/>
      <c r="W53" s="39"/>
      <c r="X53" s="39"/>
      <c r="Y53" s="39"/>
      <c r="Z53" s="40"/>
      <c r="AB53" s="18" t="s">
        <v>24</v>
      </c>
      <c r="AC53" s="39">
        <f>+B53+K53+T53</f>
        <v>1474904.23</v>
      </c>
      <c r="AD53" s="39">
        <f>AC53-AE53</f>
        <v>0</v>
      </c>
      <c r="AE53" s="39">
        <f>+D53+M53+V53</f>
        <v>1474904.23</v>
      </c>
      <c r="AF53" s="39">
        <f>+E53+N53+W53</f>
        <v>0</v>
      </c>
      <c r="AG53" s="39">
        <f>+F53+O53+X53</f>
        <v>0</v>
      </c>
      <c r="AH53" s="39">
        <f>+G53+P53+Y53</f>
        <v>0</v>
      </c>
      <c r="AI53" s="40">
        <f>+H53+Q53+Z53</f>
        <v>1474904.23</v>
      </c>
    </row>
    <row r="54" spans="1:35">
      <c r="A54" s="18"/>
      <c r="B54" s="39"/>
      <c r="C54" s="39"/>
      <c r="D54" s="39"/>
      <c r="E54" s="39"/>
      <c r="F54" s="39"/>
      <c r="G54" s="39"/>
      <c r="H54" s="40"/>
      <c r="J54" s="18"/>
      <c r="K54" s="39"/>
      <c r="L54" s="39"/>
      <c r="M54" s="39"/>
      <c r="N54" s="39"/>
      <c r="O54" s="39"/>
      <c r="P54" s="39"/>
      <c r="Q54" s="40"/>
      <c r="S54" s="18"/>
      <c r="T54" s="39"/>
      <c r="U54" s="39"/>
      <c r="V54" s="39"/>
      <c r="W54" s="39"/>
      <c r="X54" s="39"/>
      <c r="Y54" s="39"/>
      <c r="Z54" s="40"/>
      <c r="AB54" s="18"/>
      <c r="AC54" s="39"/>
      <c r="AD54" s="39"/>
      <c r="AE54" s="39"/>
      <c r="AF54" s="39"/>
      <c r="AG54" s="39"/>
      <c r="AH54" s="39"/>
      <c r="AI54" s="40"/>
    </row>
    <row r="55" spans="1:35">
      <c r="A55" s="13" t="s">
        <v>382</v>
      </c>
      <c r="B55" s="41">
        <f t="shared" ref="B55:H55" si="11">SUM(B37:B54)</f>
        <v>8699458.5100000016</v>
      </c>
      <c r="C55" s="41">
        <f t="shared" si="11"/>
        <v>0</v>
      </c>
      <c r="D55" s="41">
        <f t="shared" si="11"/>
        <v>8699458.5100000016</v>
      </c>
      <c r="E55" s="41">
        <f t="shared" si="11"/>
        <v>95388.110213675216</v>
      </c>
      <c r="F55" s="41">
        <f t="shared" si="11"/>
        <v>6175961.8101659706</v>
      </c>
      <c r="G55" s="41">
        <f t="shared" si="11"/>
        <v>6280847.0918796426</v>
      </c>
      <c r="H55" s="132">
        <f t="shared" si="11"/>
        <v>2418611.4181203581</v>
      </c>
      <c r="J55" s="13" t="s">
        <v>382</v>
      </c>
      <c r="K55" s="41">
        <f t="shared" ref="K55:Q55" si="12">SUM(K37:K54)</f>
        <v>4677152.62</v>
      </c>
      <c r="L55" s="41">
        <f t="shared" si="12"/>
        <v>0</v>
      </c>
      <c r="M55" s="41">
        <f t="shared" si="12"/>
        <v>4677152.62</v>
      </c>
      <c r="N55" s="41">
        <f t="shared" si="12"/>
        <v>280513.03932299418</v>
      </c>
      <c r="O55" s="41">
        <f t="shared" si="12"/>
        <v>587909.55146285496</v>
      </c>
      <c r="P55" s="41">
        <f t="shared" si="12"/>
        <v>868422.59078584914</v>
      </c>
      <c r="Q55" s="132">
        <f t="shared" si="12"/>
        <v>3808730.0292141507</v>
      </c>
      <c r="S55" s="13" t="s">
        <v>382</v>
      </c>
      <c r="T55" s="41">
        <f t="shared" ref="T55:Z55" si="13">SUM(T37:T54)</f>
        <v>0</v>
      </c>
      <c r="U55" s="41">
        <f t="shared" si="13"/>
        <v>0</v>
      </c>
      <c r="V55" s="41">
        <f t="shared" si="13"/>
        <v>0</v>
      </c>
      <c r="W55" s="41">
        <f t="shared" si="13"/>
        <v>0</v>
      </c>
      <c r="X55" s="41">
        <f t="shared" si="13"/>
        <v>0</v>
      </c>
      <c r="Y55" s="41">
        <f t="shared" si="13"/>
        <v>0</v>
      </c>
      <c r="Z55" s="132">
        <f t="shared" si="13"/>
        <v>0</v>
      </c>
      <c r="AB55" s="13" t="s">
        <v>382</v>
      </c>
      <c r="AC55" s="41">
        <f t="shared" ref="AC55:AI55" si="14">SUM(AC37:AC54)</f>
        <v>13376611.130000001</v>
      </c>
      <c r="AD55" s="41">
        <f t="shared" si="14"/>
        <v>0</v>
      </c>
      <c r="AE55" s="41">
        <f t="shared" si="14"/>
        <v>13376611.130000001</v>
      </c>
      <c r="AF55" s="41">
        <f t="shared" si="14"/>
        <v>375901.14953666949</v>
      </c>
      <c r="AG55" s="41">
        <f t="shared" si="14"/>
        <v>6763871.3616288239</v>
      </c>
      <c r="AH55" s="41">
        <f t="shared" si="14"/>
        <v>7149269.6826654915</v>
      </c>
      <c r="AI55" s="132">
        <f t="shared" si="14"/>
        <v>6227341.4473345093</v>
      </c>
    </row>
    <row r="56" spans="1:35">
      <c r="A56" s="18"/>
      <c r="B56" s="39"/>
      <c r="C56" s="39"/>
      <c r="D56" s="39"/>
      <c r="E56" s="39"/>
      <c r="F56" s="39"/>
      <c r="G56" s="39"/>
      <c r="H56" s="40"/>
      <c r="J56" s="18"/>
      <c r="K56" s="39"/>
      <c r="L56" s="39"/>
      <c r="M56" s="39"/>
      <c r="N56" s="39"/>
      <c r="O56" s="39"/>
      <c r="P56" s="39"/>
      <c r="Q56" s="40"/>
      <c r="S56" s="18"/>
      <c r="T56" s="39"/>
      <c r="U56" s="39"/>
      <c r="V56" s="39"/>
      <c r="W56" s="39"/>
      <c r="X56" s="39"/>
      <c r="Y56" s="39"/>
      <c r="Z56" s="40"/>
      <c r="AB56" s="18"/>
      <c r="AC56" s="39"/>
      <c r="AD56" s="39"/>
      <c r="AE56" s="39"/>
      <c r="AF56" s="39"/>
      <c r="AG56" s="39"/>
      <c r="AH56" s="39"/>
      <c r="AI56" s="40"/>
    </row>
    <row r="57" spans="1:35" ht="13.5" thickBot="1">
      <c r="A57" s="13" t="s">
        <v>276</v>
      </c>
      <c r="B57" s="28">
        <f t="shared" ref="B57:H57" si="15">B20+B35+B55</f>
        <v>40059256.110599995</v>
      </c>
      <c r="C57" s="28">
        <f t="shared" si="15"/>
        <v>0</v>
      </c>
      <c r="D57" s="28">
        <f t="shared" si="15"/>
        <v>40059256.110599995</v>
      </c>
      <c r="E57" s="28">
        <f t="shared" si="15"/>
        <v>2049015.8708908048</v>
      </c>
      <c r="F57" s="28">
        <f t="shared" si="15"/>
        <v>27224457.437030572</v>
      </c>
      <c r="G57" s="28">
        <f t="shared" si="15"/>
        <v>29317157.655730888</v>
      </c>
      <c r="H57" s="43">
        <f t="shared" si="15"/>
        <v>10580827.839202445</v>
      </c>
      <c r="J57" s="13" t="s">
        <v>276</v>
      </c>
      <c r="K57" s="28">
        <f t="shared" ref="K57:Q57" si="16">K20+K35+K55</f>
        <v>15992253.710000001</v>
      </c>
      <c r="L57" s="28">
        <f t="shared" si="16"/>
        <v>0</v>
      </c>
      <c r="M57" s="28">
        <f t="shared" si="16"/>
        <v>15992253.710000001</v>
      </c>
      <c r="N57" s="28">
        <f t="shared" si="16"/>
        <v>1447281.5059658512</v>
      </c>
      <c r="O57" s="28">
        <f t="shared" si="16"/>
        <v>1764436.2525541945</v>
      </c>
      <c r="P57" s="28">
        <f t="shared" si="16"/>
        <v>3211717.7585200462</v>
      </c>
      <c r="Q57" s="43">
        <f t="shared" si="16"/>
        <v>12780535.951479955</v>
      </c>
      <c r="S57" s="13" t="s">
        <v>276</v>
      </c>
      <c r="T57" s="28">
        <f t="shared" ref="T57:Z57" si="17">T20+T35+T55</f>
        <v>0</v>
      </c>
      <c r="U57" s="28">
        <f t="shared" si="17"/>
        <v>0</v>
      </c>
      <c r="V57" s="28">
        <f t="shared" si="17"/>
        <v>0</v>
      </c>
      <c r="W57" s="28">
        <f t="shared" si="17"/>
        <v>0</v>
      </c>
      <c r="X57" s="28">
        <f t="shared" si="17"/>
        <v>0</v>
      </c>
      <c r="Y57" s="28">
        <f t="shared" si="17"/>
        <v>0</v>
      </c>
      <c r="Z57" s="43">
        <f t="shared" si="17"/>
        <v>0</v>
      </c>
      <c r="AB57" s="13" t="s">
        <v>276</v>
      </c>
      <c r="AC57" s="28">
        <f t="shared" ref="AC57:AI57" si="18">AC20+AC35+AC55</f>
        <v>56051509.820600003</v>
      </c>
      <c r="AD57" s="28">
        <f t="shared" si="18"/>
        <v>0</v>
      </c>
      <c r="AE57" s="28">
        <f t="shared" si="18"/>
        <v>56051509.820600003</v>
      </c>
      <c r="AF57" s="28">
        <f t="shared" si="18"/>
        <v>3496297.3768566558</v>
      </c>
      <c r="AG57" s="28">
        <f t="shared" si="18"/>
        <v>28988893.689584762</v>
      </c>
      <c r="AH57" s="28">
        <f t="shared" si="18"/>
        <v>32528875.414250933</v>
      </c>
      <c r="AI57" s="43">
        <f t="shared" si="18"/>
        <v>23361363.790682398</v>
      </c>
    </row>
    <row r="58" spans="1:35" ht="14.25" thickTop="1" thickBot="1">
      <c r="A58" s="21"/>
      <c r="B58" s="22">
        <f>+B57-'Trucks 2183'!L198-'Containers 2183'!K513-'OTHER EQUIP 2183'!M161-B53</f>
        <v>-2.3283064365386963E-9</v>
      </c>
      <c r="C58" s="22"/>
      <c r="D58" s="22">
        <f>D57-'Trucks 2183'!M198-'Containers 2183'!L513-'OTHER EQUIP 2183'!N161-D53</f>
        <v>-2.3283064365386963E-9</v>
      </c>
      <c r="E58" s="22">
        <f>+E57-'Trucks 2183'!P198-'Containers 2183'!O513-'OTHER EQUIP 2183'!Q161</f>
        <v>0</v>
      </c>
      <c r="F58" s="22">
        <f>F57-'Trucks 2183'!Q198-'Containers 2183'!P513-'OTHER EQUIP 2183'!R161</f>
        <v>0</v>
      </c>
      <c r="G58" s="22">
        <f>G57-'Trucks 2183'!R198-'Containers 2183'!Q513-'OTHER EQUIP 2183'!S161</f>
        <v>0</v>
      </c>
      <c r="H58" s="23">
        <f>H57-'Trucks 2183'!S198-'Containers 2183'!R513-'OTHER EQUIP 2183'!T161-H53</f>
        <v>0</v>
      </c>
      <c r="I58" t="s">
        <v>429</v>
      </c>
      <c r="J58" s="21"/>
      <c r="K58" s="22">
        <f>+'Depreciation Pivot'!C49-K57</f>
        <v>0</v>
      </c>
      <c r="L58" s="22"/>
      <c r="M58" s="22"/>
      <c r="N58" s="22">
        <f>+'Depreciation Pivot'!D49-N57</f>
        <v>0</v>
      </c>
      <c r="O58" s="22">
        <f>+'Depreciation Pivot'!E49-O57</f>
        <v>0</v>
      </c>
      <c r="P58" s="22">
        <f>+'Depreciation Pivot'!F49-P57</f>
        <v>0</v>
      </c>
      <c r="Q58" s="22">
        <f>+'Depreciation Pivot'!G49-Q57</f>
        <v>0</v>
      </c>
      <c r="S58" s="21"/>
      <c r="T58" s="22"/>
      <c r="U58" s="22"/>
      <c r="V58" s="22"/>
      <c r="W58" s="22"/>
      <c r="X58" s="22"/>
      <c r="Y58" s="22"/>
      <c r="Z58" s="23"/>
      <c r="AB58" s="21"/>
      <c r="AC58" s="22">
        <f>+T57+K57+B57-AC57</f>
        <v>0</v>
      </c>
      <c r="AD58" s="22"/>
      <c r="AE58" s="127">
        <f>+V57+M57+D57-AE57</f>
        <v>0</v>
      </c>
      <c r="AF58" s="127">
        <f>+W57+N57+E57-AF57</f>
        <v>0</v>
      </c>
      <c r="AG58" s="127">
        <f>+X57+O57+F57-AG57</f>
        <v>0</v>
      </c>
      <c r="AH58" s="127">
        <f>+Y57+P57+G57-AH57</f>
        <v>0</v>
      </c>
      <c r="AI58" s="128">
        <f>+Z57+Q57+H57-AI57</f>
        <v>0</v>
      </c>
    </row>
    <row r="61" spans="1:35">
      <c r="B61" s="27"/>
      <c r="C61" s="27"/>
      <c r="D61" s="27"/>
      <c r="E61" s="27"/>
      <c r="F61" s="27"/>
      <c r="G61" s="27"/>
      <c r="H61" s="27"/>
    </row>
    <row r="62" spans="1:35">
      <c r="B62" s="46"/>
      <c r="D62" s="46"/>
      <c r="E62" s="46"/>
      <c r="F62" s="46"/>
      <c r="G62" s="46"/>
      <c r="H62" s="46"/>
    </row>
  </sheetData>
  <mergeCells count="4">
    <mergeCell ref="A5:H5"/>
    <mergeCell ref="J5:Q5"/>
    <mergeCell ref="S5:Z5"/>
    <mergeCell ref="AB5:AI5"/>
  </mergeCells>
  <phoneticPr fontId="17" type="noConversion"/>
  <pageMargins left="0" right="0" top="0" bottom="0" header="0.5" footer="0.5"/>
  <pageSetup scale="84" orientation="landscape" horizontalDpi="300" verticalDpi="300" r:id="rId1"/>
  <headerFooter alignWithMargins="0"/>
  <colBreaks count="3" manualBreakCount="3">
    <brk id="9" max="56" man="1"/>
    <brk id="18" max="56" man="1"/>
    <brk id="27" max="5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G51"/>
  <sheetViews>
    <sheetView tabSelected="1" view="pageBreakPreview" topLeftCell="A25" zoomScale="60" zoomScaleNormal="100" workbookViewId="0">
      <selection activeCell="R41" sqref="R41"/>
    </sheetView>
  </sheetViews>
  <sheetFormatPr defaultColWidth="9.140625" defaultRowHeight="15" outlineLevelRow="1"/>
  <cols>
    <col min="1" max="1" width="20" style="135" bestFit="1" customWidth="1"/>
    <col min="2" max="2" width="24.42578125" style="129" bestFit="1" customWidth="1"/>
    <col min="3" max="3" width="17.42578125" style="129" bestFit="1" customWidth="1"/>
    <col min="4" max="4" width="20.85546875" style="129" bestFit="1" customWidth="1"/>
    <col min="5" max="5" width="18.85546875" style="129" bestFit="1" customWidth="1"/>
    <col min="6" max="6" width="18.7109375" style="129" bestFit="1" customWidth="1"/>
    <col min="7" max="7" width="39.140625" style="129" customWidth="1"/>
    <col min="8" max="16384" width="9.140625" style="129"/>
  </cols>
  <sheetData>
    <row r="1" spans="1:7" hidden="1" outlineLevel="1">
      <c r="B1"/>
      <c r="C1"/>
    </row>
    <row r="2" spans="1:7" hidden="1" outlineLevel="1">
      <c r="B2" s="223" t="s">
        <v>1871</v>
      </c>
      <c r="C2" s="223"/>
      <c r="D2" s="223"/>
      <c r="E2" s="223"/>
      <c r="F2" s="223"/>
      <c r="G2" s="223"/>
    </row>
    <row r="3" spans="1:7" hidden="1" outlineLevel="1">
      <c r="B3" s="130" t="s">
        <v>923</v>
      </c>
      <c r="C3" t="s">
        <v>2180</v>
      </c>
      <c r="D3" t="s">
        <v>2181</v>
      </c>
      <c r="E3" s="131" t="s">
        <v>926</v>
      </c>
      <c r="F3" s="131" t="s">
        <v>927</v>
      </c>
      <c r="G3" s="131" t="s">
        <v>928</v>
      </c>
    </row>
    <row r="4" spans="1:7" hidden="1" outlineLevel="1">
      <c r="A4" s="135" t="b">
        <f>B4=B31</f>
        <v>1</v>
      </c>
      <c r="B4" s="91" t="s">
        <v>138</v>
      </c>
      <c r="C4" s="227">
        <v>4322931.37</v>
      </c>
      <c r="D4" s="227">
        <v>234965.06816666666</v>
      </c>
      <c r="E4" s="227">
        <v>402636.23430555948</v>
      </c>
      <c r="F4" s="227">
        <v>637601.30247222609</v>
      </c>
      <c r="G4" s="227">
        <v>3685330.0675277738</v>
      </c>
    </row>
    <row r="5" spans="1:7" hidden="1" outlineLevel="1">
      <c r="A5" s="135" t="b">
        <f t="shared" ref="A5:A22" si="0">B5=B32</f>
        <v>1</v>
      </c>
      <c r="B5" s="91" t="s">
        <v>1852</v>
      </c>
      <c r="C5" s="227">
        <v>1290632.06</v>
      </c>
      <c r="D5" s="227">
        <v>129063.20600000001</v>
      </c>
      <c r="E5" s="227">
        <v>113950.32191667873</v>
      </c>
      <c r="F5" s="227">
        <v>243013.52791667875</v>
      </c>
      <c r="G5" s="227">
        <v>1047618.5320833215</v>
      </c>
    </row>
    <row r="6" spans="1:7" hidden="1" outlineLevel="1">
      <c r="A6" s="135" t="b">
        <f t="shared" si="0"/>
        <v>1</v>
      </c>
      <c r="B6" s="91" t="s">
        <v>929</v>
      </c>
      <c r="C6" s="227">
        <v>551344.33000000007</v>
      </c>
      <c r="D6" s="227">
        <v>78763.475714285698</v>
      </c>
      <c r="E6" s="227">
        <v>101236.49583333891</v>
      </c>
      <c r="F6" s="227">
        <v>179999.97154762459</v>
      </c>
      <c r="G6" s="227">
        <v>371344.35845237534</v>
      </c>
    </row>
    <row r="7" spans="1:7" hidden="1" outlineLevel="1">
      <c r="A7" s="135" t="b">
        <f t="shared" si="0"/>
        <v>1</v>
      </c>
      <c r="B7" s="91" t="s">
        <v>930</v>
      </c>
      <c r="C7" s="227">
        <v>457606.38999999996</v>
      </c>
      <c r="D7" s="227">
        <v>37351.550000000003</v>
      </c>
      <c r="E7" s="227">
        <v>58588.100833337448</v>
      </c>
      <c r="F7" s="227">
        <v>95939.650833337451</v>
      </c>
      <c r="G7" s="227">
        <v>361666.73916666262</v>
      </c>
    </row>
    <row r="8" spans="1:7" hidden="1" outlineLevel="1">
      <c r="A8" s="135" t="b">
        <f t="shared" si="0"/>
        <v>1</v>
      </c>
      <c r="B8" s="91" t="s">
        <v>424</v>
      </c>
      <c r="C8" s="227">
        <v>429692.47000000003</v>
      </c>
      <c r="D8" s="227">
        <v>61384.638571428564</v>
      </c>
      <c r="E8" s="227">
        <v>54405.084523812096</v>
      </c>
      <c r="F8" s="227">
        <v>115789.72309524065</v>
      </c>
      <c r="G8" s="227">
        <v>313902.74690475938</v>
      </c>
    </row>
    <row r="9" spans="1:7" hidden="1" outlineLevel="1">
      <c r="A9" s="135" t="b">
        <f t="shared" si="0"/>
        <v>1</v>
      </c>
      <c r="B9" s="91" t="s">
        <v>1857</v>
      </c>
      <c r="C9" s="227">
        <v>3498333.6400000011</v>
      </c>
      <c r="D9" s="227">
        <v>350552.62600000005</v>
      </c>
      <c r="E9" s="227">
        <v>422852.19541670207</v>
      </c>
      <c r="F9" s="227">
        <v>773404.82141670235</v>
      </c>
      <c r="G9" s="227">
        <v>2724928.8185832985</v>
      </c>
    </row>
    <row r="10" spans="1:7" hidden="1" outlineLevel="1">
      <c r="A10" s="135" t="b">
        <f t="shared" si="0"/>
        <v>1</v>
      </c>
      <c r="B10" s="91" t="s">
        <v>1853</v>
      </c>
      <c r="C10" s="227">
        <v>534.04999999999995</v>
      </c>
      <c r="D10" s="227">
        <v>13.369666666666674</v>
      </c>
      <c r="E10" s="227">
        <v>164.64700000001062</v>
      </c>
      <c r="F10" s="227">
        <v>178.01666666667728</v>
      </c>
      <c r="G10" s="227">
        <v>356.03333333332273</v>
      </c>
    </row>
    <row r="11" spans="1:7" hidden="1" outlineLevel="1">
      <c r="A11" s="135" t="b">
        <f t="shared" si="0"/>
        <v>1</v>
      </c>
      <c r="B11" s="91" t="s">
        <v>932</v>
      </c>
      <c r="C11" s="227">
        <v>146040.34</v>
      </c>
      <c r="D11" s="227">
        <v>27116.256822994208</v>
      </c>
      <c r="E11" s="227">
        <v>64302.27193507216</v>
      </c>
      <c r="F11" s="227">
        <v>91418.528758066372</v>
      </c>
      <c r="G11" s="227">
        <v>54621.811241933625</v>
      </c>
    </row>
    <row r="12" spans="1:7" hidden="1" outlineLevel="1">
      <c r="A12" s="135" t="b">
        <f t="shared" si="0"/>
        <v>1</v>
      </c>
      <c r="B12" s="91" t="s">
        <v>85</v>
      </c>
      <c r="C12" s="131">
        <v>72383.06</v>
      </c>
      <c r="D12" s="131">
        <v>5351.8119999999999</v>
      </c>
      <c r="E12" s="131">
        <v>46646.000000000065</v>
      </c>
      <c r="F12" s="131">
        <v>51997.812000000064</v>
      </c>
      <c r="G12" s="131">
        <v>20385.247999999934</v>
      </c>
    </row>
    <row r="13" spans="1:7" hidden="1" outlineLevel="1">
      <c r="A13" s="135" t="b">
        <f t="shared" si="0"/>
        <v>1</v>
      </c>
      <c r="B13" s="91" t="s">
        <v>275</v>
      </c>
      <c r="C13" s="131">
        <v>3895.7099999999996</v>
      </c>
      <c r="D13" s="131">
        <v>1298.57</v>
      </c>
      <c r="E13" s="131">
        <v>0</v>
      </c>
      <c r="F13" s="131">
        <v>1298.57</v>
      </c>
      <c r="G13" s="131">
        <v>2597.14</v>
      </c>
    </row>
    <row r="14" spans="1:7" hidden="1" outlineLevel="1">
      <c r="A14" s="135" t="b">
        <f t="shared" si="0"/>
        <v>1</v>
      </c>
      <c r="B14" s="91" t="s">
        <v>147</v>
      </c>
      <c r="C14" s="131">
        <v>3303484.4899999993</v>
      </c>
      <c r="D14" s="131">
        <v>324868.82133333327</v>
      </c>
      <c r="E14" s="131">
        <v>65001.825666672827</v>
      </c>
      <c r="F14" s="131">
        <v>389870.64700000611</v>
      </c>
      <c r="G14" s="131">
        <v>2913613.8429999934</v>
      </c>
    </row>
    <row r="15" spans="1:7" hidden="1" outlineLevel="1">
      <c r="A15" s="135" t="b">
        <f t="shared" si="0"/>
        <v>1</v>
      </c>
      <c r="B15" s="91" t="s">
        <v>423</v>
      </c>
      <c r="C15" s="131">
        <v>451079.77999999997</v>
      </c>
      <c r="D15" s="131">
        <v>64439.968571428566</v>
      </c>
      <c r="E15" s="131">
        <v>0</v>
      </c>
      <c r="F15" s="131">
        <v>64439.968571428566</v>
      </c>
      <c r="G15" s="131">
        <v>386639.81142857141</v>
      </c>
    </row>
    <row r="16" spans="1:7" hidden="1" outlineLevel="1">
      <c r="A16" s="135" t="b">
        <f t="shared" si="0"/>
        <v>1</v>
      </c>
      <c r="B16" s="91" t="s">
        <v>1854</v>
      </c>
      <c r="C16" s="131">
        <v>191756.43</v>
      </c>
      <c r="D16" s="131">
        <v>15077.67083333333</v>
      </c>
      <c r="E16" s="131">
        <v>11793.791250000002</v>
      </c>
      <c r="F16" s="131">
        <v>26871.462083333328</v>
      </c>
      <c r="G16" s="131">
        <v>164884.9679166667</v>
      </c>
    </row>
    <row r="17" spans="1:7" hidden="1" outlineLevel="1">
      <c r="A17" s="135" t="b">
        <f t="shared" si="0"/>
        <v>1</v>
      </c>
      <c r="B17" s="91" t="s">
        <v>287</v>
      </c>
      <c r="C17" s="131">
        <v>456375.43</v>
      </c>
      <c r="D17" s="131">
        <v>20560.648999999998</v>
      </c>
      <c r="E17" s="131">
        <v>250768.94</v>
      </c>
      <c r="F17" s="131">
        <v>271329.58900000004</v>
      </c>
      <c r="G17" s="131">
        <v>185045.84100000001</v>
      </c>
    </row>
    <row r="18" spans="1:7" hidden="1" outlineLevel="1">
      <c r="A18" s="135" t="b">
        <f t="shared" si="0"/>
        <v>1</v>
      </c>
      <c r="B18" s="91" t="s">
        <v>274</v>
      </c>
      <c r="C18" s="131">
        <v>106651.75</v>
      </c>
      <c r="D18" s="131">
        <v>9256.2933333333331</v>
      </c>
      <c r="E18" s="131">
        <v>73483.365555556258</v>
      </c>
      <c r="F18" s="131">
        <v>82739.658888889593</v>
      </c>
      <c r="G18" s="131">
        <v>23912.091111110407</v>
      </c>
    </row>
    <row r="19" spans="1:7" hidden="1" outlineLevel="1">
      <c r="A19" s="135" t="b">
        <f t="shared" si="0"/>
        <v>1</v>
      </c>
      <c r="B19" s="91" t="s">
        <v>269</v>
      </c>
      <c r="C19" s="131">
        <v>176695</v>
      </c>
      <c r="D19" s="131">
        <v>12182.916666666668</v>
      </c>
      <c r="E19" s="131">
        <v>31261.805555555904</v>
      </c>
      <c r="F19" s="131">
        <v>43444.722222222576</v>
      </c>
      <c r="G19" s="131">
        <v>133250.27777777743</v>
      </c>
    </row>
    <row r="20" spans="1:7" hidden="1" outlineLevel="1">
      <c r="A20" s="135" t="b">
        <f t="shared" si="0"/>
        <v>1</v>
      </c>
      <c r="B20" s="91" t="s">
        <v>913</v>
      </c>
      <c r="C20" s="131">
        <v>25250.39</v>
      </c>
      <c r="D20" s="131">
        <v>2525.0389999999998</v>
      </c>
      <c r="E20" s="131">
        <v>841.6796666670507</v>
      </c>
      <c r="F20" s="131">
        <v>3366.7186666670505</v>
      </c>
      <c r="G20" s="131">
        <v>21883.671333332946</v>
      </c>
    </row>
    <row r="21" spans="1:7" hidden="1" outlineLevel="1">
      <c r="A21" s="135" t="b">
        <f t="shared" si="0"/>
        <v>1</v>
      </c>
      <c r="B21" s="91" t="s">
        <v>2301</v>
      </c>
      <c r="C21" s="131">
        <v>507567.02000000008</v>
      </c>
      <c r="D21" s="131">
        <v>72509.574285714261</v>
      </c>
      <c r="E21" s="131">
        <v>66503.49309524156</v>
      </c>
      <c r="F21" s="131">
        <v>139013.06738095585</v>
      </c>
      <c r="G21" s="131">
        <v>368553.95261904417</v>
      </c>
    </row>
    <row r="22" spans="1:7" hidden="1" outlineLevel="1">
      <c r="A22" s="135" t="b">
        <f t="shared" si="0"/>
        <v>1</v>
      </c>
      <c r="B22" s="91" t="s">
        <v>934</v>
      </c>
      <c r="C22" s="131">
        <v>15992253.709999999</v>
      </c>
      <c r="D22" s="131">
        <v>1447281.5059658515</v>
      </c>
      <c r="E22" s="131">
        <v>1764436.2525541945</v>
      </c>
      <c r="F22" s="131">
        <v>3211717.7585200453</v>
      </c>
      <c r="G22" s="131">
        <v>12780535.951479957</v>
      </c>
    </row>
    <row r="23" spans="1:7" hidden="1" outlineLevel="1">
      <c r="B23"/>
      <c r="C23"/>
      <c r="D23"/>
      <c r="E23"/>
      <c r="F23"/>
      <c r="G23"/>
    </row>
    <row r="24" spans="1:7" hidden="1" outlineLevel="1">
      <c r="B24"/>
      <c r="C24"/>
      <c r="D24"/>
      <c r="E24"/>
      <c r="F24"/>
      <c r="G24"/>
    </row>
    <row r="25" spans="1:7" collapsed="1">
      <c r="B25"/>
      <c r="C25"/>
      <c r="D25"/>
      <c r="E25"/>
      <c r="F25"/>
      <c r="G25"/>
    </row>
    <row r="26" spans="1:7">
      <c r="B26"/>
      <c r="C26"/>
      <c r="D26"/>
      <c r="E26"/>
      <c r="F26"/>
      <c r="G26"/>
    </row>
    <row r="27" spans="1:7">
      <c r="B27"/>
      <c r="C27"/>
      <c r="D27"/>
      <c r="E27"/>
      <c r="F27"/>
      <c r="G27"/>
    </row>
    <row r="28" spans="1:7">
      <c r="B28" s="91"/>
      <c r="C28" s="131"/>
      <c r="D28" s="131"/>
      <c r="E28" s="131"/>
      <c r="F28" s="131"/>
      <c r="G28" s="131"/>
    </row>
    <row r="29" spans="1:7">
      <c r="B29" s="222" t="s">
        <v>1870</v>
      </c>
      <c r="C29" s="222"/>
      <c r="D29" s="222"/>
      <c r="E29" s="222"/>
      <c r="F29" s="222"/>
      <c r="G29" s="222"/>
    </row>
    <row r="30" spans="1:7">
      <c r="A30" s="134" t="s">
        <v>1872</v>
      </c>
      <c r="B30" s="144" t="s">
        <v>923</v>
      </c>
      <c r="C30" s="145" t="s">
        <v>924</v>
      </c>
      <c r="D30" s="145" t="s">
        <v>925</v>
      </c>
      <c r="E30" s="145" t="s">
        <v>926</v>
      </c>
      <c r="F30" s="145" t="s">
        <v>927</v>
      </c>
      <c r="G30" s="145" t="s">
        <v>928</v>
      </c>
    </row>
    <row r="31" spans="1:7">
      <c r="A31" s="135" t="s">
        <v>917</v>
      </c>
      <c r="B31" s="91" t="s">
        <v>138</v>
      </c>
      <c r="C31" s="227">
        <v>4322931.37</v>
      </c>
      <c r="D31" s="227">
        <v>234965.06816666666</v>
      </c>
      <c r="E31" s="227">
        <v>402636.23430555948</v>
      </c>
      <c r="F31" s="227">
        <v>637601.30247222609</v>
      </c>
      <c r="G31" s="227">
        <v>3685330.0675277738</v>
      </c>
    </row>
    <row r="32" spans="1:7">
      <c r="A32" s="135" t="s">
        <v>147</v>
      </c>
      <c r="B32" s="91" t="s">
        <v>1852</v>
      </c>
      <c r="C32" s="227">
        <v>1290632.06</v>
      </c>
      <c r="D32" s="227">
        <v>129063.20600000001</v>
      </c>
      <c r="E32" s="227">
        <v>113950.32191667873</v>
      </c>
      <c r="F32" s="227">
        <v>243013.52791667875</v>
      </c>
      <c r="G32" s="227">
        <v>1047618.5320833215</v>
      </c>
    </row>
    <row r="33" spans="1:7">
      <c r="A33" s="135" t="s">
        <v>423</v>
      </c>
      <c r="B33" s="91" t="s">
        <v>929</v>
      </c>
      <c r="C33" s="227">
        <v>551344.33000000007</v>
      </c>
      <c r="D33" s="227">
        <v>78763.475714285698</v>
      </c>
      <c r="E33" s="227">
        <v>101236.49583333891</v>
      </c>
      <c r="F33" s="227">
        <v>179999.97154762459</v>
      </c>
      <c r="G33" s="227">
        <v>371344.35845237534</v>
      </c>
    </row>
    <row r="34" spans="1:7">
      <c r="A34" s="135" t="s">
        <v>1854</v>
      </c>
      <c r="B34" s="91" t="s">
        <v>930</v>
      </c>
      <c r="C34" s="227">
        <v>457606.38999999996</v>
      </c>
      <c r="D34" s="227">
        <v>37351.550000000003</v>
      </c>
      <c r="E34" s="227">
        <v>58588.100833337448</v>
      </c>
      <c r="F34" s="227">
        <v>95939.650833337451</v>
      </c>
      <c r="G34" s="227">
        <v>361666.73916666262</v>
      </c>
    </row>
    <row r="35" spans="1:7">
      <c r="A35" s="135" t="s">
        <v>424</v>
      </c>
      <c r="B35" s="91" t="s">
        <v>424</v>
      </c>
      <c r="C35" s="227">
        <v>429692.47000000003</v>
      </c>
      <c r="D35" s="227">
        <v>61384.638571428564</v>
      </c>
      <c r="E35" s="227">
        <v>54405.084523812096</v>
      </c>
      <c r="F35" s="227">
        <v>115789.72309524065</v>
      </c>
      <c r="G35" s="227">
        <v>313902.74690475938</v>
      </c>
    </row>
    <row r="36" spans="1:7">
      <c r="A36" s="135" t="s">
        <v>147</v>
      </c>
      <c r="B36" s="91" t="s">
        <v>1857</v>
      </c>
      <c r="C36" s="227">
        <v>3498333.6400000011</v>
      </c>
      <c r="D36" s="227">
        <v>350552.62600000005</v>
      </c>
      <c r="E36" s="227">
        <v>422852.19541670207</v>
      </c>
      <c r="F36" s="227">
        <v>773404.82141670235</v>
      </c>
      <c r="G36" s="227">
        <v>2724928.8185832985</v>
      </c>
    </row>
    <row r="37" spans="1:7">
      <c r="A37" s="135" t="s">
        <v>22</v>
      </c>
      <c r="B37" s="91" t="s">
        <v>1853</v>
      </c>
      <c r="C37" s="227">
        <v>534.04999999999995</v>
      </c>
      <c r="D37" s="227">
        <v>13.369666666666674</v>
      </c>
      <c r="E37" s="227">
        <v>164.64700000001062</v>
      </c>
      <c r="F37" s="227">
        <v>178.01666666667728</v>
      </c>
      <c r="G37" s="227">
        <v>356.03333333332273</v>
      </c>
    </row>
    <row r="38" spans="1:7">
      <c r="A38" s="135" t="s">
        <v>274</v>
      </c>
      <c r="B38" s="91" t="s">
        <v>932</v>
      </c>
      <c r="C38" s="227">
        <v>146040.34</v>
      </c>
      <c r="D38" s="227">
        <v>27116.256822994208</v>
      </c>
      <c r="E38" s="227">
        <v>64302.27193507216</v>
      </c>
      <c r="F38" s="227">
        <v>91418.528758066372</v>
      </c>
      <c r="G38" s="227">
        <v>54621.811241933625</v>
      </c>
    </row>
    <row r="39" spans="1:7">
      <c r="A39" s="197" t="s">
        <v>85</v>
      </c>
      <c r="B39" s="91" t="s">
        <v>85</v>
      </c>
      <c r="C39" s="131">
        <v>72383.06</v>
      </c>
      <c r="D39" s="131">
        <v>5351.8119999999999</v>
      </c>
      <c r="E39" s="131">
        <v>46646.000000000065</v>
      </c>
      <c r="F39" s="131">
        <v>51997.812000000064</v>
      </c>
      <c r="G39" s="131">
        <v>20385.247999999934</v>
      </c>
    </row>
    <row r="40" spans="1:7">
      <c r="A40" s="197" t="s">
        <v>275</v>
      </c>
      <c r="B40" s="91" t="s">
        <v>275</v>
      </c>
      <c r="C40" s="131">
        <v>3895.7099999999996</v>
      </c>
      <c r="D40" s="131">
        <v>1298.57</v>
      </c>
      <c r="E40" s="131">
        <v>0</v>
      </c>
      <c r="F40" s="131">
        <v>1298.57</v>
      </c>
      <c r="G40" s="131">
        <v>2597.14</v>
      </c>
    </row>
    <row r="41" spans="1:7">
      <c r="A41" s="18" t="s">
        <v>147</v>
      </c>
      <c r="B41" s="91" t="s">
        <v>147</v>
      </c>
      <c r="C41" s="131">
        <v>3303484.4899999993</v>
      </c>
      <c r="D41" s="131">
        <v>324868.82133333327</v>
      </c>
      <c r="E41" s="131">
        <v>65001.825666672827</v>
      </c>
      <c r="F41" s="131">
        <v>389870.64700000611</v>
      </c>
      <c r="G41" s="131">
        <v>2913613.8429999934</v>
      </c>
    </row>
    <row r="42" spans="1:7">
      <c r="A42" s="18" t="s">
        <v>423</v>
      </c>
      <c r="B42" s="91" t="s">
        <v>423</v>
      </c>
      <c r="C42" s="131">
        <v>451079.77999999997</v>
      </c>
      <c r="D42" s="131">
        <v>64439.968571428566</v>
      </c>
      <c r="E42" s="131">
        <v>0</v>
      </c>
      <c r="F42" s="131">
        <v>64439.968571428566</v>
      </c>
      <c r="G42" s="131">
        <v>386639.81142857141</v>
      </c>
    </row>
    <row r="43" spans="1:7">
      <c r="A43" s="38" t="s">
        <v>1854</v>
      </c>
      <c r="B43" s="91" t="s">
        <v>1854</v>
      </c>
      <c r="C43" s="131">
        <v>191756.43</v>
      </c>
      <c r="D43" s="131">
        <v>15077.67083333333</v>
      </c>
      <c r="E43" s="131">
        <v>11793.791250000002</v>
      </c>
      <c r="F43" s="131">
        <v>26871.462083333328</v>
      </c>
      <c r="G43" s="131">
        <v>164884.9679166667</v>
      </c>
    </row>
    <row r="44" spans="1:7">
      <c r="A44" s="38" t="s">
        <v>287</v>
      </c>
      <c r="B44" s="91" t="s">
        <v>287</v>
      </c>
      <c r="C44" s="131">
        <v>456375.43</v>
      </c>
      <c r="D44" s="131">
        <v>20560.648999999998</v>
      </c>
      <c r="E44" s="131">
        <v>250768.94</v>
      </c>
      <c r="F44" s="131">
        <v>271329.58900000004</v>
      </c>
      <c r="G44" s="131">
        <v>185045.84100000001</v>
      </c>
    </row>
    <row r="45" spans="1:7">
      <c r="A45" s="91" t="s">
        <v>274</v>
      </c>
      <c r="B45" s="91" t="s">
        <v>274</v>
      </c>
      <c r="C45" s="131">
        <v>106651.75</v>
      </c>
      <c r="D45" s="131">
        <v>9256.2933333333331</v>
      </c>
      <c r="E45" s="131">
        <v>73483.365555556258</v>
      </c>
      <c r="F45" s="131">
        <v>82739.658888889593</v>
      </c>
      <c r="G45" s="131">
        <v>23912.091111110407</v>
      </c>
    </row>
    <row r="46" spans="1:7">
      <c r="A46" s="91" t="s">
        <v>269</v>
      </c>
      <c r="B46" s="91" t="s">
        <v>269</v>
      </c>
      <c r="C46" s="131">
        <v>176695</v>
      </c>
      <c r="D46" s="131">
        <v>12182.916666666668</v>
      </c>
      <c r="E46" s="131">
        <v>31261.805555555904</v>
      </c>
      <c r="F46" s="131">
        <v>43444.722222222576</v>
      </c>
      <c r="G46" s="131">
        <v>133250.27777777743</v>
      </c>
    </row>
    <row r="47" spans="1:7">
      <c r="A47" s="91" t="s">
        <v>913</v>
      </c>
      <c r="B47" s="91" t="s">
        <v>913</v>
      </c>
      <c r="C47" s="131">
        <v>25250.39</v>
      </c>
      <c r="D47" s="131">
        <v>2525.0389999999998</v>
      </c>
      <c r="E47" s="131">
        <v>841.6796666670507</v>
      </c>
      <c r="F47" s="131">
        <v>3366.7186666670505</v>
      </c>
      <c r="G47" s="131">
        <v>21883.671333332946</v>
      </c>
    </row>
    <row r="48" spans="1:7">
      <c r="A48" s="18" t="s">
        <v>2301</v>
      </c>
      <c r="B48" s="91" t="s">
        <v>2301</v>
      </c>
      <c r="C48" s="131">
        <v>507567.02000000008</v>
      </c>
      <c r="D48" s="131">
        <v>72509.574285714261</v>
      </c>
      <c r="E48" s="131">
        <v>66503.49309524156</v>
      </c>
      <c r="F48" s="131">
        <v>139013.06738095585</v>
      </c>
      <c r="G48" s="131">
        <v>368553.95261904417</v>
      </c>
    </row>
    <row r="49" spans="1:7">
      <c r="A49" s="18"/>
      <c r="B49" s="215" t="s">
        <v>934</v>
      </c>
      <c r="C49" s="216">
        <v>15992253.709999999</v>
      </c>
      <c r="D49" s="216">
        <v>1447281.5059658515</v>
      </c>
      <c r="E49" s="216">
        <v>1764436.2525541945</v>
      </c>
      <c r="F49" s="216">
        <v>3211717.7585200453</v>
      </c>
      <c r="G49" s="216">
        <v>12780535.951479957</v>
      </c>
    </row>
    <row r="51" spans="1:7">
      <c r="C51" s="217"/>
      <c r="D51" s="217"/>
      <c r="E51" s="217"/>
      <c r="F51" s="217"/>
      <c r="G51" s="217"/>
    </row>
  </sheetData>
  <mergeCells count="2">
    <mergeCell ref="B29:G29"/>
    <mergeCell ref="B2:G2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8F9E0-8F91-4145-8C7F-A83822817E9F}">
  <sheetPr codeName="Sheet1" filterMode="1">
    <tabColor rgb="FFFFFF00"/>
    <pageSetUpPr fitToPage="1"/>
  </sheetPr>
  <dimension ref="B1:BC925"/>
  <sheetViews>
    <sheetView tabSelected="1" view="pageBreakPreview" topLeftCell="A133" zoomScale="60" zoomScaleNormal="100" workbookViewId="0">
      <selection activeCell="R41" sqref="R41"/>
    </sheetView>
  </sheetViews>
  <sheetFormatPr defaultColWidth="9.140625" defaultRowHeight="15" outlineLevelCol="1"/>
  <cols>
    <col min="1" max="1" width="1.7109375" style="146" customWidth="1"/>
    <col min="2" max="3" width="9.7109375" style="146" customWidth="1"/>
    <col min="4" max="4" width="15" style="146" customWidth="1"/>
    <col min="5" max="5" width="13.85546875" style="146" customWidth="1"/>
    <col min="6" max="6" width="12.7109375" style="146" customWidth="1"/>
    <col min="7" max="7" width="15.7109375" style="146" customWidth="1"/>
    <col min="8" max="8" width="12.7109375" style="146" customWidth="1" outlineLevel="1"/>
    <col min="9" max="9" width="9.7109375" style="146" customWidth="1" outlineLevel="1"/>
    <col min="10" max="10" width="24.7109375" style="146" customWidth="1" outlineLevel="1"/>
    <col min="11" max="11" width="9.7109375" style="146" customWidth="1" outlineLevel="1"/>
    <col min="12" max="13" width="15.7109375" style="146" customWidth="1" outlineLevel="1"/>
    <col min="14" max="14" width="17.28515625" style="146" customWidth="1" outlineLevel="1"/>
    <col min="15" max="15" width="17.7109375" style="146" customWidth="1" outlineLevel="1"/>
    <col min="16" max="16" width="15.7109375" style="146" customWidth="1" outlineLevel="1"/>
    <col min="17" max="17" width="9.7109375" style="146" customWidth="1" outlineLevel="1"/>
    <col min="18" max="18" width="15.7109375" style="146" customWidth="1" outlineLevel="1"/>
    <col min="19" max="20" width="10.7109375" style="146" customWidth="1" outlineLevel="1"/>
    <col min="21" max="21" width="19.140625" style="146" customWidth="1" outlineLevel="1"/>
    <col min="22" max="23" width="9.7109375" style="146" customWidth="1" outlineLevel="1"/>
    <col min="24" max="24" width="14.7109375" style="146" customWidth="1" outlineLevel="1"/>
    <col min="25" max="25" width="9.7109375" style="146" customWidth="1" outlineLevel="1"/>
    <col min="26" max="27" width="14.7109375" style="146" customWidth="1" outlineLevel="1"/>
    <col min="28" max="28" width="14.7109375" style="147" customWidth="1" outlineLevel="1"/>
    <col min="29" max="29" width="16.85546875" style="146" bestFit="1" customWidth="1" outlineLevel="1"/>
    <col min="30" max="30" width="14.7109375" style="146" customWidth="1" outlineLevel="1"/>
    <col min="31" max="36" width="9.140625" style="146" customWidth="1" outlineLevel="1"/>
    <col min="37" max="37" width="9.140625" style="146"/>
    <col min="38" max="38" width="21.85546875" style="146" customWidth="1"/>
    <col min="39" max="39" width="11.85546875" style="146" customWidth="1"/>
    <col min="40" max="46" width="9.140625" style="146"/>
    <col min="47" max="49" width="9.5703125" style="146" bestFit="1" customWidth="1"/>
    <col min="50" max="16384" width="9.140625" style="146"/>
  </cols>
  <sheetData>
    <row r="1" spans="2:55">
      <c r="B1" s="146" t="s">
        <v>945</v>
      </c>
      <c r="C1" s="146" t="s">
        <v>946</v>
      </c>
      <c r="D1" s="146" t="s">
        <v>947</v>
      </c>
      <c r="E1" s="146" t="s">
        <v>1988</v>
      </c>
      <c r="F1" s="146" t="s">
        <v>948</v>
      </c>
      <c r="I1" s="146" t="s">
        <v>1989</v>
      </c>
      <c r="J1" s="146" t="s">
        <v>949</v>
      </c>
      <c r="K1" s="146" t="s">
        <v>950</v>
      </c>
      <c r="L1" s="146" t="s">
        <v>951</v>
      </c>
      <c r="M1" s="146" t="s">
        <v>952</v>
      </c>
      <c r="N1" s="146" t="s">
        <v>1990</v>
      </c>
      <c r="O1" s="146" t="s">
        <v>1991</v>
      </c>
      <c r="P1" s="146" t="s">
        <v>953</v>
      </c>
      <c r="Q1" s="146" t="s">
        <v>1992</v>
      </c>
      <c r="R1" s="146" t="s">
        <v>1993</v>
      </c>
      <c r="S1" s="146" t="s">
        <v>954</v>
      </c>
      <c r="T1" s="146" t="s">
        <v>955</v>
      </c>
      <c r="U1" s="146" t="s">
        <v>956</v>
      </c>
      <c r="V1" s="146" t="s">
        <v>957</v>
      </c>
      <c r="W1" s="146" t="s">
        <v>958</v>
      </c>
      <c r="X1" s="146" t="s">
        <v>959</v>
      </c>
      <c r="Y1" s="146" t="s">
        <v>960</v>
      </c>
      <c r="Z1" s="146" t="s">
        <v>961</v>
      </c>
      <c r="AB1" s="147" t="s">
        <v>962</v>
      </c>
      <c r="AC1" s="146" t="s">
        <v>963</v>
      </c>
      <c r="AD1" s="146" t="s">
        <v>964</v>
      </c>
      <c r="AE1" s="146" t="s">
        <v>965</v>
      </c>
      <c r="AF1" s="146" t="s">
        <v>966</v>
      </c>
      <c r="AG1" s="146" t="s">
        <v>967</v>
      </c>
      <c r="AH1" s="146" t="s">
        <v>968</v>
      </c>
      <c r="AI1" s="146" t="s">
        <v>969</v>
      </c>
      <c r="AJ1" s="146" t="s">
        <v>1994</v>
      </c>
      <c r="AK1" s="146" t="s">
        <v>1995</v>
      </c>
      <c r="AL1" s="146" t="s">
        <v>1996</v>
      </c>
    </row>
    <row r="2" spans="2:55">
      <c r="B2" s="148"/>
      <c r="C2" s="149"/>
      <c r="D2" s="148"/>
      <c r="E2" s="150"/>
      <c r="F2" s="224"/>
      <c r="G2" s="224"/>
      <c r="H2" s="224"/>
      <c r="I2" s="148"/>
      <c r="J2" s="150"/>
      <c r="K2" s="148"/>
      <c r="L2" s="150"/>
      <c r="M2" s="150"/>
      <c r="N2" s="150"/>
      <c r="O2" s="150"/>
      <c r="P2" s="150"/>
      <c r="Q2" s="150"/>
      <c r="R2" s="150"/>
      <c r="S2" s="151"/>
      <c r="T2" s="151"/>
      <c r="U2" s="150"/>
      <c r="V2" s="148"/>
      <c r="W2" s="148"/>
      <c r="X2" s="152"/>
      <c r="Y2" s="148"/>
      <c r="Z2" s="152"/>
      <c r="AA2" s="152">
        <f>+X2-Z2</f>
        <v>0</v>
      </c>
      <c r="AB2" s="152"/>
      <c r="AC2" s="148"/>
      <c r="AD2" s="152"/>
      <c r="AE2" s="148"/>
      <c r="AF2" s="150"/>
      <c r="AG2" s="150"/>
      <c r="AH2" s="150"/>
      <c r="AI2" s="150"/>
      <c r="AJ2" s="150"/>
      <c r="AK2" s="150"/>
      <c r="AL2" s="150"/>
    </row>
    <row r="3" spans="2:55">
      <c r="B3" s="146" t="str">
        <f ca="1">_xll.ReportRange("FARReport",A17:AL917,A1:AL1,A2:AL2,_xll.Param($C$13,$C$14,C15,$J$13,$J$14,$J$15,$G$14,O15,$P$13,$P$14,M13,M14,$G$15,CELL("address",$D$10)),TRUE,FALSE)</f>
        <v>OK!: ReportRange Formula OK [jAction{}]</v>
      </c>
      <c r="F3" s="146" t="str">
        <f ca="1">_xll.ReportDrill([22]ProjDepr!D3,,_xll.PairGroup(_xll.Pair('FAR 04.2024'!C13,[22]ProjDepr!D19),_xll.Pair("C:B",[22]ProjDepr!D20),_xll.Pair("C:C",[22]ProjDepr!D21),_xll.Pair("C:W",[22]ProjDepr!D22)),"Projected Depr")</f>
        <v>OK!: ReportDrill 'Projected Depr' Formula OK [jAction{}]</v>
      </c>
      <c r="N3" s="153" t="s">
        <v>1997</v>
      </c>
      <c r="O3" s="154">
        <f ca="1">MONTH(NOW())</f>
        <v>6</v>
      </c>
    </row>
    <row r="4" spans="2:55">
      <c r="B4" s="146" t="str">
        <f ca="1">_xll.jFreezePanes(E17,A8)</f>
        <v xml:space="preserve">&gt; jFreezePanes is ready. </v>
      </c>
      <c r="F4" s="155" t="str">
        <f ca="1">_xll.ReportDrill([22]Invoice!$C$2,,_xll.PairGroup(_xll.Pair("C:U",[22]Invoice!$E$7),_xll.Pair("",[22]Invoice!$E$8,"N"),_xll.Pair("",[22]Invoice!$E$9,"n")),"Drill To All Invoices by PO#")</f>
        <v>OK!: ReportDrill 'Drill To All Invoices by PO#' Formula OK [jAction{}]</v>
      </c>
      <c r="N4" s="153" t="s">
        <v>1998</v>
      </c>
      <c r="O4" s="154">
        <f ca="1">IF(O3=12,YEAR(NOW()),YEAR(NOW()))</f>
        <v>2024</v>
      </c>
      <c r="Q4" s="156"/>
      <c r="R4" s="156"/>
      <c r="W4" s="155"/>
      <c r="Y4" s="155"/>
      <c r="AA4" s="155"/>
      <c r="AB4" s="157"/>
    </row>
    <row r="5" spans="2:55">
      <c r="B5" s="146" t="str">
        <f ca="1">_xll.jFocus(C13)</f>
        <v xml:space="preserve">&gt; jFocus is ready. </v>
      </c>
      <c r="F5" s="155" t="str">
        <f ca="1">_xll.ReportDrill([22]Invoice!$C$2,,_xll.PairGroup(_xll.Pair("C:U",[22]Invoice!$E$7),_xll.Pair("",[22]Invoice!$E$8,"N"),_xll.Pair("C:AE",[22]Invoice!$E$9,"n")),"Drill to Invoice by PO# and Invoice #")</f>
        <v>OK!: ReportDrill 'Drill to Invoice by PO# and Invoice #' Formula OK [jAction{}]</v>
      </c>
      <c r="M5" s="158"/>
      <c r="N5" s="158"/>
      <c r="P5" s="156"/>
      <c r="Q5" s="156"/>
      <c r="R5" s="156"/>
      <c r="W5" s="155"/>
      <c r="X5" s="155"/>
      <c r="Y5" s="155"/>
      <c r="Z5" s="155"/>
      <c r="AA5" s="155"/>
      <c r="AB5" s="157"/>
      <c r="AC5" s="155"/>
    </row>
    <row r="6" spans="2:55">
      <c r="M6" s="158"/>
      <c r="N6" s="158"/>
      <c r="O6" s="155"/>
      <c r="P6" s="156"/>
      <c r="Q6" s="156"/>
      <c r="R6" s="156"/>
      <c r="W6" s="155"/>
      <c r="X6" s="155"/>
      <c r="Y6" s="155"/>
      <c r="Z6" s="155"/>
      <c r="AA6" s="155"/>
      <c r="AB6" s="157"/>
      <c r="AC6" s="155"/>
    </row>
    <row r="7" spans="2:55" ht="15.75" thickBot="1">
      <c r="AB7" s="146"/>
    </row>
    <row r="8" spans="2:55" ht="9.9499999999999993" customHeight="1">
      <c r="B8" s="159"/>
      <c r="C8" s="160"/>
      <c r="D8" s="160"/>
      <c r="E8" s="160"/>
      <c r="F8" s="160"/>
      <c r="G8" s="160"/>
      <c r="H8" s="160"/>
      <c r="I8" s="161"/>
      <c r="J8" s="162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3"/>
      <c r="AB8" s="160"/>
      <c r="AC8" s="160"/>
      <c r="AD8" s="160"/>
      <c r="AE8" s="160"/>
      <c r="AF8" s="160"/>
      <c r="AG8" s="160"/>
      <c r="AH8" s="160"/>
      <c r="AI8" s="160"/>
      <c r="AJ8" s="160"/>
      <c r="AK8" s="139">
        <v>5</v>
      </c>
      <c r="AL8" s="164" t="s">
        <v>1987</v>
      </c>
    </row>
    <row r="9" spans="2:55" ht="18.75">
      <c r="B9" s="165" t="s">
        <v>970</v>
      </c>
      <c r="C9" s="166"/>
      <c r="D9" s="166"/>
      <c r="E9" s="166"/>
      <c r="F9" s="166"/>
      <c r="G9" s="166"/>
      <c r="H9" s="166"/>
      <c r="I9" s="167"/>
      <c r="J9" s="167"/>
      <c r="K9" s="167"/>
      <c r="L9" s="166"/>
      <c r="M9" s="167"/>
      <c r="N9" s="167"/>
      <c r="O9" s="167"/>
      <c r="P9" s="166"/>
      <c r="Q9" s="167"/>
      <c r="R9" s="167"/>
      <c r="S9" s="166"/>
      <c r="T9" s="167"/>
      <c r="U9" s="167"/>
      <c r="V9" s="167"/>
      <c r="W9" s="166"/>
      <c r="X9" s="167"/>
      <c r="Y9" s="167"/>
      <c r="Z9" s="167"/>
      <c r="AA9" s="168"/>
      <c r="AB9" s="166"/>
      <c r="AC9" s="166"/>
      <c r="AD9" s="166"/>
      <c r="AE9" s="166"/>
      <c r="AF9" s="166"/>
      <c r="AG9" s="166"/>
      <c r="AH9" s="166"/>
      <c r="AI9" s="166"/>
      <c r="AJ9" s="166"/>
      <c r="AK9" s="139">
        <v>4</v>
      </c>
      <c r="AL9" s="164" t="s">
        <v>1986</v>
      </c>
    </row>
    <row r="10" spans="2:55">
      <c r="B10" s="169" t="s">
        <v>1999</v>
      </c>
      <c r="C10" s="166"/>
      <c r="D10" s="170">
        <v>45391</v>
      </c>
      <c r="E10" s="166"/>
      <c r="F10" s="166"/>
      <c r="G10" s="166"/>
      <c r="H10" s="166"/>
      <c r="I10" s="167"/>
      <c r="J10" s="167"/>
      <c r="K10" s="167"/>
      <c r="L10" s="166"/>
      <c r="M10" s="167"/>
      <c r="N10" s="167"/>
      <c r="O10" s="167"/>
      <c r="P10" s="166"/>
      <c r="Q10" s="167"/>
      <c r="R10" s="167"/>
      <c r="S10" s="166"/>
      <c r="T10" s="167"/>
      <c r="U10" s="167"/>
      <c r="V10" s="167"/>
      <c r="W10" s="166"/>
      <c r="X10" s="167"/>
      <c r="Y10" s="167"/>
      <c r="Z10" s="167"/>
      <c r="AA10" s="166"/>
      <c r="AB10" s="168"/>
      <c r="AC10" s="166"/>
      <c r="AD10" s="166"/>
      <c r="AE10" s="166"/>
      <c r="AF10" s="166"/>
      <c r="AG10" s="166"/>
      <c r="AH10" s="166"/>
      <c r="AI10" s="166"/>
      <c r="AJ10" s="166"/>
      <c r="AK10" s="138">
        <v>2023</v>
      </c>
      <c r="AL10" s="164" t="s">
        <v>742</v>
      </c>
    </row>
    <row r="11" spans="2:55">
      <c r="B11" s="169" t="s">
        <v>2000</v>
      </c>
      <c r="C11" s="166"/>
      <c r="D11" s="171">
        <f>COUNT(C17:C917)</f>
        <v>901</v>
      </c>
      <c r="E11" s="166"/>
      <c r="F11" s="166"/>
      <c r="G11" s="166"/>
      <c r="H11" s="166"/>
      <c r="I11" s="167"/>
      <c r="J11" s="167"/>
      <c r="K11" s="167"/>
      <c r="L11" s="166"/>
      <c r="M11" s="167"/>
      <c r="N11" s="167"/>
      <c r="O11" s="167"/>
      <c r="P11" s="166"/>
      <c r="Q11" s="167"/>
      <c r="R11" s="167"/>
      <c r="S11" s="166"/>
      <c r="T11" s="167"/>
      <c r="U11" s="167"/>
      <c r="V11" s="167"/>
      <c r="W11" s="166"/>
      <c r="X11" s="166"/>
      <c r="Y11" s="166"/>
      <c r="Z11" s="166"/>
      <c r="AA11" s="166"/>
      <c r="AB11" s="168"/>
      <c r="AC11" s="166"/>
      <c r="AD11" s="166"/>
      <c r="AE11" s="166"/>
      <c r="AF11" s="166"/>
      <c r="AG11" s="166"/>
      <c r="AH11" s="166"/>
      <c r="AI11" s="166"/>
      <c r="AJ11" s="166"/>
      <c r="AK11" s="138">
        <v>2024</v>
      </c>
      <c r="AL11" s="164" t="s">
        <v>34</v>
      </c>
    </row>
    <row r="12" spans="2:55">
      <c r="B12" s="169"/>
      <c r="C12" s="166"/>
      <c r="D12" s="166"/>
      <c r="E12" s="166"/>
      <c r="F12" s="166"/>
      <c r="G12" s="166"/>
      <c r="H12" s="166"/>
      <c r="I12" s="166"/>
      <c r="J12" s="166"/>
      <c r="K12" s="166"/>
      <c r="L12" s="167"/>
      <c r="M12" s="167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8"/>
      <c r="AC12" s="166"/>
      <c r="AD12" s="166"/>
      <c r="AE12" s="166"/>
      <c r="AF12" s="166"/>
      <c r="AG12" s="166"/>
      <c r="AH12" s="166"/>
      <c r="AI12" s="166"/>
      <c r="AJ12" s="166"/>
      <c r="AK12" s="137">
        <f>+AK11+(AK9/12)</f>
        <v>2024.3333333333333</v>
      </c>
      <c r="AL12" s="164" t="s">
        <v>1985</v>
      </c>
    </row>
    <row r="13" spans="2:55">
      <c r="B13" s="172" t="s">
        <v>2001</v>
      </c>
      <c r="C13" s="225" t="s">
        <v>2266</v>
      </c>
      <c r="D13" s="225"/>
      <c r="E13" s="167"/>
      <c r="F13" s="174" t="s">
        <v>2002</v>
      </c>
      <c r="G13" s="173" t="s">
        <v>2003</v>
      </c>
      <c r="H13" s="167"/>
      <c r="I13" s="174" t="s">
        <v>2004</v>
      </c>
      <c r="J13" s="173"/>
      <c r="K13" s="175"/>
      <c r="L13" s="174" t="s">
        <v>2005</v>
      </c>
      <c r="M13" s="173"/>
      <c r="N13" s="166"/>
      <c r="O13" s="174" t="s">
        <v>2006</v>
      </c>
      <c r="P13" s="176"/>
      <c r="Q13" s="167"/>
      <c r="R13" s="167"/>
      <c r="S13" s="167"/>
      <c r="T13" s="167"/>
      <c r="U13" s="168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36">
        <f>+AK10+(AK8/12)</f>
        <v>2023.4166666666667</v>
      </c>
      <c r="AL13" s="164" t="s">
        <v>1984</v>
      </c>
    </row>
    <row r="14" spans="2:55">
      <c r="B14" s="172" t="s">
        <v>2007</v>
      </c>
      <c r="C14" s="225">
        <v>2183</v>
      </c>
      <c r="D14" s="225"/>
      <c r="E14" s="167"/>
      <c r="F14" s="177" t="s">
        <v>2008</v>
      </c>
      <c r="G14" s="173" t="s">
        <v>2009</v>
      </c>
      <c r="H14" s="167"/>
      <c r="I14" s="174" t="s">
        <v>2010</v>
      </c>
      <c r="J14" s="173"/>
      <c r="K14" s="175"/>
      <c r="L14" s="174" t="s">
        <v>2011</v>
      </c>
      <c r="M14" s="173"/>
      <c r="N14" s="166"/>
      <c r="O14" s="174" t="s">
        <v>2012</v>
      </c>
      <c r="P14" s="176"/>
      <c r="Q14" s="167"/>
      <c r="R14" s="167"/>
      <c r="S14" s="167"/>
      <c r="T14" s="167"/>
      <c r="U14" s="168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78"/>
    </row>
    <row r="15" spans="2:55" ht="15.75" thickBot="1">
      <c r="B15" s="172" t="s">
        <v>2013</v>
      </c>
      <c r="C15" s="225"/>
      <c r="D15" s="225"/>
      <c r="E15" s="167"/>
      <c r="F15" s="174" t="s">
        <v>2014</v>
      </c>
      <c r="G15" s="173" t="s">
        <v>72</v>
      </c>
      <c r="H15" s="167"/>
      <c r="I15" s="174" t="s">
        <v>2015</v>
      </c>
      <c r="J15" s="173"/>
      <c r="K15" s="175"/>
      <c r="L15" s="167"/>
      <c r="M15" s="167"/>
      <c r="N15" s="174"/>
      <c r="O15" s="166"/>
      <c r="P15" s="166"/>
      <c r="Q15" s="167"/>
      <c r="R15" s="167"/>
      <c r="S15" s="167"/>
      <c r="T15" s="167"/>
      <c r="U15" s="168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78"/>
    </row>
    <row r="16" spans="2:55" ht="60.75" thickBot="1">
      <c r="B16" s="179" t="s">
        <v>2016</v>
      </c>
      <c r="C16" s="180" t="s">
        <v>971</v>
      </c>
      <c r="D16" s="180" t="s">
        <v>2017</v>
      </c>
      <c r="E16" s="180" t="s">
        <v>2018</v>
      </c>
      <c r="F16" s="181" t="s">
        <v>948</v>
      </c>
      <c r="G16" s="181" t="s">
        <v>2019</v>
      </c>
      <c r="H16" s="181" t="s">
        <v>2020</v>
      </c>
      <c r="I16" s="180" t="s">
        <v>1989</v>
      </c>
      <c r="J16" s="180" t="s">
        <v>2021</v>
      </c>
      <c r="K16" s="180" t="s">
        <v>972</v>
      </c>
      <c r="L16" s="180" t="s">
        <v>2022</v>
      </c>
      <c r="M16" s="180" t="s">
        <v>973</v>
      </c>
      <c r="N16" s="180" t="s">
        <v>2023</v>
      </c>
      <c r="O16" s="180" t="s">
        <v>2024</v>
      </c>
      <c r="P16" s="180" t="s">
        <v>2025</v>
      </c>
      <c r="Q16" s="180" t="s">
        <v>2026</v>
      </c>
      <c r="R16" s="180" t="s">
        <v>2027</v>
      </c>
      <c r="S16" s="180" t="s">
        <v>974</v>
      </c>
      <c r="T16" s="180" t="s">
        <v>2028</v>
      </c>
      <c r="U16" s="180" t="s">
        <v>975</v>
      </c>
      <c r="V16" s="180" t="s">
        <v>976</v>
      </c>
      <c r="W16" s="180" t="s">
        <v>977</v>
      </c>
      <c r="X16" s="180" t="s">
        <v>2029</v>
      </c>
      <c r="Y16" s="180" t="s">
        <v>2030</v>
      </c>
      <c r="Z16" s="180" t="s">
        <v>2031</v>
      </c>
      <c r="AA16" s="180" t="s">
        <v>813</v>
      </c>
      <c r="AB16" s="180" t="s">
        <v>2032</v>
      </c>
      <c r="AC16" s="180" t="s">
        <v>978</v>
      </c>
      <c r="AD16" s="180" t="s">
        <v>2033</v>
      </c>
      <c r="AE16" s="180" t="s">
        <v>2034</v>
      </c>
      <c r="AF16" s="180" t="s">
        <v>979</v>
      </c>
      <c r="AG16" s="180" t="s">
        <v>980</v>
      </c>
      <c r="AH16" s="180" t="s">
        <v>981</v>
      </c>
      <c r="AI16" s="180" t="s">
        <v>2035</v>
      </c>
      <c r="AJ16" s="180" t="s">
        <v>2036</v>
      </c>
      <c r="AK16" s="182" t="s">
        <v>982</v>
      </c>
      <c r="AL16" s="182" t="s">
        <v>2037</v>
      </c>
      <c r="AM16" s="182" t="s">
        <v>2038</v>
      </c>
      <c r="AN16" s="182" t="s">
        <v>983</v>
      </c>
      <c r="AO16" s="182" t="s">
        <v>2039</v>
      </c>
      <c r="AP16" s="182" t="s">
        <v>984</v>
      </c>
      <c r="AQ16" s="182" t="s">
        <v>985</v>
      </c>
      <c r="AR16" s="182" t="s">
        <v>2040</v>
      </c>
      <c r="AS16" s="182" t="s">
        <v>2041</v>
      </c>
      <c r="AT16" s="182" t="s">
        <v>2042</v>
      </c>
      <c r="AU16" s="182" t="s">
        <v>986</v>
      </c>
      <c r="AV16" s="182" t="s">
        <v>987</v>
      </c>
      <c r="AW16" s="182" t="s">
        <v>988</v>
      </c>
      <c r="AX16" s="183" t="s">
        <v>2043</v>
      </c>
      <c r="BA16" s="208" t="s">
        <v>5</v>
      </c>
      <c r="BB16" s="209"/>
      <c r="BC16" s="210"/>
    </row>
    <row r="17" spans="2:55">
      <c r="B17" s="198">
        <v>2183</v>
      </c>
      <c r="C17" s="199">
        <v>407912</v>
      </c>
      <c r="D17" s="198" t="s">
        <v>989</v>
      </c>
      <c r="E17" s="198" t="s">
        <v>2003</v>
      </c>
      <c r="F17" s="198" t="s">
        <v>2280</v>
      </c>
      <c r="G17" s="198"/>
      <c r="H17" s="198"/>
      <c r="I17" s="200">
        <v>1</v>
      </c>
      <c r="J17" s="198" t="s">
        <v>1982</v>
      </c>
      <c r="K17" s="200">
        <v>2003</v>
      </c>
      <c r="L17" s="198"/>
      <c r="M17" s="198"/>
      <c r="N17" s="198" t="s">
        <v>2183</v>
      </c>
      <c r="O17" s="198" t="s">
        <v>2184</v>
      </c>
      <c r="P17" s="198" t="s">
        <v>2204</v>
      </c>
      <c r="Q17" s="198"/>
      <c r="R17" s="198"/>
      <c r="S17" s="201">
        <v>45383</v>
      </c>
      <c r="T17" s="201">
        <v>45383</v>
      </c>
      <c r="U17" s="198"/>
      <c r="V17" s="198">
        <v>300</v>
      </c>
      <c r="W17" s="198">
        <v>14040</v>
      </c>
      <c r="X17" s="202">
        <v>-171.58</v>
      </c>
      <c r="Y17" s="198">
        <v>14046</v>
      </c>
      <c r="Z17" s="202">
        <v>-4.7699999999999996</v>
      </c>
      <c r="AA17" s="202">
        <v>0</v>
      </c>
      <c r="AB17" s="202">
        <v>-166.81</v>
      </c>
      <c r="AC17" s="202">
        <v>-4.7699999999999996</v>
      </c>
      <c r="AD17" s="198">
        <v>51260</v>
      </c>
      <c r="AE17" s="202">
        <v>-4.7699999999999996</v>
      </c>
      <c r="AF17" s="202">
        <v>0</v>
      </c>
      <c r="AG17" s="202">
        <v>-4.7699999999999996</v>
      </c>
      <c r="AH17" s="198" t="s">
        <v>989</v>
      </c>
      <c r="AI17" s="198"/>
      <c r="AJ17" s="198"/>
      <c r="AK17" s="198" t="s">
        <v>2283</v>
      </c>
      <c r="AL17" s="198" t="s">
        <v>1853</v>
      </c>
      <c r="AM17" s="198" t="s">
        <v>1853</v>
      </c>
      <c r="AN17" s="196">
        <f t="shared" ref="AN17:AN20" si="0">MONTH($S17)</f>
        <v>4</v>
      </c>
      <c r="AO17" s="196">
        <f t="shared" ref="AO17:AO20" si="1">YEAR($S17)</f>
        <v>2024</v>
      </c>
      <c r="AP17" s="195">
        <f t="shared" ref="AP17:AP20" si="2">$AO17+($V17/100)</f>
        <v>2027</v>
      </c>
      <c r="AQ17" s="194">
        <f t="shared" ref="AQ17:AQ20" si="3">$AP17+($AN17/12)</f>
        <v>2027.3333333333333</v>
      </c>
      <c r="AR17" s="193">
        <f t="shared" ref="AR17:AR20" si="4">IFERROR($X17/($V17/100)/12,0)</f>
        <v>-4.766111111111111</v>
      </c>
      <c r="AS17" s="192">
        <f t="shared" ref="AS17:AS20" si="5">$AR17*12</f>
        <v>-57.193333333333328</v>
      </c>
      <c r="AT17" s="192">
        <f t="shared" ref="AT17:AT20" si="6">IF(AQ17&lt;$AK$12,0,AS17)</f>
        <v>-57.193333333333328</v>
      </c>
      <c r="AU17" s="192">
        <f t="shared" ref="AU17:AU20" si="7">IF(AQ17&lt;=$AK$13,X17,IF(((AO17+AN17/12))&gt;=$AK$13,0,((X17-((AQ17-$AK$13)*12)*AR17))))</f>
        <v>0</v>
      </c>
      <c r="AV17" s="192">
        <f t="shared" ref="AV17:AV20" si="8">IF(AQ17&lt;$AK$12,X17,AT17+AU17)</f>
        <v>-57.193333333333328</v>
      </c>
      <c r="AW17" s="191">
        <f t="shared" ref="AW17:AW20" si="9">+X17-AV17</f>
        <v>-114.38666666666668</v>
      </c>
      <c r="AX17" s="190" t="s">
        <v>72</v>
      </c>
      <c r="AY17" s="184"/>
      <c r="BA17" s="203" t="s">
        <v>147</v>
      </c>
      <c r="BC17" s="204"/>
    </row>
    <row r="18" spans="2:55">
      <c r="B18" s="198">
        <v>2183</v>
      </c>
      <c r="C18" s="199">
        <v>407911</v>
      </c>
      <c r="D18" s="198" t="s">
        <v>989</v>
      </c>
      <c r="E18" s="198" t="s">
        <v>2003</v>
      </c>
      <c r="F18" s="198" t="s">
        <v>2280</v>
      </c>
      <c r="G18" s="198"/>
      <c r="H18" s="198"/>
      <c r="I18" s="200">
        <v>1</v>
      </c>
      <c r="J18" s="198" t="s">
        <v>1912</v>
      </c>
      <c r="K18" s="200">
        <v>2001</v>
      </c>
      <c r="L18" s="198"/>
      <c r="M18" s="198"/>
      <c r="N18" s="198" t="s">
        <v>2183</v>
      </c>
      <c r="O18" s="198" t="s">
        <v>2184</v>
      </c>
      <c r="P18" s="198" t="s">
        <v>2281</v>
      </c>
      <c r="Q18" s="198"/>
      <c r="R18" s="198"/>
      <c r="S18" s="201">
        <v>45383</v>
      </c>
      <c r="T18" s="201">
        <v>45383</v>
      </c>
      <c r="U18" s="198"/>
      <c r="V18" s="198">
        <v>300</v>
      </c>
      <c r="W18" s="198">
        <v>14040</v>
      </c>
      <c r="X18" s="202">
        <v>-955.78</v>
      </c>
      <c r="Y18" s="198">
        <v>14046</v>
      </c>
      <c r="Z18" s="202">
        <v>-26.55</v>
      </c>
      <c r="AA18" s="202">
        <v>0</v>
      </c>
      <c r="AB18" s="202">
        <v>-929.23</v>
      </c>
      <c r="AC18" s="202">
        <v>-26.55</v>
      </c>
      <c r="AD18" s="198">
        <v>51260</v>
      </c>
      <c r="AE18" s="202">
        <v>-26.55</v>
      </c>
      <c r="AF18" s="202">
        <v>0</v>
      </c>
      <c r="AG18" s="202">
        <v>-26.55</v>
      </c>
      <c r="AH18" s="198" t="s">
        <v>989</v>
      </c>
      <c r="AI18" s="198"/>
      <c r="AJ18" s="198"/>
      <c r="AK18" s="198" t="s">
        <v>2284</v>
      </c>
      <c r="AL18" s="198" t="s">
        <v>147</v>
      </c>
      <c r="AM18" s="198" t="s">
        <v>1857</v>
      </c>
      <c r="AN18" s="196">
        <f t="shared" si="0"/>
        <v>4</v>
      </c>
      <c r="AO18" s="196">
        <f t="shared" si="1"/>
        <v>2024</v>
      </c>
      <c r="AP18" s="195">
        <f t="shared" si="2"/>
        <v>2027</v>
      </c>
      <c r="AQ18" s="194">
        <f t="shared" si="3"/>
        <v>2027.3333333333333</v>
      </c>
      <c r="AR18" s="193">
        <f t="shared" si="4"/>
        <v>-26.549444444444443</v>
      </c>
      <c r="AS18" s="192">
        <f t="shared" si="5"/>
        <v>-318.59333333333331</v>
      </c>
      <c r="AT18" s="192">
        <f t="shared" si="6"/>
        <v>-318.59333333333331</v>
      </c>
      <c r="AU18" s="192">
        <f t="shared" si="7"/>
        <v>0</v>
      </c>
      <c r="AV18" s="192">
        <f t="shared" si="8"/>
        <v>-318.59333333333331</v>
      </c>
      <c r="AW18" s="191">
        <f t="shared" si="9"/>
        <v>-637.18666666666672</v>
      </c>
      <c r="AX18" s="190" t="s">
        <v>72</v>
      </c>
      <c r="AY18" s="184"/>
      <c r="BA18" s="203" t="s">
        <v>287</v>
      </c>
      <c r="BC18" s="204"/>
    </row>
    <row r="19" spans="2:55">
      <c r="B19" s="198">
        <v>2183</v>
      </c>
      <c r="C19" s="199">
        <v>407910</v>
      </c>
      <c r="D19" s="198" t="s">
        <v>989</v>
      </c>
      <c r="E19" s="198" t="s">
        <v>2003</v>
      </c>
      <c r="F19" s="198" t="s">
        <v>2280</v>
      </c>
      <c r="G19" s="198"/>
      <c r="H19" s="198"/>
      <c r="I19" s="200">
        <v>1</v>
      </c>
      <c r="J19" s="198" t="s">
        <v>2169</v>
      </c>
      <c r="K19" s="200">
        <v>2001</v>
      </c>
      <c r="L19" s="198"/>
      <c r="M19" s="198"/>
      <c r="N19" s="198" t="s">
        <v>2183</v>
      </c>
      <c r="O19" s="198" t="s">
        <v>2184</v>
      </c>
      <c r="P19" s="198" t="s">
        <v>287</v>
      </c>
      <c r="Q19" s="198"/>
      <c r="R19" s="198"/>
      <c r="S19" s="201">
        <v>45383</v>
      </c>
      <c r="T19" s="201">
        <v>45383</v>
      </c>
      <c r="U19" s="198"/>
      <c r="V19" s="198">
        <v>300</v>
      </c>
      <c r="W19" s="198">
        <v>14040</v>
      </c>
      <c r="X19" s="202">
        <v>-159.47</v>
      </c>
      <c r="Y19" s="198">
        <v>14046</v>
      </c>
      <c r="Z19" s="202">
        <v>-4.43</v>
      </c>
      <c r="AA19" s="202">
        <v>0</v>
      </c>
      <c r="AB19" s="202">
        <v>-155.04</v>
      </c>
      <c r="AC19" s="202">
        <v>-4.43</v>
      </c>
      <c r="AD19" s="198">
        <v>51260</v>
      </c>
      <c r="AE19" s="202">
        <v>-4.43</v>
      </c>
      <c r="AF19" s="202">
        <v>0</v>
      </c>
      <c r="AG19" s="202">
        <v>-4.43</v>
      </c>
      <c r="AH19" s="198" t="s">
        <v>989</v>
      </c>
      <c r="AI19" s="198"/>
      <c r="AJ19" s="198"/>
      <c r="AK19" s="198" t="s">
        <v>2285</v>
      </c>
      <c r="AL19" s="198" t="s">
        <v>147</v>
      </c>
      <c r="AM19" s="198" t="s">
        <v>1857</v>
      </c>
      <c r="AN19" s="196">
        <f t="shared" si="0"/>
        <v>4</v>
      </c>
      <c r="AO19" s="196">
        <f t="shared" si="1"/>
        <v>2024</v>
      </c>
      <c r="AP19" s="195">
        <f t="shared" si="2"/>
        <v>2027</v>
      </c>
      <c r="AQ19" s="194">
        <f t="shared" si="3"/>
        <v>2027.3333333333333</v>
      </c>
      <c r="AR19" s="193">
        <f t="shared" si="4"/>
        <v>-4.4297222222222219</v>
      </c>
      <c r="AS19" s="192">
        <f t="shared" si="5"/>
        <v>-53.156666666666666</v>
      </c>
      <c r="AT19" s="192">
        <f t="shared" si="6"/>
        <v>-53.156666666666666</v>
      </c>
      <c r="AU19" s="192">
        <f t="shared" si="7"/>
        <v>0</v>
      </c>
      <c r="AV19" s="192">
        <f t="shared" si="8"/>
        <v>-53.156666666666666</v>
      </c>
      <c r="AW19" s="191">
        <f t="shared" si="9"/>
        <v>-106.31333333333333</v>
      </c>
      <c r="AX19" s="190" t="s">
        <v>72</v>
      </c>
      <c r="AY19" s="184"/>
      <c r="BA19" s="203" t="s">
        <v>22</v>
      </c>
      <c r="BC19" s="204"/>
    </row>
    <row r="20" spans="2:55">
      <c r="B20" s="198">
        <v>2183</v>
      </c>
      <c r="C20" s="199">
        <v>407909</v>
      </c>
      <c r="D20" s="198" t="s">
        <v>989</v>
      </c>
      <c r="E20" s="198" t="s">
        <v>2003</v>
      </c>
      <c r="F20" s="198" t="s">
        <v>2280</v>
      </c>
      <c r="G20" s="198"/>
      <c r="H20" s="198"/>
      <c r="I20" s="200">
        <v>1</v>
      </c>
      <c r="J20" s="198" t="s">
        <v>1966</v>
      </c>
      <c r="K20" s="200">
        <v>1963</v>
      </c>
      <c r="L20" s="198"/>
      <c r="M20" s="198"/>
      <c r="N20" s="198" t="s">
        <v>2183</v>
      </c>
      <c r="O20" s="198" t="s">
        <v>2184</v>
      </c>
      <c r="P20" s="198" t="s">
        <v>1566</v>
      </c>
      <c r="Q20" s="198"/>
      <c r="R20" s="198"/>
      <c r="S20" s="201">
        <v>45383</v>
      </c>
      <c r="T20" s="201">
        <v>45383</v>
      </c>
      <c r="U20" s="198"/>
      <c r="V20" s="198">
        <v>300</v>
      </c>
      <c r="W20" s="198">
        <v>14040</v>
      </c>
      <c r="X20" s="202">
        <v>-2310.92</v>
      </c>
      <c r="Y20" s="198">
        <v>14046</v>
      </c>
      <c r="Z20" s="202">
        <v>-64.19</v>
      </c>
      <c r="AA20" s="202">
        <v>0</v>
      </c>
      <c r="AB20" s="202">
        <v>-2246.73</v>
      </c>
      <c r="AC20" s="202">
        <v>-64.19</v>
      </c>
      <c r="AD20" s="198">
        <v>51260</v>
      </c>
      <c r="AE20" s="202">
        <v>-64.19</v>
      </c>
      <c r="AF20" s="202">
        <v>0</v>
      </c>
      <c r="AG20" s="202">
        <v>-64.19</v>
      </c>
      <c r="AH20" s="198" t="s">
        <v>989</v>
      </c>
      <c r="AI20" s="198"/>
      <c r="AJ20" s="198"/>
      <c r="AK20" s="198" t="s">
        <v>2286</v>
      </c>
      <c r="AL20" s="198" t="s">
        <v>147</v>
      </c>
      <c r="AM20" s="198" t="s">
        <v>1857</v>
      </c>
      <c r="AN20" s="196">
        <f t="shared" si="0"/>
        <v>4</v>
      </c>
      <c r="AO20" s="196">
        <f t="shared" si="1"/>
        <v>2024</v>
      </c>
      <c r="AP20" s="195">
        <f t="shared" si="2"/>
        <v>2027</v>
      </c>
      <c r="AQ20" s="194">
        <f t="shared" si="3"/>
        <v>2027.3333333333333</v>
      </c>
      <c r="AR20" s="193">
        <f t="shared" si="4"/>
        <v>-64.192222222222227</v>
      </c>
      <c r="AS20" s="192">
        <f t="shared" si="5"/>
        <v>-770.30666666666673</v>
      </c>
      <c r="AT20" s="192">
        <f t="shared" si="6"/>
        <v>-770.30666666666673</v>
      </c>
      <c r="AU20" s="192">
        <f t="shared" si="7"/>
        <v>0</v>
      </c>
      <c r="AV20" s="192">
        <f t="shared" si="8"/>
        <v>-770.30666666666673</v>
      </c>
      <c r="AW20" s="191">
        <f t="shared" si="9"/>
        <v>-1540.6133333333332</v>
      </c>
      <c r="AX20" s="190" t="s">
        <v>72</v>
      </c>
      <c r="AY20" s="184"/>
      <c r="BA20" s="218" t="s">
        <v>2300</v>
      </c>
      <c r="BC20" s="204"/>
    </row>
    <row r="21" spans="2:55" hidden="1">
      <c r="B21" s="198">
        <v>2183</v>
      </c>
      <c r="C21" s="199">
        <v>407364</v>
      </c>
      <c r="D21" s="198">
        <v>400327</v>
      </c>
      <c r="E21" s="198" t="s">
        <v>2003</v>
      </c>
      <c r="F21" s="198" t="s">
        <v>2271</v>
      </c>
      <c r="G21" s="198"/>
      <c r="H21" s="198"/>
      <c r="I21" s="200">
        <v>1</v>
      </c>
      <c r="J21" s="198" t="s">
        <v>2234</v>
      </c>
      <c r="K21" s="200">
        <v>0</v>
      </c>
      <c r="L21" s="198"/>
      <c r="M21" s="198"/>
      <c r="N21" s="198" t="s">
        <v>2183</v>
      </c>
      <c r="O21" s="198" t="s">
        <v>2238</v>
      </c>
      <c r="P21" s="198" t="s">
        <v>2186</v>
      </c>
      <c r="Q21" s="198"/>
      <c r="R21" s="198"/>
      <c r="S21" s="201">
        <v>45356</v>
      </c>
      <c r="T21" s="201">
        <v>45356</v>
      </c>
      <c r="U21" s="198" t="s">
        <v>2239</v>
      </c>
      <c r="V21" s="198">
        <v>500</v>
      </c>
      <c r="W21" s="198">
        <v>14040</v>
      </c>
      <c r="X21" s="202">
        <v>586.94000000000005</v>
      </c>
      <c r="Y21" s="198">
        <v>14046</v>
      </c>
      <c r="Z21" s="202">
        <v>19.559999999999999</v>
      </c>
      <c r="AA21" s="202">
        <v>0</v>
      </c>
      <c r="AB21" s="202">
        <v>567.38000000000011</v>
      </c>
      <c r="AC21" s="202">
        <v>19.559999999999999</v>
      </c>
      <c r="AD21" s="198">
        <v>51260</v>
      </c>
      <c r="AE21" s="202">
        <v>9.7799999999999994</v>
      </c>
      <c r="AF21" s="202">
        <v>9.7799999999999994</v>
      </c>
      <c r="AG21" s="202">
        <v>19.559999999999999</v>
      </c>
      <c r="AH21" s="198" t="s">
        <v>989</v>
      </c>
      <c r="AI21" s="198"/>
      <c r="AJ21" s="198"/>
      <c r="AK21" s="198">
        <v>1099</v>
      </c>
      <c r="AL21" s="198" t="s">
        <v>147</v>
      </c>
      <c r="AM21" s="198" t="s">
        <v>1857</v>
      </c>
      <c r="AN21" s="196">
        <f t="shared" ref="AN21:AN52" si="10">MONTH($S21)</f>
        <v>3</v>
      </c>
      <c r="AO21" s="196">
        <f t="shared" ref="AO21:AO52" si="11">YEAR($S21)</f>
        <v>2024</v>
      </c>
      <c r="AP21" s="195">
        <f t="shared" ref="AP21:AP52" si="12">$AO21+($V21/100)</f>
        <v>2029</v>
      </c>
      <c r="AQ21" s="194">
        <f t="shared" ref="AQ21:AQ52" si="13">$AP21+($AN21/12)</f>
        <v>2029.25</v>
      </c>
      <c r="AR21" s="193">
        <f t="shared" ref="AR21:AR52" si="14">IFERROR($X21/($V21/100)/12,0)</f>
        <v>9.7823333333333338</v>
      </c>
      <c r="AS21" s="192">
        <f t="shared" ref="AS21:AS52" si="15">$AR21*12</f>
        <v>117.38800000000001</v>
      </c>
      <c r="AT21" s="192">
        <f t="shared" ref="AT21:AT52" si="16">IF(AQ21&lt;$AK$12,0,AS21)</f>
        <v>117.38800000000001</v>
      </c>
      <c r="AU21" s="192">
        <f t="shared" ref="AU21:AU52" si="17">IF(AQ21&lt;=$AK$13,X21,IF(((AO21+AN21/12))&gt;=$AK$13,0,((X21-((AQ21-$AK$13)*12)*AR21))))</f>
        <v>0</v>
      </c>
      <c r="AV21" s="192">
        <f t="shared" ref="AV21:AV52" si="18">IF(AQ21&lt;$AK$12,X21,AT21+AU21)</f>
        <v>117.38800000000001</v>
      </c>
      <c r="AW21" s="191">
        <f t="shared" ref="AW21:AW52" si="19">+X21-AV21</f>
        <v>469.55200000000002</v>
      </c>
      <c r="AX21" s="190" t="s">
        <v>72</v>
      </c>
      <c r="AY21" s="184"/>
      <c r="BA21" s="203" t="s">
        <v>554</v>
      </c>
      <c r="BC21" s="204"/>
    </row>
    <row r="22" spans="2:55" hidden="1">
      <c r="B22" s="198">
        <v>2183</v>
      </c>
      <c r="C22" s="199">
        <v>407353</v>
      </c>
      <c r="D22" s="198">
        <v>400327</v>
      </c>
      <c r="E22" s="198" t="s">
        <v>2003</v>
      </c>
      <c r="F22" s="198" t="s">
        <v>2270</v>
      </c>
      <c r="G22" s="198"/>
      <c r="H22" s="198"/>
      <c r="I22" s="200">
        <v>1</v>
      </c>
      <c r="J22" s="198" t="s">
        <v>2234</v>
      </c>
      <c r="K22" s="200">
        <v>0</v>
      </c>
      <c r="L22" s="198"/>
      <c r="M22" s="198"/>
      <c r="N22" s="198" t="s">
        <v>2183</v>
      </c>
      <c r="O22" s="198" t="s">
        <v>2238</v>
      </c>
      <c r="P22" s="198" t="s">
        <v>2186</v>
      </c>
      <c r="Q22" s="198"/>
      <c r="R22" s="198"/>
      <c r="S22" s="201">
        <v>45316</v>
      </c>
      <c r="T22" s="201">
        <v>45316</v>
      </c>
      <c r="U22" s="198" t="s">
        <v>2239</v>
      </c>
      <c r="V22" s="198">
        <v>1000</v>
      </c>
      <c r="W22" s="198">
        <v>14040</v>
      </c>
      <c r="X22" s="202">
        <v>346.08</v>
      </c>
      <c r="Y22" s="198">
        <v>14046</v>
      </c>
      <c r="Z22" s="202">
        <v>8.64</v>
      </c>
      <c r="AA22" s="202">
        <v>0</v>
      </c>
      <c r="AB22" s="202">
        <v>337.44</v>
      </c>
      <c r="AC22" s="202">
        <v>8.64</v>
      </c>
      <c r="AD22" s="198">
        <v>51260</v>
      </c>
      <c r="AE22" s="202">
        <v>2.88</v>
      </c>
      <c r="AF22" s="202">
        <v>5.76</v>
      </c>
      <c r="AG22" s="202">
        <v>8.64</v>
      </c>
      <c r="AH22" s="198" t="s">
        <v>989</v>
      </c>
      <c r="AI22" s="198"/>
      <c r="AJ22" s="198"/>
      <c r="AK22" s="198">
        <v>1099</v>
      </c>
      <c r="AL22" s="198" t="s">
        <v>147</v>
      </c>
      <c r="AM22" s="198" t="s">
        <v>1857</v>
      </c>
      <c r="AN22" s="196">
        <f t="shared" si="10"/>
        <v>1</v>
      </c>
      <c r="AO22" s="196">
        <f t="shared" si="11"/>
        <v>2024</v>
      </c>
      <c r="AP22" s="195">
        <f t="shared" si="12"/>
        <v>2034</v>
      </c>
      <c r="AQ22" s="194">
        <f t="shared" si="13"/>
        <v>2034.0833333333333</v>
      </c>
      <c r="AR22" s="193">
        <f t="shared" si="14"/>
        <v>2.8839999999999999</v>
      </c>
      <c r="AS22" s="192">
        <f t="shared" si="15"/>
        <v>34.607999999999997</v>
      </c>
      <c r="AT22" s="192">
        <f t="shared" si="16"/>
        <v>34.607999999999997</v>
      </c>
      <c r="AU22" s="192">
        <f t="shared" si="17"/>
        <v>0</v>
      </c>
      <c r="AV22" s="192">
        <f t="shared" si="18"/>
        <v>34.607999999999997</v>
      </c>
      <c r="AW22" s="191">
        <f t="shared" si="19"/>
        <v>311.47199999999998</v>
      </c>
      <c r="AX22" s="190" t="s">
        <v>72</v>
      </c>
      <c r="AY22" s="184"/>
      <c r="BA22" s="211" t="s">
        <v>272</v>
      </c>
      <c r="BB22" s="212"/>
      <c r="BC22" s="213"/>
    </row>
    <row r="23" spans="2:55" hidden="1">
      <c r="B23" s="198">
        <v>2183</v>
      </c>
      <c r="C23" s="199">
        <v>404935</v>
      </c>
      <c r="D23" s="198">
        <v>400327</v>
      </c>
      <c r="E23" s="198" t="s">
        <v>2003</v>
      </c>
      <c r="F23" s="198" t="s">
        <v>2242</v>
      </c>
      <c r="G23" s="198"/>
      <c r="H23" s="198"/>
      <c r="I23" s="200">
        <v>1</v>
      </c>
      <c r="J23" s="198"/>
      <c r="K23" s="200">
        <v>0</v>
      </c>
      <c r="L23" s="198"/>
      <c r="M23" s="198"/>
      <c r="N23" s="198" t="s">
        <v>2183</v>
      </c>
      <c r="O23" s="198" t="s">
        <v>2238</v>
      </c>
      <c r="P23" s="198" t="s">
        <v>2186</v>
      </c>
      <c r="Q23" s="198"/>
      <c r="R23" s="198"/>
      <c r="S23" s="201">
        <v>45316</v>
      </c>
      <c r="T23" s="201">
        <v>45316</v>
      </c>
      <c r="U23" s="198" t="s">
        <v>2239</v>
      </c>
      <c r="V23" s="198">
        <v>1000</v>
      </c>
      <c r="W23" s="198">
        <v>14040</v>
      </c>
      <c r="X23" s="202">
        <v>930.86</v>
      </c>
      <c r="Y23" s="198">
        <v>14046</v>
      </c>
      <c r="Z23" s="202">
        <v>23.28</v>
      </c>
      <c r="AA23" s="202">
        <v>0</v>
      </c>
      <c r="AB23" s="202">
        <v>907.58</v>
      </c>
      <c r="AC23" s="202">
        <v>23.28</v>
      </c>
      <c r="AD23" s="198">
        <v>51260</v>
      </c>
      <c r="AE23" s="202">
        <v>7.76</v>
      </c>
      <c r="AF23" s="202">
        <v>0</v>
      </c>
      <c r="AG23" s="202">
        <v>7.76</v>
      </c>
      <c r="AH23" s="198" t="s">
        <v>989</v>
      </c>
      <c r="AI23" s="198"/>
      <c r="AJ23" s="198"/>
      <c r="AK23" s="198">
        <v>1099</v>
      </c>
      <c r="AL23" s="198" t="s">
        <v>147</v>
      </c>
      <c r="AM23" s="198" t="s">
        <v>1857</v>
      </c>
      <c r="AN23" s="196">
        <f t="shared" si="10"/>
        <v>1</v>
      </c>
      <c r="AO23" s="196">
        <f t="shared" si="11"/>
        <v>2024</v>
      </c>
      <c r="AP23" s="195">
        <f t="shared" si="12"/>
        <v>2034</v>
      </c>
      <c r="AQ23" s="194">
        <f t="shared" si="13"/>
        <v>2034.0833333333333</v>
      </c>
      <c r="AR23" s="193">
        <f t="shared" si="14"/>
        <v>7.7571666666666665</v>
      </c>
      <c r="AS23" s="192">
        <f t="shared" si="15"/>
        <v>93.085999999999999</v>
      </c>
      <c r="AT23" s="192">
        <f t="shared" si="16"/>
        <v>93.085999999999999</v>
      </c>
      <c r="AU23" s="192">
        <f t="shared" si="17"/>
        <v>0</v>
      </c>
      <c r="AV23" s="192">
        <f t="shared" si="18"/>
        <v>93.085999999999999</v>
      </c>
      <c r="AW23" s="191">
        <f t="shared" si="19"/>
        <v>837.774</v>
      </c>
      <c r="AX23" s="190" t="s">
        <v>72</v>
      </c>
      <c r="AY23" s="184"/>
      <c r="BA23" s="203" t="s">
        <v>1854</v>
      </c>
      <c r="BC23" s="204"/>
    </row>
    <row r="24" spans="2:55">
      <c r="B24" s="198">
        <v>2183</v>
      </c>
      <c r="C24" s="199">
        <v>407171</v>
      </c>
      <c r="D24" s="198" t="s">
        <v>989</v>
      </c>
      <c r="E24" s="198" t="s">
        <v>2003</v>
      </c>
      <c r="F24" s="198" t="s">
        <v>2277</v>
      </c>
      <c r="G24" s="198"/>
      <c r="H24" s="198"/>
      <c r="I24" s="200">
        <v>702</v>
      </c>
      <c r="J24" s="198"/>
      <c r="K24" s="200">
        <v>0</v>
      </c>
      <c r="L24" s="198"/>
      <c r="M24" s="198"/>
      <c r="N24" s="198" t="s">
        <v>2190</v>
      </c>
      <c r="O24" s="198" t="s">
        <v>2263</v>
      </c>
      <c r="P24" s="198"/>
      <c r="Q24" s="198" t="s">
        <v>2278</v>
      </c>
      <c r="R24" s="198" t="s">
        <v>2275</v>
      </c>
      <c r="S24" s="201">
        <v>45376</v>
      </c>
      <c r="T24" s="201">
        <v>45376</v>
      </c>
      <c r="U24" s="198" t="s">
        <v>2279</v>
      </c>
      <c r="V24" s="198">
        <v>700</v>
      </c>
      <c r="W24" s="198">
        <v>14050</v>
      </c>
      <c r="X24" s="202">
        <v>38196.21</v>
      </c>
      <c r="Y24" s="198">
        <v>14056</v>
      </c>
      <c r="Z24" s="202">
        <v>454.72</v>
      </c>
      <c r="AA24" s="202">
        <v>0</v>
      </c>
      <c r="AB24" s="202">
        <v>37741.49</v>
      </c>
      <c r="AC24" s="202">
        <v>454.72</v>
      </c>
      <c r="AD24" s="198">
        <v>54260</v>
      </c>
      <c r="AE24" s="202">
        <v>454.72</v>
      </c>
      <c r="AF24" s="202">
        <v>0</v>
      </c>
      <c r="AG24" s="202">
        <v>454.72</v>
      </c>
      <c r="AH24" s="198" t="s">
        <v>989</v>
      </c>
      <c r="AI24" s="198"/>
      <c r="AJ24" s="198"/>
      <c r="AK24" s="198">
        <v>0</v>
      </c>
      <c r="AL24" s="198" t="s">
        <v>423</v>
      </c>
      <c r="AM24" s="198" t="s">
        <v>929</v>
      </c>
      <c r="AN24" s="196">
        <f t="shared" si="10"/>
        <v>3</v>
      </c>
      <c r="AO24" s="196">
        <f t="shared" si="11"/>
        <v>2024</v>
      </c>
      <c r="AP24" s="195">
        <f t="shared" si="12"/>
        <v>2031</v>
      </c>
      <c r="AQ24" s="194">
        <f t="shared" si="13"/>
        <v>2031.25</v>
      </c>
      <c r="AR24" s="193">
        <f t="shared" si="14"/>
        <v>454.71678571428566</v>
      </c>
      <c r="AS24" s="192">
        <f t="shared" si="15"/>
        <v>5456.6014285714282</v>
      </c>
      <c r="AT24" s="192">
        <f t="shared" si="16"/>
        <v>5456.6014285714282</v>
      </c>
      <c r="AU24" s="192">
        <f t="shared" si="17"/>
        <v>0</v>
      </c>
      <c r="AV24" s="192">
        <f t="shared" si="18"/>
        <v>5456.6014285714282</v>
      </c>
      <c r="AW24" s="191">
        <f t="shared" si="19"/>
        <v>32739.608571428573</v>
      </c>
      <c r="AX24" s="190" t="s">
        <v>72</v>
      </c>
      <c r="AY24" s="184"/>
      <c r="BA24" s="203" t="s">
        <v>423</v>
      </c>
      <c r="BC24" s="204"/>
    </row>
    <row r="25" spans="2:55">
      <c r="B25" s="198">
        <v>2183</v>
      </c>
      <c r="C25" s="199">
        <v>405970</v>
      </c>
      <c r="D25" s="198" t="s">
        <v>989</v>
      </c>
      <c r="E25" s="198" t="s">
        <v>2003</v>
      </c>
      <c r="F25" s="198" t="s">
        <v>2273</v>
      </c>
      <c r="G25" s="198"/>
      <c r="H25" s="198"/>
      <c r="I25" s="200">
        <v>936</v>
      </c>
      <c r="J25" s="198"/>
      <c r="K25" s="200">
        <v>0</v>
      </c>
      <c r="L25" s="198"/>
      <c r="M25" s="198"/>
      <c r="N25" s="198" t="s">
        <v>2190</v>
      </c>
      <c r="O25" s="198" t="s">
        <v>2263</v>
      </c>
      <c r="P25" s="198"/>
      <c r="Q25" s="198" t="s">
        <v>2274</v>
      </c>
      <c r="R25" s="198" t="s">
        <v>2275</v>
      </c>
      <c r="S25" s="201">
        <v>45383</v>
      </c>
      <c r="T25" s="201">
        <v>45383</v>
      </c>
      <c r="U25" s="198" t="s">
        <v>2276</v>
      </c>
      <c r="V25" s="198">
        <v>700</v>
      </c>
      <c r="W25" s="198">
        <v>14050</v>
      </c>
      <c r="X25" s="202">
        <v>47940.92</v>
      </c>
      <c r="Y25" s="198">
        <v>14056</v>
      </c>
      <c r="Z25" s="202">
        <v>570.73</v>
      </c>
      <c r="AA25" s="202">
        <v>0</v>
      </c>
      <c r="AB25" s="202">
        <v>47370.189999999995</v>
      </c>
      <c r="AC25" s="202">
        <v>570.73</v>
      </c>
      <c r="AD25" s="198">
        <v>54260</v>
      </c>
      <c r="AE25" s="202">
        <v>570.73</v>
      </c>
      <c r="AF25" s="202">
        <v>0</v>
      </c>
      <c r="AG25" s="202">
        <v>570.73</v>
      </c>
      <c r="AH25" s="198" t="s">
        <v>989</v>
      </c>
      <c r="AI25" s="198"/>
      <c r="AJ25" s="198"/>
      <c r="AK25" s="198">
        <v>0</v>
      </c>
      <c r="AL25" s="198" t="s">
        <v>423</v>
      </c>
      <c r="AM25" s="198" t="s">
        <v>929</v>
      </c>
      <c r="AN25" s="196">
        <f t="shared" si="10"/>
        <v>4</v>
      </c>
      <c r="AO25" s="196">
        <f t="shared" si="11"/>
        <v>2024</v>
      </c>
      <c r="AP25" s="195">
        <f t="shared" si="12"/>
        <v>2031</v>
      </c>
      <c r="AQ25" s="194">
        <f t="shared" si="13"/>
        <v>2031.3333333333333</v>
      </c>
      <c r="AR25" s="193">
        <f t="shared" si="14"/>
        <v>570.72523809523807</v>
      </c>
      <c r="AS25" s="192">
        <f t="shared" si="15"/>
        <v>6848.7028571428564</v>
      </c>
      <c r="AT25" s="192">
        <f t="shared" si="16"/>
        <v>6848.7028571428564</v>
      </c>
      <c r="AU25" s="192">
        <f t="shared" si="17"/>
        <v>0</v>
      </c>
      <c r="AV25" s="192">
        <f t="shared" si="18"/>
        <v>6848.7028571428564</v>
      </c>
      <c r="AW25" s="191">
        <f t="shared" si="19"/>
        <v>41092.217142857146</v>
      </c>
      <c r="AX25" s="190" t="s">
        <v>72</v>
      </c>
      <c r="AY25" s="184"/>
      <c r="BA25" s="203" t="s">
        <v>269</v>
      </c>
      <c r="BC25" s="204"/>
    </row>
    <row r="26" spans="2:55" hidden="1">
      <c r="B26" s="198">
        <v>2183</v>
      </c>
      <c r="C26" s="199">
        <v>404222</v>
      </c>
      <c r="D26" s="198">
        <v>400327</v>
      </c>
      <c r="E26" s="198" t="s">
        <v>2003</v>
      </c>
      <c r="F26" s="198" t="s">
        <v>2241</v>
      </c>
      <c r="G26" s="198"/>
      <c r="H26" s="198"/>
      <c r="I26" s="200">
        <v>1</v>
      </c>
      <c r="J26" s="198"/>
      <c r="K26" s="200">
        <v>0</v>
      </c>
      <c r="L26" s="198"/>
      <c r="M26" s="198"/>
      <c r="N26" s="198" t="s">
        <v>2183</v>
      </c>
      <c r="O26" s="198" t="s">
        <v>2238</v>
      </c>
      <c r="P26" s="198" t="s">
        <v>2186</v>
      </c>
      <c r="Q26" s="198"/>
      <c r="R26" s="198"/>
      <c r="S26" s="201">
        <v>45316</v>
      </c>
      <c r="T26" s="201">
        <v>45316</v>
      </c>
      <c r="U26" s="198" t="s">
        <v>2239</v>
      </c>
      <c r="V26" s="198">
        <v>1000</v>
      </c>
      <c r="W26" s="198">
        <v>14040</v>
      </c>
      <c r="X26" s="202">
        <v>818.51</v>
      </c>
      <c r="Y26" s="198">
        <v>14046</v>
      </c>
      <c r="Z26" s="202">
        <v>20.46</v>
      </c>
      <c r="AA26" s="202">
        <v>0</v>
      </c>
      <c r="AB26" s="202">
        <v>798.05</v>
      </c>
      <c r="AC26" s="202">
        <v>20.46</v>
      </c>
      <c r="AD26" s="198">
        <v>51260</v>
      </c>
      <c r="AE26" s="202">
        <v>6.82</v>
      </c>
      <c r="AF26" s="202">
        <v>0</v>
      </c>
      <c r="AG26" s="202">
        <v>6.82</v>
      </c>
      <c r="AH26" s="198" t="s">
        <v>989</v>
      </c>
      <c r="AI26" s="198"/>
      <c r="AJ26" s="198"/>
      <c r="AK26" s="198">
        <v>1099</v>
      </c>
      <c r="AL26" s="198" t="s">
        <v>147</v>
      </c>
      <c r="AM26" s="198" t="s">
        <v>1857</v>
      </c>
      <c r="AN26" s="196">
        <f t="shared" si="10"/>
        <v>1</v>
      </c>
      <c r="AO26" s="196">
        <f t="shared" si="11"/>
        <v>2024</v>
      </c>
      <c r="AP26" s="195">
        <f t="shared" si="12"/>
        <v>2034</v>
      </c>
      <c r="AQ26" s="194">
        <f t="shared" si="13"/>
        <v>2034.0833333333333</v>
      </c>
      <c r="AR26" s="193">
        <f t="shared" si="14"/>
        <v>6.8209166666666663</v>
      </c>
      <c r="AS26" s="192">
        <f t="shared" si="15"/>
        <v>81.850999999999999</v>
      </c>
      <c r="AT26" s="192">
        <f t="shared" si="16"/>
        <v>81.850999999999999</v>
      </c>
      <c r="AU26" s="192">
        <f t="shared" si="17"/>
        <v>0</v>
      </c>
      <c r="AV26" s="192">
        <f t="shared" si="18"/>
        <v>81.850999999999999</v>
      </c>
      <c r="AW26" s="191">
        <f t="shared" si="19"/>
        <v>736.65899999999999</v>
      </c>
      <c r="AX26" s="190" t="s">
        <v>72</v>
      </c>
      <c r="AY26" s="184"/>
      <c r="BA26" s="203" t="s">
        <v>424</v>
      </c>
      <c r="BC26" s="204"/>
    </row>
    <row r="27" spans="2:55" hidden="1">
      <c r="B27" s="198">
        <v>2183</v>
      </c>
      <c r="C27" s="199">
        <v>402704</v>
      </c>
      <c r="D27" s="198">
        <v>400327</v>
      </c>
      <c r="E27" s="198" t="s">
        <v>2003</v>
      </c>
      <c r="F27" s="198" t="s">
        <v>2240</v>
      </c>
      <c r="G27" s="198"/>
      <c r="H27" s="198"/>
      <c r="I27" s="200">
        <v>1</v>
      </c>
      <c r="J27" s="198"/>
      <c r="K27" s="200">
        <v>0</v>
      </c>
      <c r="L27" s="198"/>
      <c r="M27" s="198" t="s">
        <v>1415</v>
      </c>
      <c r="N27" s="198" t="s">
        <v>2183</v>
      </c>
      <c r="O27" s="198" t="s">
        <v>2238</v>
      </c>
      <c r="P27" s="198"/>
      <c r="Q27" s="198"/>
      <c r="R27" s="198"/>
      <c r="S27" s="201">
        <v>45316</v>
      </c>
      <c r="T27" s="201">
        <v>45316</v>
      </c>
      <c r="U27" s="198" t="s">
        <v>2239</v>
      </c>
      <c r="V27" s="198">
        <v>500</v>
      </c>
      <c r="W27" s="198">
        <v>14040</v>
      </c>
      <c r="X27" s="202">
        <v>793.88</v>
      </c>
      <c r="Y27" s="198">
        <v>14046</v>
      </c>
      <c r="Z27" s="202">
        <v>39.69</v>
      </c>
      <c r="AA27" s="202">
        <v>0</v>
      </c>
      <c r="AB27" s="202">
        <v>754.19</v>
      </c>
      <c r="AC27" s="202">
        <v>39.69</v>
      </c>
      <c r="AD27" s="198">
        <v>51260</v>
      </c>
      <c r="AE27" s="202">
        <v>13.23</v>
      </c>
      <c r="AF27" s="202">
        <v>0</v>
      </c>
      <c r="AG27" s="202">
        <v>13.23</v>
      </c>
      <c r="AH27" s="198" t="s">
        <v>989</v>
      </c>
      <c r="AI27" s="198"/>
      <c r="AJ27" s="198"/>
      <c r="AK27" s="198">
        <v>1099</v>
      </c>
      <c r="AL27" s="198" t="s">
        <v>147</v>
      </c>
      <c r="AM27" s="198" t="s">
        <v>1857</v>
      </c>
      <c r="AN27" s="196">
        <f t="shared" si="10"/>
        <v>1</v>
      </c>
      <c r="AO27" s="196">
        <f t="shared" si="11"/>
        <v>2024</v>
      </c>
      <c r="AP27" s="195">
        <f t="shared" si="12"/>
        <v>2029</v>
      </c>
      <c r="AQ27" s="194">
        <f t="shared" si="13"/>
        <v>2029.0833333333333</v>
      </c>
      <c r="AR27" s="193">
        <f t="shared" si="14"/>
        <v>13.231333333333334</v>
      </c>
      <c r="AS27" s="192">
        <f t="shared" si="15"/>
        <v>158.77600000000001</v>
      </c>
      <c r="AT27" s="192">
        <f t="shared" si="16"/>
        <v>158.77600000000001</v>
      </c>
      <c r="AU27" s="192">
        <f t="shared" si="17"/>
        <v>0</v>
      </c>
      <c r="AV27" s="192">
        <f t="shared" si="18"/>
        <v>158.77600000000001</v>
      </c>
      <c r="AW27" s="191">
        <f t="shared" si="19"/>
        <v>635.10400000000004</v>
      </c>
      <c r="AX27" s="190" t="s">
        <v>72</v>
      </c>
      <c r="AY27" s="184"/>
      <c r="BA27" s="218" t="s">
        <v>2301</v>
      </c>
      <c r="BC27" s="204"/>
    </row>
    <row r="28" spans="2:55" hidden="1">
      <c r="B28" s="198">
        <v>2183</v>
      </c>
      <c r="C28" s="199">
        <v>402006</v>
      </c>
      <c r="D28" s="198">
        <v>400327</v>
      </c>
      <c r="E28" s="198" t="s">
        <v>2003</v>
      </c>
      <c r="F28" s="198" t="s">
        <v>2237</v>
      </c>
      <c r="G28" s="198"/>
      <c r="H28" s="198"/>
      <c r="I28" s="200">
        <v>1</v>
      </c>
      <c r="J28" s="198" t="s">
        <v>2234</v>
      </c>
      <c r="K28" s="200">
        <v>2024</v>
      </c>
      <c r="L28" s="198"/>
      <c r="M28" s="198" t="s">
        <v>1415</v>
      </c>
      <c r="N28" s="198" t="s">
        <v>2183</v>
      </c>
      <c r="O28" s="198" t="s">
        <v>2238</v>
      </c>
      <c r="P28" s="198" t="s">
        <v>2186</v>
      </c>
      <c r="Q28" s="198"/>
      <c r="R28" s="198"/>
      <c r="S28" s="201">
        <v>45316</v>
      </c>
      <c r="T28" s="201">
        <v>45316</v>
      </c>
      <c r="U28" s="198" t="s">
        <v>2239</v>
      </c>
      <c r="V28" s="198">
        <v>1000</v>
      </c>
      <c r="W28" s="198">
        <v>14040</v>
      </c>
      <c r="X28" s="202">
        <v>135907.01999999999</v>
      </c>
      <c r="Y28" s="198">
        <v>14046</v>
      </c>
      <c r="Z28" s="202">
        <v>3397.68</v>
      </c>
      <c r="AA28" s="202">
        <v>0</v>
      </c>
      <c r="AB28" s="202">
        <v>132509.34</v>
      </c>
      <c r="AC28" s="202">
        <v>3397.68</v>
      </c>
      <c r="AD28" s="198">
        <v>51260</v>
      </c>
      <c r="AE28" s="202">
        <v>1132.56</v>
      </c>
      <c r="AF28" s="202">
        <v>0</v>
      </c>
      <c r="AG28" s="202">
        <v>1132.56</v>
      </c>
      <c r="AH28" s="198" t="s">
        <v>989</v>
      </c>
      <c r="AI28" s="198"/>
      <c r="AJ28" s="198"/>
      <c r="AK28" s="198">
        <v>1099</v>
      </c>
      <c r="AL28" s="198" t="s">
        <v>147</v>
      </c>
      <c r="AM28" s="198" t="s">
        <v>1857</v>
      </c>
      <c r="AN28" s="196">
        <f t="shared" si="10"/>
        <v>1</v>
      </c>
      <c r="AO28" s="196">
        <f t="shared" si="11"/>
        <v>2024</v>
      </c>
      <c r="AP28" s="195">
        <f t="shared" si="12"/>
        <v>2034</v>
      </c>
      <c r="AQ28" s="194">
        <f t="shared" si="13"/>
        <v>2034.0833333333333</v>
      </c>
      <c r="AR28" s="193">
        <f t="shared" si="14"/>
        <v>1132.5584999999999</v>
      </c>
      <c r="AS28" s="192">
        <f t="shared" si="15"/>
        <v>13590.701999999997</v>
      </c>
      <c r="AT28" s="192">
        <f t="shared" si="16"/>
        <v>13590.701999999997</v>
      </c>
      <c r="AU28" s="192">
        <f t="shared" si="17"/>
        <v>0</v>
      </c>
      <c r="AV28" s="192">
        <f t="shared" si="18"/>
        <v>13590.701999999997</v>
      </c>
      <c r="AW28" s="191">
        <f t="shared" si="19"/>
        <v>122316.318</v>
      </c>
      <c r="AX28" s="190" t="s">
        <v>72</v>
      </c>
      <c r="AY28" s="184"/>
      <c r="BA28" s="203" t="s">
        <v>1855</v>
      </c>
      <c r="BC28" s="204"/>
    </row>
    <row r="29" spans="2:55">
      <c r="B29" s="198">
        <v>2183</v>
      </c>
      <c r="C29" s="199">
        <v>400327</v>
      </c>
      <c r="D29" s="198" t="s">
        <v>989</v>
      </c>
      <c r="E29" s="198" t="s">
        <v>2003</v>
      </c>
      <c r="F29" s="198" t="s">
        <v>2233</v>
      </c>
      <c r="G29" s="198"/>
      <c r="H29" s="198"/>
      <c r="I29" s="200">
        <v>1</v>
      </c>
      <c r="J29" s="198" t="s">
        <v>2234</v>
      </c>
      <c r="K29" s="200">
        <v>0</v>
      </c>
      <c r="L29" s="198" t="s">
        <v>2235</v>
      </c>
      <c r="M29" s="198"/>
      <c r="N29" s="198" t="s">
        <v>2183</v>
      </c>
      <c r="O29" s="198" t="s">
        <v>2184</v>
      </c>
      <c r="P29" s="198"/>
      <c r="Q29" s="198"/>
      <c r="R29" s="198"/>
      <c r="S29" s="201">
        <v>45316</v>
      </c>
      <c r="T29" s="201">
        <v>45177</v>
      </c>
      <c r="U29" s="198" t="s">
        <v>2236</v>
      </c>
      <c r="V29" s="198">
        <v>1000</v>
      </c>
      <c r="W29" s="198">
        <v>14040</v>
      </c>
      <c r="X29" s="202">
        <v>232796.23</v>
      </c>
      <c r="Y29" s="198">
        <v>14046</v>
      </c>
      <c r="Z29" s="202">
        <v>5819.91</v>
      </c>
      <c r="AA29" s="202">
        <v>0</v>
      </c>
      <c r="AB29" s="202">
        <v>226976.32</v>
      </c>
      <c r="AC29" s="202">
        <v>5819.91</v>
      </c>
      <c r="AD29" s="198">
        <v>51260</v>
      </c>
      <c r="AE29" s="202">
        <v>1939.97</v>
      </c>
      <c r="AF29" s="202">
        <v>0</v>
      </c>
      <c r="AG29" s="202">
        <v>1939.97</v>
      </c>
      <c r="AH29" s="198" t="s">
        <v>989</v>
      </c>
      <c r="AI29" s="198"/>
      <c r="AJ29" s="198"/>
      <c r="AK29" s="198">
        <v>1099</v>
      </c>
      <c r="AL29" s="198" t="s">
        <v>147</v>
      </c>
      <c r="AM29" s="198" t="s">
        <v>1857</v>
      </c>
      <c r="AN29" s="196">
        <f t="shared" si="10"/>
        <v>1</v>
      </c>
      <c r="AO29" s="196">
        <f t="shared" si="11"/>
        <v>2024</v>
      </c>
      <c r="AP29" s="195">
        <f t="shared" si="12"/>
        <v>2034</v>
      </c>
      <c r="AQ29" s="194">
        <f t="shared" si="13"/>
        <v>2034.0833333333333</v>
      </c>
      <c r="AR29" s="193">
        <f t="shared" si="14"/>
        <v>1939.9685833333333</v>
      </c>
      <c r="AS29" s="192">
        <f t="shared" si="15"/>
        <v>23279.623</v>
      </c>
      <c r="AT29" s="192">
        <f t="shared" si="16"/>
        <v>23279.623</v>
      </c>
      <c r="AU29" s="192">
        <f t="shared" si="17"/>
        <v>0</v>
      </c>
      <c r="AV29" s="192">
        <f t="shared" si="18"/>
        <v>23279.623</v>
      </c>
      <c r="AW29" s="191">
        <f t="shared" si="19"/>
        <v>209516.60700000002</v>
      </c>
      <c r="AX29" s="190" t="s">
        <v>72</v>
      </c>
      <c r="AY29" s="184"/>
      <c r="BA29" s="211" t="s">
        <v>274</v>
      </c>
      <c r="BB29" s="212"/>
      <c r="BC29" s="213"/>
    </row>
    <row r="30" spans="2:55">
      <c r="B30" s="198">
        <v>2183</v>
      </c>
      <c r="C30" s="199">
        <v>403557</v>
      </c>
      <c r="D30" s="198" t="s">
        <v>989</v>
      </c>
      <c r="E30" s="198" t="s">
        <v>2003</v>
      </c>
      <c r="F30" s="198" t="s">
        <v>1060</v>
      </c>
      <c r="G30" s="198"/>
      <c r="H30" s="198"/>
      <c r="I30" s="200">
        <v>2</v>
      </c>
      <c r="J30" s="198"/>
      <c r="K30" s="200">
        <v>0</v>
      </c>
      <c r="L30" s="198"/>
      <c r="M30" s="198"/>
      <c r="N30" s="198" t="s">
        <v>2190</v>
      </c>
      <c r="O30" s="198" t="s">
        <v>2252</v>
      </c>
      <c r="P30" s="198"/>
      <c r="Q30" s="198"/>
      <c r="R30" s="198"/>
      <c r="S30" s="201">
        <v>45293</v>
      </c>
      <c r="T30" s="201">
        <v>45293</v>
      </c>
      <c r="U30" s="198" t="s">
        <v>2255</v>
      </c>
      <c r="V30" s="198">
        <v>1200</v>
      </c>
      <c r="W30" s="198">
        <v>14050</v>
      </c>
      <c r="X30" s="202">
        <v>1730.1</v>
      </c>
      <c r="Y30" s="198">
        <v>14056</v>
      </c>
      <c r="Z30" s="202">
        <v>48.04</v>
      </c>
      <c r="AA30" s="202">
        <v>0</v>
      </c>
      <c r="AB30" s="202">
        <v>1682.06</v>
      </c>
      <c r="AC30" s="202">
        <v>48.04</v>
      </c>
      <c r="AD30" s="198">
        <v>54260</v>
      </c>
      <c r="AE30" s="202">
        <v>12.01</v>
      </c>
      <c r="AF30" s="202">
        <v>0</v>
      </c>
      <c r="AG30" s="202">
        <v>12.01</v>
      </c>
      <c r="AH30" s="198" t="s">
        <v>989</v>
      </c>
      <c r="AI30" s="198"/>
      <c r="AJ30" s="198"/>
      <c r="AK30" s="198">
        <v>0</v>
      </c>
      <c r="AL30" s="198" t="s">
        <v>1854</v>
      </c>
      <c r="AM30" s="198" t="s">
        <v>2282</v>
      </c>
      <c r="AN30" s="196">
        <f t="shared" si="10"/>
        <v>1</v>
      </c>
      <c r="AO30" s="196">
        <f t="shared" si="11"/>
        <v>2024</v>
      </c>
      <c r="AP30" s="195">
        <f t="shared" si="12"/>
        <v>2036</v>
      </c>
      <c r="AQ30" s="194">
        <f t="shared" si="13"/>
        <v>2036.0833333333333</v>
      </c>
      <c r="AR30" s="193">
        <f t="shared" si="14"/>
        <v>12.014583333333333</v>
      </c>
      <c r="AS30" s="192">
        <f t="shared" si="15"/>
        <v>144.17499999999998</v>
      </c>
      <c r="AT30" s="192">
        <f t="shared" si="16"/>
        <v>144.17499999999998</v>
      </c>
      <c r="AU30" s="192">
        <f t="shared" si="17"/>
        <v>0</v>
      </c>
      <c r="AV30" s="192">
        <f t="shared" si="18"/>
        <v>144.17499999999998</v>
      </c>
      <c r="AW30" s="191">
        <f t="shared" si="19"/>
        <v>1585.925</v>
      </c>
      <c r="AX30" s="190" t="s">
        <v>72</v>
      </c>
      <c r="AY30" s="184"/>
      <c r="BA30" s="203" t="s">
        <v>85</v>
      </c>
      <c r="BC30" s="204"/>
    </row>
    <row r="31" spans="2:55">
      <c r="B31" s="198">
        <v>2183</v>
      </c>
      <c r="C31" s="199">
        <v>403550</v>
      </c>
      <c r="D31" s="198" t="s">
        <v>989</v>
      </c>
      <c r="E31" s="198" t="s">
        <v>2003</v>
      </c>
      <c r="F31" s="198" t="s">
        <v>1556</v>
      </c>
      <c r="G31" s="198"/>
      <c r="H31" s="198"/>
      <c r="I31" s="200">
        <v>702</v>
      </c>
      <c r="J31" s="198"/>
      <c r="K31" s="200">
        <v>0</v>
      </c>
      <c r="L31" s="198"/>
      <c r="M31" s="198"/>
      <c r="N31" s="198" t="s">
        <v>2190</v>
      </c>
      <c r="O31" s="198" t="s">
        <v>2263</v>
      </c>
      <c r="P31" s="198"/>
      <c r="Q31" s="198"/>
      <c r="R31" s="198"/>
      <c r="S31" s="201">
        <v>45356</v>
      </c>
      <c r="T31" s="201">
        <v>45356</v>
      </c>
      <c r="U31" s="198" t="s">
        <v>2265</v>
      </c>
      <c r="V31" s="198">
        <v>700</v>
      </c>
      <c r="W31" s="198">
        <v>14050</v>
      </c>
      <c r="X31" s="202">
        <v>38196.21</v>
      </c>
      <c r="Y31" s="198">
        <v>14056</v>
      </c>
      <c r="Z31" s="202">
        <v>909.44</v>
      </c>
      <c r="AA31" s="202">
        <v>0</v>
      </c>
      <c r="AB31" s="202">
        <v>37286.769999999997</v>
      </c>
      <c r="AC31" s="202">
        <v>909.44</v>
      </c>
      <c r="AD31" s="198">
        <v>54260</v>
      </c>
      <c r="AE31" s="202">
        <v>454.72</v>
      </c>
      <c r="AF31" s="202">
        <v>0</v>
      </c>
      <c r="AG31" s="202">
        <v>454.72</v>
      </c>
      <c r="AH31" s="198" t="s">
        <v>989</v>
      </c>
      <c r="AI31" s="198"/>
      <c r="AJ31" s="198"/>
      <c r="AK31" s="198">
        <v>0</v>
      </c>
      <c r="AL31" s="198" t="s">
        <v>2301</v>
      </c>
      <c r="AM31" s="198" t="s">
        <v>933</v>
      </c>
      <c r="AN31" s="196">
        <f t="shared" si="10"/>
        <v>3</v>
      </c>
      <c r="AO31" s="196">
        <f t="shared" si="11"/>
        <v>2024</v>
      </c>
      <c r="AP31" s="195">
        <f t="shared" si="12"/>
        <v>2031</v>
      </c>
      <c r="AQ31" s="194">
        <f t="shared" si="13"/>
        <v>2031.25</v>
      </c>
      <c r="AR31" s="193">
        <f t="shared" si="14"/>
        <v>454.71678571428566</v>
      </c>
      <c r="AS31" s="192">
        <f t="shared" si="15"/>
        <v>5456.6014285714282</v>
      </c>
      <c r="AT31" s="192">
        <f t="shared" si="16"/>
        <v>5456.6014285714282</v>
      </c>
      <c r="AU31" s="192">
        <f t="shared" si="17"/>
        <v>0</v>
      </c>
      <c r="AV31" s="192">
        <f t="shared" si="18"/>
        <v>5456.6014285714282</v>
      </c>
      <c r="AW31" s="191">
        <f t="shared" si="19"/>
        <v>32739.608571428573</v>
      </c>
      <c r="AX31" s="190" t="s">
        <v>72</v>
      </c>
      <c r="AY31" s="184"/>
      <c r="BA31" s="203" t="s">
        <v>275</v>
      </c>
      <c r="BC31" s="204"/>
    </row>
    <row r="32" spans="2:55">
      <c r="B32" s="198">
        <v>2183</v>
      </c>
      <c r="C32" s="199">
        <v>403497</v>
      </c>
      <c r="D32" s="198" t="s">
        <v>989</v>
      </c>
      <c r="E32" s="198" t="s">
        <v>2003</v>
      </c>
      <c r="F32" s="198" t="s">
        <v>1555</v>
      </c>
      <c r="G32" s="198"/>
      <c r="H32" s="198"/>
      <c r="I32" s="200">
        <v>702</v>
      </c>
      <c r="J32" s="198"/>
      <c r="K32" s="200">
        <v>0</v>
      </c>
      <c r="L32" s="198"/>
      <c r="M32" s="198"/>
      <c r="N32" s="198" t="s">
        <v>2190</v>
      </c>
      <c r="O32" s="198" t="s">
        <v>2263</v>
      </c>
      <c r="P32" s="198"/>
      <c r="Q32" s="198"/>
      <c r="R32" s="198"/>
      <c r="S32" s="201">
        <v>45355</v>
      </c>
      <c r="T32" s="201">
        <v>45355</v>
      </c>
      <c r="U32" s="198" t="s">
        <v>2264</v>
      </c>
      <c r="V32" s="198">
        <v>700</v>
      </c>
      <c r="W32" s="198">
        <v>14050</v>
      </c>
      <c r="X32" s="202">
        <v>38196.21</v>
      </c>
      <c r="Y32" s="198">
        <v>14056</v>
      </c>
      <c r="Z32" s="202">
        <v>909.44</v>
      </c>
      <c r="AA32" s="202">
        <v>0</v>
      </c>
      <c r="AB32" s="202">
        <v>37286.769999999997</v>
      </c>
      <c r="AC32" s="202">
        <v>909.44</v>
      </c>
      <c r="AD32" s="198">
        <v>54260</v>
      </c>
      <c r="AE32" s="202">
        <v>454.72</v>
      </c>
      <c r="AF32" s="202">
        <v>0</v>
      </c>
      <c r="AG32" s="202">
        <v>454.72</v>
      </c>
      <c r="AH32" s="198" t="s">
        <v>989</v>
      </c>
      <c r="AI32" s="198"/>
      <c r="AJ32" s="198"/>
      <c r="AK32" s="198">
        <v>0</v>
      </c>
      <c r="AL32" s="198" t="s">
        <v>424</v>
      </c>
      <c r="AM32" s="198" t="s">
        <v>424</v>
      </c>
      <c r="AN32" s="196">
        <f t="shared" si="10"/>
        <v>3</v>
      </c>
      <c r="AO32" s="196">
        <f t="shared" si="11"/>
        <v>2024</v>
      </c>
      <c r="AP32" s="195">
        <f t="shared" si="12"/>
        <v>2031</v>
      </c>
      <c r="AQ32" s="194">
        <f t="shared" si="13"/>
        <v>2031.25</v>
      </c>
      <c r="AR32" s="193">
        <f t="shared" si="14"/>
        <v>454.71678571428566</v>
      </c>
      <c r="AS32" s="192">
        <f t="shared" si="15"/>
        <v>5456.6014285714282</v>
      </c>
      <c r="AT32" s="192">
        <f t="shared" si="16"/>
        <v>5456.6014285714282</v>
      </c>
      <c r="AU32" s="192">
        <f t="shared" si="17"/>
        <v>0</v>
      </c>
      <c r="AV32" s="192">
        <f t="shared" si="18"/>
        <v>5456.6014285714282</v>
      </c>
      <c r="AW32" s="191">
        <f t="shared" si="19"/>
        <v>32739.608571428573</v>
      </c>
      <c r="AX32" s="190" t="s">
        <v>72</v>
      </c>
      <c r="AY32" s="184"/>
      <c r="BA32" s="203" t="s">
        <v>21</v>
      </c>
      <c r="BC32" s="204"/>
    </row>
    <row r="33" spans="2:55" hidden="1">
      <c r="B33" s="198">
        <v>2183</v>
      </c>
      <c r="C33" s="199">
        <v>407354</v>
      </c>
      <c r="D33" s="198">
        <v>400330</v>
      </c>
      <c r="E33" s="198" t="s">
        <v>2003</v>
      </c>
      <c r="F33" s="198" t="s">
        <v>2272</v>
      </c>
      <c r="G33" s="198"/>
      <c r="H33" s="198"/>
      <c r="I33" s="200">
        <v>1</v>
      </c>
      <c r="J33" s="198" t="s">
        <v>2243</v>
      </c>
      <c r="K33" s="200">
        <v>0</v>
      </c>
      <c r="L33" s="198"/>
      <c r="M33" s="198"/>
      <c r="N33" s="198" t="s">
        <v>2183</v>
      </c>
      <c r="O33" s="198" t="s">
        <v>2238</v>
      </c>
      <c r="P33" s="198" t="s">
        <v>2186</v>
      </c>
      <c r="Q33" s="198"/>
      <c r="R33" s="198"/>
      <c r="S33" s="201">
        <v>45316</v>
      </c>
      <c r="T33" s="201">
        <v>45316</v>
      </c>
      <c r="U33" s="198" t="s">
        <v>2246</v>
      </c>
      <c r="V33" s="198">
        <v>1000</v>
      </c>
      <c r="W33" s="198">
        <v>14040</v>
      </c>
      <c r="X33" s="202">
        <v>346.08</v>
      </c>
      <c r="Y33" s="198">
        <v>14046</v>
      </c>
      <c r="Z33" s="202">
        <v>8.64</v>
      </c>
      <c r="AA33" s="202">
        <v>0</v>
      </c>
      <c r="AB33" s="202">
        <v>337.44</v>
      </c>
      <c r="AC33" s="202">
        <v>8.64</v>
      </c>
      <c r="AD33" s="198">
        <v>51260</v>
      </c>
      <c r="AE33" s="202">
        <v>2.88</v>
      </c>
      <c r="AF33" s="202">
        <v>5.76</v>
      </c>
      <c r="AG33" s="202">
        <v>8.64</v>
      </c>
      <c r="AH33" s="198" t="s">
        <v>989</v>
      </c>
      <c r="AI33" s="198"/>
      <c r="AJ33" s="198"/>
      <c r="AK33" s="198">
        <v>1100</v>
      </c>
      <c r="AL33" s="198" t="s">
        <v>147</v>
      </c>
      <c r="AM33" s="198" t="s">
        <v>1857</v>
      </c>
      <c r="AN33" s="196">
        <f t="shared" si="10"/>
        <v>1</v>
      </c>
      <c r="AO33" s="196">
        <f t="shared" si="11"/>
        <v>2024</v>
      </c>
      <c r="AP33" s="195">
        <f t="shared" si="12"/>
        <v>2034</v>
      </c>
      <c r="AQ33" s="194">
        <f t="shared" si="13"/>
        <v>2034.0833333333333</v>
      </c>
      <c r="AR33" s="193">
        <f t="shared" si="14"/>
        <v>2.8839999999999999</v>
      </c>
      <c r="AS33" s="192">
        <f t="shared" si="15"/>
        <v>34.607999999999997</v>
      </c>
      <c r="AT33" s="192">
        <f t="shared" si="16"/>
        <v>34.607999999999997</v>
      </c>
      <c r="AU33" s="192">
        <f t="shared" si="17"/>
        <v>0</v>
      </c>
      <c r="AV33" s="192">
        <f t="shared" si="18"/>
        <v>34.607999999999997</v>
      </c>
      <c r="AW33" s="191">
        <f t="shared" si="19"/>
        <v>311.47199999999998</v>
      </c>
      <c r="AX33" s="190" t="s">
        <v>72</v>
      </c>
      <c r="AY33" s="184"/>
      <c r="BA33" s="203" t="s">
        <v>917</v>
      </c>
      <c r="BC33" s="204"/>
    </row>
    <row r="34" spans="2:55" hidden="1">
      <c r="B34" s="198">
        <v>2183</v>
      </c>
      <c r="C34" s="199">
        <v>404921</v>
      </c>
      <c r="D34" s="198">
        <v>400330</v>
      </c>
      <c r="E34" s="198" t="s">
        <v>2003</v>
      </c>
      <c r="F34" s="198" t="s">
        <v>2249</v>
      </c>
      <c r="G34" s="198"/>
      <c r="H34" s="198"/>
      <c r="I34" s="200">
        <v>1</v>
      </c>
      <c r="J34" s="198" t="s">
        <v>2243</v>
      </c>
      <c r="K34" s="200">
        <v>0</v>
      </c>
      <c r="L34" s="198"/>
      <c r="M34" s="198"/>
      <c r="N34" s="198" t="s">
        <v>2183</v>
      </c>
      <c r="O34" s="198" t="s">
        <v>2238</v>
      </c>
      <c r="P34" s="198" t="s">
        <v>2186</v>
      </c>
      <c r="Q34" s="198"/>
      <c r="R34" s="198"/>
      <c r="S34" s="201">
        <v>45316</v>
      </c>
      <c r="T34" s="201">
        <v>45316</v>
      </c>
      <c r="U34" s="198" t="s">
        <v>2246</v>
      </c>
      <c r="V34" s="198">
        <v>1000</v>
      </c>
      <c r="W34" s="198">
        <v>14040</v>
      </c>
      <c r="X34" s="202">
        <v>930.86</v>
      </c>
      <c r="Y34" s="198">
        <v>14046</v>
      </c>
      <c r="Z34" s="202">
        <v>23.28</v>
      </c>
      <c r="AA34" s="202">
        <v>0</v>
      </c>
      <c r="AB34" s="202">
        <v>907.58</v>
      </c>
      <c r="AC34" s="202">
        <v>23.28</v>
      </c>
      <c r="AD34" s="198">
        <v>51260</v>
      </c>
      <c r="AE34" s="202">
        <v>7.76</v>
      </c>
      <c r="AF34" s="202">
        <v>0</v>
      </c>
      <c r="AG34" s="202">
        <v>7.76</v>
      </c>
      <c r="AH34" s="198" t="s">
        <v>989</v>
      </c>
      <c r="AI34" s="198"/>
      <c r="AJ34" s="198"/>
      <c r="AK34" s="198">
        <v>1100</v>
      </c>
      <c r="AL34" s="198" t="s">
        <v>147</v>
      </c>
      <c r="AM34" s="198" t="s">
        <v>1857</v>
      </c>
      <c r="AN34" s="196">
        <f t="shared" si="10"/>
        <v>1</v>
      </c>
      <c r="AO34" s="196">
        <f t="shared" si="11"/>
        <v>2024</v>
      </c>
      <c r="AP34" s="195">
        <f t="shared" si="12"/>
        <v>2034</v>
      </c>
      <c r="AQ34" s="194">
        <f t="shared" si="13"/>
        <v>2034.0833333333333</v>
      </c>
      <c r="AR34" s="193">
        <f t="shared" si="14"/>
        <v>7.7571666666666665</v>
      </c>
      <c r="AS34" s="192">
        <f t="shared" si="15"/>
        <v>93.085999999999999</v>
      </c>
      <c r="AT34" s="192">
        <f t="shared" si="16"/>
        <v>93.085999999999999</v>
      </c>
      <c r="AU34" s="192">
        <f t="shared" si="17"/>
        <v>0</v>
      </c>
      <c r="AV34" s="192">
        <f t="shared" si="18"/>
        <v>93.085999999999999</v>
      </c>
      <c r="AW34" s="191">
        <f t="shared" si="19"/>
        <v>837.774</v>
      </c>
      <c r="AX34" s="190" t="s">
        <v>72</v>
      </c>
      <c r="AY34" s="184"/>
      <c r="BA34" s="203" t="s">
        <v>913</v>
      </c>
      <c r="BC34" s="204"/>
    </row>
    <row r="35" spans="2:55" hidden="1">
      <c r="B35" s="198">
        <v>2183</v>
      </c>
      <c r="C35" s="199">
        <v>404253</v>
      </c>
      <c r="D35" s="198">
        <v>400330</v>
      </c>
      <c r="E35" s="198" t="s">
        <v>2003</v>
      </c>
      <c r="F35" s="198" t="s">
        <v>2248</v>
      </c>
      <c r="G35" s="198"/>
      <c r="H35" s="198"/>
      <c r="I35" s="200">
        <v>1</v>
      </c>
      <c r="J35" s="198"/>
      <c r="K35" s="200">
        <v>0</v>
      </c>
      <c r="L35" s="198"/>
      <c r="M35" s="198"/>
      <c r="N35" s="198" t="s">
        <v>2183</v>
      </c>
      <c r="O35" s="198" t="s">
        <v>2238</v>
      </c>
      <c r="P35" s="198" t="s">
        <v>2186</v>
      </c>
      <c r="Q35" s="198"/>
      <c r="R35" s="198"/>
      <c r="S35" s="201">
        <v>45316</v>
      </c>
      <c r="T35" s="201">
        <v>45316</v>
      </c>
      <c r="U35" s="198" t="s">
        <v>2246</v>
      </c>
      <c r="V35" s="198">
        <v>1000</v>
      </c>
      <c r="W35" s="198">
        <v>14040</v>
      </c>
      <c r="X35" s="202">
        <v>818.52</v>
      </c>
      <c r="Y35" s="198">
        <v>14046</v>
      </c>
      <c r="Z35" s="202">
        <v>20.46</v>
      </c>
      <c r="AA35" s="202">
        <v>0</v>
      </c>
      <c r="AB35" s="202">
        <v>798.06</v>
      </c>
      <c r="AC35" s="202">
        <v>20.46</v>
      </c>
      <c r="AD35" s="198">
        <v>51260</v>
      </c>
      <c r="AE35" s="202">
        <v>6.82</v>
      </c>
      <c r="AF35" s="202">
        <v>0</v>
      </c>
      <c r="AG35" s="202">
        <v>6.82</v>
      </c>
      <c r="AH35" s="198" t="s">
        <v>989</v>
      </c>
      <c r="AI35" s="198"/>
      <c r="AJ35" s="198"/>
      <c r="AK35" s="198">
        <v>1100</v>
      </c>
      <c r="AL35" s="198" t="s">
        <v>147</v>
      </c>
      <c r="AM35" s="198" t="s">
        <v>1857</v>
      </c>
      <c r="AN35" s="196">
        <f t="shared" si="10"/>
        <v>1</v>
      </c>
      <c r="AO35" s="196">
        <f t="shared" si="11"/>
        <v>2024</v>
      </c>
      <c r="AP35" s="195">
        <f t="shared" si="12"/>
        <v>2034</v>
      </c>
      <c r="AQ35" s="194">
        <f t="shared" si="13"/>
        <v>2034.0833333333333</v>
      </c>
      <c r="AR35" s="193">
        <f t="shared" si="14"/>
        <v>6.8210000000000006</v>
      </c>
      <c r="AS35" s="192">
        <f t="shared" si="15"/>
        <v>81.852000000000004</v>
      </c>
      <c r="AT35" s="192">
        <f t="shared" si="16"/>
        <v>81.852000000000004</v>
      </c>
      <c r="AU35" s="192">
        <f t="shared" si="17"/>
        <v>0</v>
      </c>
      <c r="AV35" s="192">
        <f t="shared" si="18"/>
        <v>81.852000000000004</v>
      </c>
      <c r="AW35" s="191">
        <f t="shared" si="19"/>
        <v>736.66800000000001</v>
      </c>
      <c r="AX35" s="190" t="s">
        <v>72</v>
      </c>
      <c r="AY35" s="184"/>
      <c r="BA35" s="203" t="s">
        <v>802</v>
      </c>
      <c r="BC35" s="204"/>
    </row>
    <row r="36" spans="2:55" hidden="1">
      <c r="B36" s="198">
        <v>2183</v>
      </c>
      <c r="C36" s="199">
        <v>402700</v>
      </c>
      <c r="D36" s="198">
        <v>400330</v>
      </c>
      <c r="E36" s="198" t="s">
        <v>2003</v>
      </c>
      <c r="F36" s="198" t="s">
        <v>2247</v>
      </c>
      <c r="G36" s="198"/>
      <c r="H36" s="198"/>
      <c r="I36" s="200">
        <v>1</v>
      </c>
      <c r="J36" s="198"/>
      <c r="K36" s="200">
        <v>0</v>
      </c>
      <c r="L36" s="198"/>
      <c r="M36" s="198" t="s">
        <v>1415</v>
      </c>
      <c r="N36" s="198" t="s">
        <v>2183</v>
      </c>
      <c r="O36" s="198" t="s">
        <v>2238</v>
      </c>
      <c r="P36" s="198" t="s">
        <v>2186</v>
      </c>
      <c r="Q36" s="198"/>
      <c r="R36" s="198"/>
      <c r="S36" s="201">
        <v>45316</v>
      </c>
      <c r="T36" s="201">
        <v>45316</v>
      </c>
      <c r="U36" s="198" t="s">
        <v>2246</v>
      </c>
      <c r="V36" s="198">
        <v>500</v>
      </c>
      <c r="W36" s="198">
        <v>14040</v>
      </c>
      <c r="X36" s="202">
        <v>793.87</v>
      </c>
      <c r="Y36" s="198">
        <v>14046</v>
      </c>
      <c r="Z36" s="202">
        <v>39.69</v>
      </c>
      <c r="AA36" s="202">
        <v>0</v>
      </c>
      <c r="AB36" s="202">
        <v>754.18000000000006</v>
      </c>
      <c r="AC36" s="202">
        <v>39.69</v>
      </c>
      <c r="AD36" s="198">
        <v>51260</v>
      </c>
      <c r="AE36" s="202">
        <v>13.23</v>
      </c>
      <c r="AF36" s="202">
        <v>0</v>
      </c>
      <c r="AG36" s="202">
        <v>13.23</v>
      </c>
      <c r="AH36" s="198" t="s">
        <v>989</v>
      </c>
      <c r="AI36" s="198"/>
      <c r="AJ36" s="198"/>
      <c r="AK36" s="198">
        <v>1100</v>
      </c>
      <c r="AL36" s="198" t="s">
        <v>147</v>
      </c>
      <c r="AM36" s="198" t="s">
        <v>1857</v>
      </c>
      <c r="AN36" s="196">
        <f t="shared" si="10"/>
        <v>1</v>
      </c>
      <c r="AO36" s="196">
        <f t="shared" si="11"/>
        <v>2024</v>
      </c>
      <c r="AP36" s="195">
        <f t="shared" si="12"/>
        <v>2029</v>
      </c>
      <c r="AQ36" s="194">
        <f t="shared" si="13"/>
        <v>2029.0833333333333</v>
      </c>
      <c r="AR36" s="193">
        <f t="shared" si="14"/>
        <v>13.231166666666667</v>
      </c>
      <c r="AS36" s="192">
        <f t="shared" si="15"/>
        <v>158.774</v>
      </c>
      <c r="AT36" s="192">
        <f t="shared" si="16"/>
        <v>158.774</v>
      </c>
      <c r="AU36" s="192">
        <f t="shared" si="17"/>
        <v>0</v>
      </c>
      <c r="AV36" s="192">
        <f t="shared" si="18"/>
        <v>158.774</v>
      </c>
      <c r="AW36" s="191">
        <f t="shared" si="19"/>
        <v>635.096</v>
      </c>
      <c r="AX36" s="190" t="s">
        <v>72</v>
      </c>
      <c r="AY36" s="184"/>
      <c r="BA36" s="203" t="s">
        <v>1856</v>
      </c>
      <c r="BC36" s="204"/>
    </row>
    <row r="37" spans="2:55" ht="15.75" hidden="1" thickBot="1">
      <c r="B37" s="198">
        <v>2183</v>
      </c>
      <c r="C37" s="199">
        <v>401993</v>
      </c>
      <c r="D37" s="198">
        <v>318746</v>
      </c>
      <c r="E37" s="198" t="s">
        <v>2003</v>
      </c>
      <c r="F37" s="198" t="s">
        <v>2231</v>
      </c>
      <c r="G37" s="198"/>
      <c r="H37" s="198"/>
      <c r="I37" s="200">
        <v>1</v>
      </c>
      <c r="J37" s="198" t="s">
        <v>2060</v>
      </c>
      <c r="K37" s="200">
        <v>2024</v>
      </c>
      <c r="L37" s="198"/>
      <c r="M37" s="198" t="s">
        <v>1415</v>
      </c>
      <c r="N37" s="198" t="s">
        <v>2183</v>
      </c>
      <c r="O37" s="198" t="s">
        <v>2228</v>
      </c>
      <c r="P37" s="198" t="s">
        <v>2204</v>
      </c>
      <c r="Q37" s="198"/>
      <c r="R37" s="198"/>
      <c r="S37" s="201">
        <v>45293</v>
      </c>
      <c r="T37" s="201">
        <v>45293</v>
      </c>
      <c r="U37" s="198" t="s">
        <v>2061</v>
      </c>
      <c r="V37" s="198">
        <v>1000</v>
      </c>
      <c r="W37" s="198">
        <v>14040</v>
      </c>
      <c r="X37" s="202">
        <v>62300.03</v>
      </c>
      <c r="Y37" s="198">
        <v>14046</v>
      </c>
      <c r="Z37" s="202">
        <v>2076.6799999999998</v>
      </c>
      <c r="AA37" s="202">
        <v>0</v>
      </c>
      <c r="AB37" s="202">
        <v>60223.35</v>
      </c>
      <c r="AC37" s="202">
        <v>2076.6799999999998</v>
      </c>
      <c r="AD37" s="198">
        <v>51260</v>
      </c>
      <c r="AE37" s="202">
        <v>519.16999999999996</v>
      </c>
      <c r="AF37" s="202">
        <v>0</v>
      </c>
      <c r="AG37" s="202">
        <v>519.16999999999996</v>
      </c>
      <c r="AH37" s="198" t="s">
        <v>989</v>
      </c>
      <c r="AI37" s="198"/>
      <c r="AJ37" s="198"/>
      <c r="AK37" s="198" t="s">
        <v>2287</v>
      </c>
      <c r="AL37" s="198" t="s">
        <v>287</v>
      </c>
      <c r="AM37" s="198" t="s">
        <v>2297</v>
      </c>
      <c r="AN37" s="196">
        <f t="shared" si="10"/>
        <v>1</v>
      </c>
      <c r="AO37" s="196">
        <f t="shared" si="11"/>
        <v>2024</v>
      </c>
      <c r="AP37" s="195">
        <f t="shared" si="12"/>
        <v>2034</v>
      </c>
      <c r="AQ37" s="194">
        <f t="shared" si="13"/>
        <v>2034.0833333333333</v>
      </c>
      <c r="AR37" s="193">
        <f t="shared" si="14"/>
        <v>519.16691666666668</v>
      </c>
      <c r="AS37" s="192">
        <f t="shared" si="15"/>
        <v>6230.0030000000006</v>
      </c>
      <c r="AT37" s="192">
        <f t="shared" si="16"/>
        <v>6230.0030000000006</v>
      </c>
      <c r="AU37" s="192">
        <f t="shared" si="17"/>
        <v>0</v>
      </c>
      <c r="AV37" s="192">
        <f t="shared" si="18"/>
        <v>6230.0030000000006</v>
      </c>
      <c r="AW37" s="191">
        <f t="shared" si="19"/>
        <v>56070.027000000002</v>
      </c>
      <c r="AX37" s="190" t="s">
        <v>72</v>
      </c>
      <c r="AY37" s="184"/>
      <c r="BA37" s="205" t="s">
        <v>24</v>
      </c>
      <c r="BB37" s="206"/>
      <c r="BC37" s="207"/>
    </row>
    <row r="38" spans="2:55">
      <c r="B38" s="198">
        <v>2183</v>
      </c>
      <c r="C38" s="199">
        <v>401006</v>
      </c>
      <c r="D38" s="198" t="s">
        <v>989</v>
      </c>
      <c r="E38" s="198" t="s">
        <v>2003</v>
      </c>
      <c r="F38" s="198" t="s">
        <v>2259</v>
      </c>
      <c r="G38" s="198"/>
      <c r="H38" s="198"/>
      <c r="I38" s="200">
        <v>1</v>
      </c>
      <c r="J38" s="198"/>
      <c r="K38" s="200">
        <v>0</v>
      </c>
      <c r="L38" s="198" t="s">
        <v>2260</v>
      </c>
      <c r="M38" s="198"/>
      <c r="N38" s="198" t="s">
        <v>2198</v>
      </c>
      <c r="O38" s="198" t="s">
        <v>2184</v>
      </c>
      <c r="P38" s="198" t="s">
        <v>2261</v>
      </c>
      <c r="Q38" s="198"/>
      <c r="R38" s="198"/>
      <c r="S38" s="201">
        <v>45293</v>
      </c>
      <c r="T38" s="201">
        <v>45293</v>
      </c>
      <c r="U38" s="198" t="s">
        <v>2262</v>
      </c>
      <c r="V38" s="198">
        <v>500</v>
      </c>
      <c r="W38" s="198">
        <v>14070</v>
      </c>
      <c r="X38" s="202">
        <v>12826.51</v>
      </c>
      <c r="Y38" s="198">
        <v>14076</v>
      </c>
      <c r="Z38" s="202">
        <v>855.12</v>
      </c>
      <c r="AA38" s="202">
        <v>0</v>
      </c>
      <c r="AB38" s="202">
        <v>11971.39</v>
      </c>
      <c r="AC38" s="202">
        <v>855.12</v>
      </c>
      <c r="AD38" s="198">
        <v>51260</v>
      </c>
      <c r="AE38" s="202">
        <v>213.78</v>
      </c>
      <c r="AF38" s="202">
        <v>0</v>
      </c>
      <c r="AG38" s="202">
        <v>213.78</v>
      </c>
      <c r="AH38" s="198" t="s">
        <v>989</v>
      </c>
      <c r="AI38" s="198"/>
      <c r="AJ38" s="198"/>
      <c r="AK38" s="198">
        <v>0</v>
      </c>
      <c r="AL38" s="198" t="s">
        <v>85</v>
      </c>
      <c r="AM38" s="198" t="s">
        <v>85</v>
      </c>
      <c r="AN38" s="196">
        <f t="shared" si="10"/>
        <v>1</v>
      </c>
      <c r="AO38" s="196">
        <f t="shared" si="11"/>
        <v>2024</v>
      </c>
      <c r="AP38" s="195">
        <f t="shared" si="12"/>
        <v>2029</v>
      </c>
      <c r="AQ38" s="194">
        <f t="shared" si="13"/>
        <v>2029.0833333333333</v>
      </c>
      <c r="AR38" s="193">
        <f t="shared" si="14"/>
        <v>213.77516666666668</v>
      </c>
      <c r="AS38" s="192">
        <f t="shared" si="15"/>
        <v>2565.3020000000001</v>
      </c>
      <c r="AT38" s="192">
        <f t="shared" si="16"/>
        <v>2565.3020000000001</v>
      </c>
      <c r="AU38" s="192">
        <f t="shared" si="17"/>
        <v>0</v>
      </c>
      <c r="AV38" s="192">
        <f t="shared" si="18"/>
        <v>2565.3020000000001</v>
      </c>
      <c r="AW38" s="191">
        <f t="shared" si="19"/>
        <v>10261.208000000001</v>
      </c>
      <c r="AX38" s="190" t="s">
        <v>72</v>
      </c>
      <c r="AY38" s="184"/>
    </row>
    <row r="39" spans="2:55" hidden="1">
      <c r="B39" s="198">
        <v>2183</v>
      </c>
      <c r="C39" s="199">
        <v>400963</v>
      </c>
      <c r="D39" s="198">
        <v>318746</v>
      </c>
      <c r="E39" s="198" t="s">
        <v>2003</v>
      </c>
      <c r="F39" s="198" t="s">
        <v>2230</v>
      </c>
      <c r="G39" s="198"/>
      <c r="H39" s="198"/>
      <c r="I39" s="200">
        <v>1</v>
      </c>
      <c r="J39" s="198"/>
      <c r="K39" s="200">
        <v>0</v>
      </c>
      <c r="L39" s="198" t="s">
        <v>1112</v>
      </c>
      <c r="M39" s="198"/>
      <c r="N39" s="198" t="s">
        <v>2183</v>
      </c>
      <c r="O39" s="198" t="s">
        <v>2228</v>
      </c>
      <c r="P39" s="198" t="s">
        <v>2229</v>
      </c>
      <c r="Q39" s="198"/>
      <c r="R39" s="198"/>
      <c r="S39" s="201">
        <v>45293</v>
      </c>
      <c r="T39" s="201">
        <v>45293</v>
      </c>
      <c r="U39" s="198" t="s">
        <v>2061</v>
      </c>
      <c r="V39" s="198">
        <v>1000</v>
      </c>
      <c r="W39" s="198">
        <v>14040</v>
      </c>
      <c r="X39" s="202">
        <v>545.13</v>
      </c>
      <c r="Y39" s="198">
        <v>14046</v>
      </c>
      <c r="Z39" s="202">
        <v>18.16</v>
      </c>
      <c r="AA39" s="202">
        <v>0</v>
      </c>
      <c r="AB39" s="202">
        <v>526.97</v>
      </c>
      <c r="AC39" s="202">
        <v>18.16</v>
      </c>
      <c r="AD39" s="198">
        <v>51260</v>
      </c>
      <c r="AE39" s="202">
        <v>4.54</v>
      </c>
      <c r="AF39" s="202">
        <v>0</v>
      </c>
      <c r="AG39" s="202">
        <v>4.54</v>
      </c>
      <c r="AH39" s="198" t="s">
        <v>989</v>
      </c>
      <c r="AI39" s="198"/>
      <c r="AJ39" s="198"/>
      <c r="AK39" s="198">
        <v>4524</v>
      </c>
      <c r="AL39" s="198" t="s">
        <v>287</v>
      </c>
      <c r="AM39" s="198" t="s">
        <v>2297</v>
      </c>
      <c r="AN39" s="196">
        <f t="shared" si="10"/>
        <v>1</v>
      </c>
      <c r="AO39" s="196">
        <f t="shared" si="11"/>
        <v>2024</v>
      </c>
      <c r="AP39" s="195">
        <f t="shared" si="12"/>
        <v>2034</v>
      </c>
      <c r="AQ39" s="194">
        <f t="shared" si="13"/>
        <v>2034.0833333333333</v>
      </c>
      <c r="AR39" s="193">
        <f t="shared" si="14"/>
        <v>4.5427499999999998</v>
      </c>
      <c r="AS39" s="192">
        <f t="shared" si="15"/>
        <v>54.512999999999998</v>
      </c>
      <c r="AT39" s="192">
        <f t="shared" si="16"/>
        <v>54.512999999999998</v>
      </c>
      <c r="AU39" s="192">
        <f t="shared" si="17"/>
        <v>0</v>
      </c>
      <c r="AV39" s="192">
        <f t="shared" si="18"/>
        <v>54.512999999999998</v>
      </c>
      <c r="AW39" s="191">
        <f t="shared" si="19"/>
        <v>490.61700000000002</v>
      </c>
      <c r="AX39" s="190" t="s">
        <v>72</v>
      </c>
      <c r="AY39" s="184"/>
    </row>
    <row r="40" spans="2:55" hidden="1">
      <c r="B40" s="198">
        <v>2183</v>
      </c>
      <c r="C40" s="199">
        <v>400957</v>
      </c>
      <c r="D40" s="198">
        <v>318746</v>
      </c>
      <c r="E40" s="198" t="s">
        <v>2003</v>
      </c>
      <c r="F40" s="198" t="s">
        <v>2227</v>
      </c>
      <c r="G40" s="198"/>
      <c r="H40" s="198"/>
      <c r="I40" s="200">
        <v>1</v>
      </c>
      <c r="J40" s="198"/>
      <c r="K40" s="200">
        <v>0</v>
      </c>
      <c r="L40" s="198" t="s">
        <v>1151</v>
      </c>
      <c r="M40" s="198"/>
      <c r="N40" s="198" t="s">
        <v>2183</v>
      </c>
      <c r="O40" s="198" t="s">
        <v>2228</v>
      </c>
      <c r="P40" s="198" t="s">
        <v>2229</v>
      </c>
      <c r="Q40" s="198"/>
      <c r="R40" s="198"/>
      <c r="S40" s="201">
        <v>45293</v>
      </c>
      <c r="T40" s="201">
        <v>45293</v>
      </c>
      <c r="U40" s="198" t="s">
        <v>2061</v>
      </c>
      <c r="V40" s="198">
        <v>1000</v>
      </c>
      <c r="W40" s="198">
        <v>14040</v>
      </c>
      <c r="X40" s="202">
        <v>312.08</v>
      </c>
      <c r="Y40" s="198">
        <v>14046</v>
      </c>
      <c r="Z40" s="202">
        <v>10.4</v>
      </c>
      <c r="AA40" s="202">
        <v>0</v>
      </c>
      <c r="AB40" s="202">
        <v>301.68</v>
      </c>
      <c r="AC40" s="202">
        <v>10.4</v>
      </c>
      <c r="AD40" s="198">
        <v>51260</v>
      </c>
      <c r="AE40" s="202">
        <v>2.6</v>
      </c>
      <c r="AF40" s="202">
        <v>0</v>
      </c>
      <c r="AG40" s="202">
        <v>2.6</v>
      </c>
      <c r="AH40" s="198" t="s">
        <v>989</v>
      </c>
      <c r="AI40" s="198"/>
      <c r="AJ40" s="198"/>
      <c r="AK40" s="198">
        <v>4524</v>
      </c>
      <c r="AL40" s="198" t="s">
        <v>287</v>
      </c>
      <c r="AM40" s="198" t="s">
        <v>2297</v>
      </c>
      <c r="AN40" s="196">
        <f t="shared" si="10"/>
        <v>1</v>
      </c>
      <c r="AO40" s="196">
        <f t="shared" si="11"/>
        <v>2024</v>
      </c>
      <c r="AP40" s="195">
        <f t="shared" si="12"/>
        <v>2034</v>
      </c>
      <c r="AQ40" s="194">
        <f t="shared" si="13"/>
        <v>2034.0833333333333</v>
      </c>
      <c r="AR40" s="193">
        <f t="shared" si="14"/>
        <v>2.6006666666666667</v>
      </c>
      <c r="AS40" s="192">
        <f t="shared" si="15"/>
        <v>31.207999999999998</v>
      </c>
      <c r="AT40" s="192">
        <f t="shared" si="16"/>
        <v>31.207999999999998</v>
      </c>
      <c r="AU40" s="192">
        <f t="shared" si="17"/>
        <v>0</v>
      </c>
      <c r="AV40" s="192">
        <f t="shared" si="18"/>
        <v>31.207999999999998</v>
      </c>
      <c r="AW40" s="191">
        <f t="shared" si="19"/>
        <v>280.87199999999996</v>
      </c>
      <c r="AX40" s="190" t="s">
        <v>72</v>
      </c>
      <c r="AY40" s="184"/>
    </row>
    <row r="41" spans="2:55">
      <c r="B41" s="198">
        <v>2183</v>
      </c>
      <c r="C41" s="199">
        <v>400571</v>
      </c>
      <c r="D41" s="198" t="s">
        <v>989</v>
      </c>
      <c r="E41" s="198" t="s">
        <v>2003</v>
      </c>
      <c r="F41" s="198" t="s">
        <v>1019</v>
      </c>
      <c r="G41" s="198"/>
      <c r="H41" s="198"/>
      <c r="I41" s="200">
        <v>10</v>
      </c>
      <c r="J41" s="198"/>
      <c r="K41" s="200">
        <v>0</v>
      </c>
      <c r="L41" s="198" t="s">
        <v>2257</v>
      </c>
      <c r="M41" s="198"/>
      <c r="N41" s="198" t="s">
        <v>2190</v>
      </c>
      <c r="O41" s="198" t="s">
        <v>2250</v>
      </c>
      <c r="P41" s="198"/>
      <c r="Q41" s="198" t="s">
        <v>2194</v>
      </c>
      <c r="R41" s="198" t="s">
        <v>2195</v>
      </c>
      <c r="S41" s="201">
        <v>45293</v>
      </c>
      <c r="T41" s="201">
        <v>45293</v>
      </c>
      <c r="U41" s="198" t="s">
        <v>2258</v>
      </c>
      <c r="V41" s="198">
        <v>1200</v>
      </c>
      <c r="W41" s="198">
        <v>14050</v>
      </c>
      <c r="X41" s="202">
        <v>14541.6</v>
      </c>
      <c r="Y41" s="198">
        <v>14056</v>
      </c>
      <c r="Z41" s="202">
        <v>403.92</v>
      </c>
      <c r="AA41" s="202">
        <v>0</v>
      </c>
      <c r="AB41" s="202">
        <v>14137.68</v>
      </c>
      <c r="AC41" s="202">
        <v>403.92</v>
      </c>
      <c r="AD41" s="198">
        <v>54260</v>
      </c>
      <c r="AE41" s="202">
        <v>100.98</v>
      </c>
      <c r="AF41" s="202">
        <v>0</v>
      </c>
      <c r="AG41" s="202">
        <v>100.98</v>
      </c>
      <c r="AH41" s="198" t="s">
        <v>989</v>
      </c>
      <c r="AI41" s="198"/>
      <c r="AJ41" s="198"/>
      <c r="AK41" s="198">
        <v>0</v>
      </c>
      <c r="AL41" s="198" t="s">
        <v>1854</v>
      </c>
      <c r="AM41" s="198" t="s">
        <v>2282</v>
      </c>
      <c r="AN41" s="196">
        <f t="shared" si="10"/>
        <v>1</v>
      </c>
      <c r="AO41" s="196">
        <f t="shared" si="11"/>
        <v>2024</v>
      </c>
      <c r="AP41" s="195">
        <f t="shared" si="12"/>
        <v>2036</v>
      </c>
      <c r="AQ41" s="194">
        <f t="shared" si="13"/>
        <v>2036.0833333333333</v>
      </c>
      <c r="AR41" s="193">
        <f t="shared" si="14"/>
        <v>100.98333333333333</v>
      </c>
      <c r="AS41" s="192">
        <f t="shared" si="15"/>
        <v>1211.8</v>
      </c>
      <c r="AT41" s="192">
        <f t="shared" si="16"/>
        <v>1211.8</v>
      </c>
      <c r="AU41" s="192">
        <f t="shared" si="17"/>
        <v>0</v>
      </c>
      <c r="AV41" s="192">
        <f t="shared" si="18"/>
        <v>1211.8</v>
      </c>
      <c r="AW41" s="191">
        <f t="shared" si="19"/>
        <v>13329.800000000001</v>
      </c>
      <c r="AX41" s="190" t="s">
        <v>72</v>
      </c>
      <c r="AY41" s="184"/>
    </row>
    <row r="42" spans="2:55">
      <c r="B42" s="198">
        <v>2183</v>
      </c>
      <c r="C42" s="199">
        <v>400570</v>
      </c>
      <c r="D42" s="198" t="s">
        <v>989</v>
      </c>
      <c r="E42" s="198" t="s">
        <v>2003</v>
      </c>
      <c r="F42" s="198" t="s">
        <v>1065</v>
      </c>
      <c r="G42" s="198"/>
      <c r="H42" s="198"/>
      <c r="I42" s="200">
        <v>5</v>
      </c>
      <c r="J42" s="198"/>
      <c r="K42" s="200">
        <v>0</v>
      </c>
      <c r="L42" s="198" t="s">
        <v>2106</v>
      </c>
      <c r="M42" s="198"/>
      <c r="N42" s="198" t="s">
        <v>2190</v>
      </c>
      <c r="O42" s="198" t="s">
        <v>2252</v>
      </c>
      <c r="P42" s="198"/>
      <c r="Q42" s="198" t="s">
        <v>2200</v>
      </c>
      <c r="R42" s="198" t="s">
        <v>2195</v>
      </c>
      <c r="S42" s="201">
        <v>45293</v>
      </c>
      <c r="T42" s="201">
        <v>45293</v>
      </c>
      <c r="U42" s="198" t="s">
        <v>2256</v>
      </c>
      <c r="V42" s="198">
        <v>1200</v>
      </c>
      <c r="W42" s="198">
        <v>14050</v>
      </c>
      <c r="X42" s="202">
        <v>4188.38</v>
      </c>
      <c r="Y42" s="198">
        <v>14056</v>
      </c>
      <c r="Z42" s="202">
        <v>116.36</v>
      </c>
      <c r="AA42" s="202">
        <v>0</v>
      </c>
      <c r="AB42" s="202">
        <v>4072.02</v>
      </c>
      <c r="AC42" s="202">
        <v>116.36</v>
      </c>
      <c r="AD42" s="198">
        <v>54260</v>
      </c>
      <c r="AE42" s="202">
        <v>29.09</v>
      </c>
      <c r="AF42" s="202">
        <v>0</v>
      </c>
      <c r="AG42" s="202">
        <v>29.09</v>
      </c>
      <c r="AH42" s="198" t="s">
        <v>989</v>
      </c>
      <c r="AI42" s="198"/>
      <c r="AJ42" s="198"/>
      <c r="AK42" s="198">
        <v>0</v>
      </c>
      <c r="AL42" s="198" t="s">
        <v>1854</v>
      </c>
      <c r="AM42" s="198" t="s">
        <v>2282</v>
      </c>
      <c r="AN42" s="196">
        <f t="shared" si="10"/>
        <v>1</v>
      </c>
      <c r="AO42" s="196">
        <f t="shared" si="11"/>
        <v>2024</v>
      </c>
      <c r="AP42" s="195">
        <f t="shared" si="12"/>
        <v>2036</v>
      </c>
      <c r="AQ42" s="194">
        <f t="shared" si="13"/>
        <v>2036.0833333333333</v>
      </c>
      <c r="AR42" s="193">
        <f t="shared" si="14"/>
        <v>29.085972222222225</v>
      </c>
      <c r="AS42" s="192">
        <f t="shared" si="15"/>
        <v>349.03166666666669</v>
      </c>
      <c r="AT42" s="192">
        <f t="shared" si="16"/>
        <v>349.03166666666669</v>
      </c>
      <c r="AU42" s="192">
        <f t="shared" si="17"/>
        <v>0</v>
      </c>
      <c r="AV42" s="192">
        <f t="shared" si="18"/>
        <v>349.03166666666669</v>
      </c>
      <c r="AW42" s="191">
        <f t="shared" si="19"/>
        <v>3839.3483333333334</v>
      </c>
      <c r="AX42" s="190" t="s">
        <v>72</v>
      </c>
      <c r="AY42" s="184"/>
    </row>
    <row r="43" spans="2:55">
      <c r="B43" s="198">
        <v>2183</v>
      </c>
      <c r="C43" s="199">
        <v>400569</v>
      </c>
      <c r="D43" s="198" t="s">
        <v>989</v>
      </c>
      <c r="E43" s="198" t="s">
        <v>2003</v>
      </c>
      <c r="F43" s="198" t="s">
        <v>1065</v>
      </c>
      <c r="G43" s="198"/>
      <c r="H43" s="198"/>
      <c r="I43" s="200">
        <v>5</v>
      </c>
      <c r="J43" s="198"/>
      <c r="K43" s="200">
        <v>0</v>
      </c>
      <c r="L43" s="198" t="s">
        <v>2106</v>
      </c>
      <c r="M43" s="198"/>
      <c r="N43" s="198" t="s">
        <v>2190</v>
      </c>
      <c r="O43" s="198" t="s">
        <v>2252</v>
      </c>
      <c r="P43" s="198"/>
      <c r="Q43" s="198" t="s">
        <v>2200</v>
      </c>
      <c r="R43" s="198" t="s">
        <v>2195</v>
      </c>
      <c r="S43" s="201">
        <v>45293</v>
      </c>
      <c r="T43" s="201">
        <v>45293</v>
      </c>
      <c r="U43" s="198" t="s">
        <v>2256</v>
      </c>
      <c r="V43" s="198">
        <v>1200</v>
      </c>
      <c r="W43" s="198">
        <v>14050</v>
      </c>
      <c r="X43" s="202">
        <v>4188.38</v>
      </c>
      <c r="Y43" s="198">
        <v>14056</v>
      </c>
      <c r="Z43" s="202">
        <v>116.36</v>
      </c>
      <c r="AA43" s="202">
        <v>0</v>
      </c>
      <c r="AB43" s="202">
        <v>4072.02</v>
      </c>
      <c r="AC43" s="202">
        <v>116.36</v>
      </c>
      <c r="AD43" s="198">
        <v>54260</v>
      </c>
      <c r="AE43" s="202">
        <v>29.09</v>
      </c>
      <c r="AF43" s="202">
        <v>0</v>
      </c>
      <c r="AG43" s="202">
        <v>29.09</v>
      </c>
      <c r="AH43" s="198" t="s">
        <v>989</v>
      </c>
      <c r="AI43" s="198"/>
      <c r="AJ43" s="198"/>
      <c r="AK43" s="198">
        <v>0</v>
      </c>
      <c r="AL43" s="198" t="s">
        <v>1854</v>
      </c>
      <c r="AM43" s="198" t="s">
        <v>2282</v>
      </c>
      <c r="AN43" s="196">
        <f t="shared" si="10"/>
        <v>1</v>
      </c>
      <c r="AO43" s="196">
        <f t="shared" si="11"/>
        <v>2024</v>
      </c>
      <c r="AP43" s="195">
        <f t="shared" si="12"/>
        <v>2036</v>
      </c>
      <c r="AQ43" s="194">
        <f t="shared" si="13"/>
        <v>2036.0833333333333</v>
      </c>
      <c r="AR43" s="193">
        <f t="shared" si="14"/>
        <v>29.085972222222225</v>
      </c>
      <c r="AS43" s="192">
        <f t="shared" si="15"/>
        <v>349.03166666666669</v>
      </c>
      <c r="AT43" s="192">
        <f t="shared" si="16"/>
        <v>349.03166666666669</v>
      </c>
      <c r="AU43" s="192">
        <f t="shared" si="17"/>
        <v>0</v>
      </c>
      <c r="AV43" s="192">
        <f t="shared" si="18"/>
        <v>349.03166666666669</v>
      </c>
      <c r="AW43" s="191">
        <f t="shared" si="19"/>
        <v>3839.3483333333334</v>
      </c>
      <c r="AX43" s="190" t="s">
        <v>72</v>
      </c>
      <c r="AY43" s="184"/>
    </row>
    <row r="44" spans="2:55">
      <c r="B44" s="198">
        <v>2183</v>
      </c>
      <c r="C44" s="199">
        <v>400568</v>
      </c>
      <c r="D44" s="198" t="s">
        <v>989</v>
      </c>
      <c r="E44" s="198" t="s">
        <v>2003</v>
      </c>
      <c r="F44" s="198" t="s">
        <v>1880</v>
      </c>
      <c r="G44" s="198"/>
      <c r="H44" s="198"/>
      <c r="I44" s="200">
        <v>5</v>
      </c>
      <c r="J44" s="198"/>
      <c r="K44" s="200">
        <v>0</v>
      </c>
      <c r="L44" s="198" t="s">
        <v>2106</v>
      </c>
      <c r="M44" s="198"/>
      <c r="N44" s="198" t="s">
        <v>2190</v>
      </c>
      <c r="O44" s="198" t="s">
        <v>2250</v>
      </c>
      <c r="P44" s="198"/>
      <c r="Q44" s="198" t="s">
        <v>2203</v>
      </c>
      <c r="R44" s="198" t="s">
        <v>2195</v>
      </c>
      <c r="S44" s="201">
        <v>45293</v>
      </c>
      <c r="T44" s="201">
        <v>45293</v>
      </c>
      <c r="U44" s="198" t="s">
        <v>2254</v>
      </c>
      <c r="V44" s="198">
        <v>1200</v>
      </c>
      <c r="W44" s="198">
        <v>14050</v>
      </c>
      <c r="X44" s="202">
        <v>6077.25</v>
      </c>
      <c r="Y44" s="198">
        <v>14056</v>
      </c>
      <c r="Z44" s="202">
        <v>168.8</v>
      </c>
      <c r="AA44" s="202">
        <v>0</v>
      </c>
      <c r="AB44" s="202">
        <v>5908.45</v>
      </c>
      <c r="AC44" s="202">
        <v>168.8</v>
      </c>
      <c r="AD44" s="198">
        <v>54260</v>
      </c>
      <c r="AE44" s="202">
        <v>42.2</v>
      </c>
      <c r="AF44" s="202">
        <v>0</v>
      </c>
      <c r="AG44" s="202">
        <v>42.2</v>
      </c>
      <c r="AH44" s="198" t="s">
        <v>989</v>
      </c>
      <c r="AI44" s="198"/>
      <c r="AJ44" s="198"/>
      <c r="AK44" s="198">
        <v>0</v>
      </c>
      <c r="AL44" s="198" t="s">
        <v>1854</v>
      </c>
      <c r="AM44" s="198" t="s">
        <v>2282</v>
      </c>
      <c r="AN44" s="196">
        <f t="shared" si="10"/>
        <v>1</v>
      </c>
      <c r="AO44" s="196">
        <f t="shared" si="11"/>
        <v>2024</v>
      </c>
      <c r="AP44" s="195">
        <f t="shared" si="12"/>
        <v>2036</v>
      </c>
      <c r="AQ44" s="194">
        <f t="shared" si="13"/>
        <v>2036.0833333333333</v>
      </c>
      <c r="AR44" s="193">
        <f t="shared" si="14"/>
        <v>42.203125</v>
      </c>
      <c r="AS44" s="192">
        <f t="shared" si="15"/>
        <v>506.4375</v>
      </c>
      <c r="AT44" s="192">
        <f t="shared" si="16"/>
        <v>506.4375</v>
      </c>
      <c r="AU44" s="192">
        <f t="shared" si="17"/>
        <v>0</v>
      </c>
      <c r="AV44" s="192">
        <f t="shared" si="18"/>
        <v>506.4375</v>
      </c>
      <c r="AW44" s="191">
        <f t="shared" si="19"/>
        <v>5570.8125</v>
      </c>
      <c r="AX44" s="190" t="s">
        <v>72</v>
      </c>
      <c r="AY44" s="184"/>
    </row>
    <row r="45" spans="2:55">
      <c r="B45" s="198">
        <v>2183</v>
      </c>
      <c r="C45" s="199">
        <v>400567</v>
      </c>
      <c r="D45" s="198" t="s">
        <v>989</v>
      </c>
      <c r="E45" s="198" t="s">
        <v>2003</v>
      </c>
      <c r="F45" s="198" t="s">
        <v>1060</v>
      </c>
      <c r="G45" s="198"/>
      <c r="H45" s="198"/>
      <c r="I45" s="200">
        <v>8</v>
      </c>
      <c r="J45" s="198"/>
      <c r="K45" s="200">
        <v>0</v>
      </c>
      <c r="L45" s="198" t="s">
        <v>2106</v>
      </c>
      <c r="M45" s="198"/>
      <c r="N45" s="198" t="s">
        <v>2190</v>
      </c>
      <c r="O45" s="198" t="s">
        <v>2252</v>
      </c>
      <c r="P45" s="198"/>
      <c r="Q45" s="198" t="s">
        <v>2208</v>
      </c>
      <c r="R45" s="198" t="s">
        <v>2195</v>
      </c>
      <c r="S45" s="201">
        <v>45293</v>
      </c>
      <c r="T45" s="201">
        <v>45293</v>
      </c>
      <c r="U45" s="198" t="s">
        <v>2255</v>
      </c>
      <c r="V45" s="198">
        <v>1200</v>
      </c>
      <c r="W45" s="198">
        <v>14050</v>
      </c>
      <c r="X45" s="202">
        <v>6920.4</v>
      </c>
      <c r="Y45" s="198">
        <v>14056</v>
      </c>
      <c r="Z45" s="202">
        <v>192.24</v>
      </c>
      <c r="AA45" s="202">
        <v>0</v>
      </c>
      <c r="AB45" s="202">
        <v>6728.16</v>
      </c>
      <c r="AC45" s="202">
        <v>192.24</v>
      </c>
      <c r="AD45" s="198">
        <v>54260</v>
      </c>
      <c r="AE45" s="202">
        <v>48.06</v>
      </c>
      <c r="AF45" s="202">
        <v>0</v>
      </c>
      <c r="AG45" s="202">
        <v>48.06</v>
      </c>
      <c r="AH45" s="198" t="s">
        <v>989</v>
      </c>
      <c r="AI45" s="198"/>
      <c r="AJ45" s="198"/>
      <c r="AK45" s="198">
        <v>0</v>
      </c>
      <c r="AL45" s="198" t="s">
        <v>1854</v>
      </c>
      <c r="AM45" s="198" t="s">
        <v>2282</v>
      </c>
      <c r="AN45" s="196">
        <f t="shared" si="10"/>
        <v>1</v>
      </c>
      <c r="AO45" s="196">
        <f t="shared" si="11"/>
        <v>2024</v>
      </c>
      <c r="AP45" s="195">
        <f t="shared" si="12"/>
        <v>2036</v>
      </c>
      <c r="AQ45" s="194">
        <f t="shared" si="13"/>
        <v>2036.0833333333333</v>
      </c>
      <c r="AR45" s="193">
        <f t="shared" si="14"/>
        <v>48.05833333333333</v>
      </c>
      <c r="AS45" s="192">
        <f t="shared" si="15"/>
        <v>576.69999999999993</v>
      </c>
      <c r="AT45" s="192">
        <f t="shared" si="16"/>
        <v>576.69999999999993</v>
      </c>
      <c r="AU45" s="192">
        <f t="shared" si="17"/>
        <v>0</v>
      </c>
      <c r="AV45" s="192">
        <f t="shared" si="18"/>
        <v>576.69999999999993</v>
      </c>
      <c r="AW45" s="191">
        <f t="shared" si="19"/>
        <v>6343.7</v>
      </c>
      <c r="AX45" s="190" t="s">
        <v>72</v>
      </c>
      <c r="AY45" s="184"/>
    </row>
    <row r="46" spans="2:55">
      <c r="B46" s="198">
        <v>2183</v>
      </c>
      <c r="C46" s="199">
        <v>400566</v>
      </c>
      <c r="D46" s="198" t="s">
        <v>989</v>
      </c>
      <c r="E46" s="198" t="s">
        <v>2003</v>
      </c>
      <c r="F46" s="198" t="s">
        <v>1060</v>
      </c>
      <c r="G46" s="198"/>
      <c r="H46" s="198"/>
      <c r="I46" s="200">
        <v>5</v>
      </c>
      <c r="J46" s="198"/>
      <c r="K46" s="200">
        <v>0</v>
      </c>
      <c r="L46" s="198" t="s">
        <v>2106</v>
      </c>
      <c r="M46" s="198"/>
      <c r="N46" s="198" t="s">
        <v>2190</v>
      </c>
      <c r="O46" s="198" t="s">
        <v>2252</v>
      </c>
      <c r="P46" s="198"/>
      <c r="Q46" s="198" t="s">
        <v>2208</v>
      </c>
      <c r="R46" s="198" t="s">
        <v>2195</v>
      </c>
      <c r="S46" s="201">
        <v>45293</v>
      </c>
      <c r="T46" s="201">
        <v>45293</v>
      </c>
      <c r="U46" s="198" t="s">
        <v>2255</v>
      </c>
      <c r="V46" s="198">
        <v>1200</v>
      </c>
      <c r="W46" s="198">
        <v>14050</v>
      </c>
      <c r="X46" s="202">
        <v>4325.25</v>
      </c>
      <c r="Y46" s="198">
        <v>14056</v>
      </c>
      <c r="Z46" s="202">
        <v>120.16</v>
      </c>
      <c r="AA46" s="202">
        <v>0</v>
      </c>
      <c r="AB46" s="202">
        <v>4205.09</v>
      </c>
      <c r="AC46" s="202">
        <v>120.16</v>
      </c>
      <c r="AD46" s="198">
        <v>54260</v>
      </c>
      <c r="AE46" s="202">
        <v>30.04</v>
      </c>
      <c r="AF46" s="202">
        <v>0</v>
      </c>
      <c r="AG46" s="202">
        <v>30.04</v>
      </c>
      <c r="AH46" s="198" t="s">
        <v>989</v>
      </c>
      <c r="AI46" s="198"/>
      <c r="AJ46" s="198"/>
      <c r="AK46" s="198">
        <v>0</v>
      </c>
      <c r="AL46" s="198" t="s">
        <v>1854</v>
      </c>
      <c r="AM46" s="198" t="s">
        <v>2282</v>
      </c>
      <c r="AN46" s="196">
        <f t="shared" si="10"/>
        <v>1</v>
      </c>
      <c r="AO46" s="196">
        <f t="shared" si="11"/>
        <v>2024</v>
      </c>
      <c r="AP46" s="195">
        <f t="shared" si="12"/>
        <v>2036</v>
      </c>
      <c r="AQ46" s="194">
        <f t="shared" si="13"/>
        <v>2036.0833333333333</v>
      </c>
      <c r="AR46" s="193">
        <f t="shared" si="14"/>
        <v>30.036458333333332</v>
      </c>
      <c r="AS46" s="192">
        <f t="shared" si="15"/>
        <v>360.4375</v>
      </c>
      <c r="AT46" s="192">
        <f t="shared" si="16"/>
        <v>360.4375</v>
      </c>
      <c r="AU46" s="192">
        <f t="shared" si="17"/>
        <v>0</v>
      </c>
      <c r="AV46" s="192">
        <f t="shared" si="18"/>
        <v>360.4375</v>
      </c>
      <c r="AW46" s="191">
        <f t="shared" si="19"/>
        <v>3964.8125</v>
      </c>
      <c r="AX46" s="190" t="s">
        <v>72</v>
      </c>
      <c r="AY46" s="184"/>
    </row>
    <row r="47" spans="2:55">
      <c r="B47" s="198">
        <v>2183</v>
      </c>
      <c r="C47" s="199">
        <v>400565</v>
      </c>
      <c r="D47" s="198" t="s">
        <v>989</v>
      </c>
      <c r="E47" s="198" t="s">
        <v>2003</v>
      </c>
      <c r="F47" s="198" t="s">
        <v>1880</v>
      </c>
      <c r="G47" s="198"/>
      <c r="H47" s="198"/>
      <c r="I47" s="200">
        <v>10</v>
      </c>
      <c r="J47" s="198"/>
      <c r="K47" s="200">
        <v>0</v>
      </c>
      <c r="L47" s="198" t="s">
        <v>2106</v>
      </c>
      <c r="M47" s="198"/>
      <c r="N47" s="198" t="s">
        <v>2190</v>
      </c>
      <c r="O47" s="198" t="s">
        <v>2250</v>
      </c>
      <c r="P47" s="198"/>
      <c r="Q47" s="198" t="s">
        <v>2203</v>
      </c>
      <c r="R47" s="198" t="s">
        <v>2195</v>
      </c>
      <c r="S47" s="201">
        <v>45293</v>
      </c>
      <c r="T47" s="201">
        <v>45293</v>
      </c>
      <c r="U47" s="198" t="s">
        <v>2254</v>
      </c>
      <c r="V47" s="198">
        <v>1200</v>
      </c>
      <c r="W47" s="198">
        <v>14050</v>
      </c>
      <c r="X47" s="202">
        <v>12154.5</v>
      </c>
      <c r="Y47" s="198">
        <v>14056</v>
      </c>
      <c r="Z47" s="202">
        <v>337.64</v>
      </c>
      <c r="AA47" s="202">
        <v>0</v>
      </c>
      <c r="AB47" s="202">
        <v>11816.86</v>
      </c>
      <c r="AC47" s="202">
        <v>337.64</v>
      </c>
      <c r="AD47" s="198">
        <v>54260</v>
      </c>
      <c r="AE47" s="202">
        <v>84.41</v>
      </c>
      <c r="AF47" s="202">
        <v>0</v>
      </c>
      <c r="AG47" s="202">
        <v>84.41</v>
      </c>
      <c r="AH47" s="198" t="s">
        <v>989</v>
      </c>
      <c r="AI47" s="198"/>
      <c r="AJ47" s="198"/>
      <c r="AK47" s="198">
        <v>0</v>
      </c>
      <c r="AL47" s="198" t="s">
        <v>1854</v>
      </c>
      <c r="AM47" s="198" t="s">
        <v>2282</v>
      </c>
      <c r="AN47" s="196">
        <f t="shared" si="10"/>
        <v>1</v>
      </c>
      <c r="AO47" s="196">
        <f t="shared" si="11"/>
        <v>2024</v>
      </c>
      <c r="AP47" s="195">
        <f t="shared" si="12"/>
        <v>2036</v>
      </c>
      <c r="AQ47" s="194">
        <f t="shared" si="13"/>
        <v>2036.0833333333333</v>
      </c>
      <c r="AR47" s="193">
        <f t="shared" si="14"/>
        <v>84.40625</v>
      </c>
      <c r="AS47" s="192">
        <f t="shared" si="15"/>
        <v>1012.875</v>
      </c>
      <c r="AT47" s="192">
        <f t="shared" si="16"/>
        <v>1012.875</v>
      </c>
      <c r="AU47" s="192">
        <f t="shared" si="17"/>
        <v>0</v>
      </c>
      <c r="AV47" s="192">
        <f t="shared" si="18"/>
        <v>1012.875</v>
      </c>
      <c r="AW47" s="191">
        <f t="shared" si="19"/>
        <v>11141.625</v>
      </c>
      <c r="AX47" s="190" t="s">
        <v>72</v>
      </c>
      <c r="AY47" s="184"/>
    </row>
    <row r="48" spans="2:55">
      <c r="B48" s="198">
        <v>2183</v>
      </c>
      <c r="C48" s="199">
        <v>400564</v>
      </c>
      <c r="D48" s="198" t="s">
        <v>989</v>
      </c>
      <c r="E48" s="198" t="s">
        <v>2003</v>
      </c>
      <c r="F48" s="198" t="s">
        <v>1022</v>
      </c>
      <c r="G48" s="198"/>
      <c r="H48" s="198"/>
      <c r="I48" s="200">
        <v>10</v>
      </c>
      <c r="J48" s="198"/>
      <c r="K48" s="200">
        <v>0</v>
      </c>
      <c r="L48" s="198" t="s">
        <v>2106</v>
      </c>
      <c r="M48" s="198"/>
      <c r="N48" s="198" t="s">
        <v>2190</v>
      </c>
      <c r="O48" s="198" t="s">
        <v>2250</v>
      </c>
      <c r="P48" s="198"/>
      <c r="Q48" s="198" t="s">
        <v>137</v>
      </c>
      <c r="R48" s="198" t="s">
        <v>2195</v>
      </c>
      <c r="S48" s="201">
        <v>45293</v>
      </c>
      <c r="T48" s="201">
        <v>45293</v>
      </c>
      <c r="U48" s="198" t="s">
        <v>2251</v>
      </c>
      <c r="V48" s="198">
        <v>1200</v>
      </c>
      <c r="W48" s="198">
        <v>14050</v>
      </c>
      <c r="X48" s="202">
        <v>15330</v>
      </c>
      <c r="Y48" s="198">
        <v>14056</v>
      </c>
      <c r="Z48" s="202">
        <v>425.84</v>
      </c>
      <c r="AA48" s="202">
        <v>0</v>
      </c>
      <c r="AB48" s="202">
        <v>14904.16</v>
      </c>
      <c r="AC48" s="202">
        <v>425.84</v>
      </c>
      <c r="AD48" s="198">
        <v>54260</v>
      </c>
      <c r="AE48" s="202">
        <v>106.46</v>
      </c>
      <c r="AF48" s="202">
        <v>0</v>
      </c>
      <c r="AG48" s="202">
        <v>106.46</v>
      </c>
      <c r="AH48" s="198" t="s">
        <v>989</v>
      </c>
      <c r="AI48" s="198"/>
      <c r="AJ48" s="198"/>
      <c r="AK48" s="198">
        <v>0</v>
      </c>
      <c r="AL48" s="198" t="s">
        <v>1854</v>
      </c>
      <c r="AM48" s="198" t="s">
        <v>2282</v>
      </c>
      <c r="AN48" s="196">
        <f t="shared" si="10"/>
        <v>1</v>
      </c>
      <c r="AO48" s="196">
        <f t="shared" si="11"/>
        <v>2024</v>
      </c>
      <c r="AP48" s="195">
        <f t="shared" si="12"/>
        <v>2036</v>
      </c>
      <c r="AQ48" s="194">
        <f t="shared" si="13"/>
        <v>2036.0833333333333</v>
      </c>
      <c r="AR48" s="193">
        <f t="shared" si="14"/>
        <v>106.45833333333333</v>
      </c>
      <c r="AS48" s="192">
        <f t="shared" si="15"/>
        <v>1277.5</v>
      </c>
      <c r="AT48" s="192">
        <f t="shared" si="16"/>
        <v>1277.5</v>
      </c>
      <c r="AU48" s="192">
        <f t="shared" si="17"/>
        <v>0</v>
      </c>
      <c r="AV48" s="192">
        <f t="shared" si="18"/>
        <v>1277.5</v>
      </c>
      <c r="AW48" s="191">
        <f t="shared" si="19"/>
        <v>14052.5</v>
      </c>
      <c r="AX48" s="190" t="s">
        <v>72</v>
      </c>
      <c r="AY48" s="184"/>
    </row>
    <row r="49" spans="2:51">
      <c r="B49" s="198">
        <v>2183</v>
      </c>
      <c r="C49" s="199">
        <v>400563</v>
      </c>
      <c r="D49" s="198" t="s">
        <v>989</v>
      </c>
      <c r="E49" s="198" t="s">
        <v>2003</v>
      </c>
      <c r="F49" s="198" t="s">
        <v>1063</v>
      </c>
      <c r="G49" s="198"/>
      <c r="H49" s="198"/>
      <c r="I49" s="200">
        <v>10</v>
      </c>
      <c r="J49" s="198"/>
      <c r="K49" s="200">
        <v>0</v>
      </c>
      <c r="L49" s="198" t="s">
        <v>2106</v>
      </c>
      <c r="M49" s="198"/>
      <c r="N49" s="198" t="s">
        <v>2190</v>
      </c>
      <c r="O49" s="198" t="s">
        <v>2252</v>
      </c>
      <c r="P49" s="198"/>
      <c r="Q49" s="198" t="s">
        <v>2209</v>
      </c>
      <c r="R49" s="198" t="s">
        <v>2195</v>
      </c>
      <c r="S49" s="201">
        <v>45293</v>
      </c>
      <c r="T49" s="201">
        <v>45293</v>
      </c>
      <c r="U49" s="198" t="s">
        <v>2253</v>
      </c>
      <c r="V49" s="198">
        <v>1200</v>
      </c>
      <c r="W49" s="198">
        <v>14050</v>
      </c>
      <c r="X49" s="202">
        <v>8103</v>
      </c>
      <c r="Y49" s="198">
        <v>14056</v>
      </c>
      <c r="Z49" s="202">
        <v>225.08</v>
      </c>
      <c r="AA49" s="202">
        <v>0</v>
      </c>
      <c r="AB49" s="202">
        <v>7877.92</v>
      </c>
      <c r="AC49" s="202">
        <v>225.08</v>
      </c>
      <c r="AD49" s="198">
        <v>54260</v>
      </c>
      <c r="AE49" s="202">
        <v>56.27</v>
      </c>
      <c r="AF49" s="202">
        <v>0</v>
      </c>
      <c r="AG49" s="202">
        <v>56.27</v>
      </c>
      <c r="AH49" s="198" t="s">
        <v>989</v>
      </c>
      <c r="AI49" s="198"/>
      <c r="AJ49" s="198"/>
      <c r="AK49" s="198">
        <v>0</v>
      </c>
      <c r="AL49" s="198" t="s">
        <v>1854</v>
      </c>
      <c r="AM49" s="198" t="s">
        <v>2282</v>
      </c>
      <c r="AN49" s="196">
        <f t="shared" si="10"/>
        <v>1</v>
      </c>
      <c r="AO49" s="196">
        <f t="shared" si="11"/>
        <v>2024</v>
      </c>
      <c r="AP49" s="195">
        <f t="shared" si="12"/>
        <v>2036</v>
      </c>
      <c r="AQ49" s="194">
        <f t="shared" si="13"/>
        <v>2036.0833333333333</v>
      </c>
      <c r="AR49" s="193">
        <f t="shared" si="14"/>
        <v>56.270833333333336</v>
      </c>
      <c r="AS49" s="192">
        <f t="shared" si="15"/>
        <v>675.25</v>
      </c>
      <c r="AT49" s="192">
        <f t="shared" si="16"/>
        <v>675.25</v>
      </c>
      <c r="AU49" s="192">
        <f t="shared" si="17"/>
        <v>0</v>
      </c>
      <c r="AV49" s="192">
        <f t="shared" si="18"/>
        <v>675.25</v>
      </c>
      <c r="AW49" s="191">
        <f t="shared" si="19"/>
        <v>7427.75</v>
      </c>
      <c r="AX49" s="190" t="s">
        <v>72</v>
      </c>
      <c r="AY49" s="184"/>
    </row>
    <row r="50" spans="2:51">
      <c r="B50" s="198">
        <v>2183</v>
      </c>
      <c r="C50" s="199">
        <v>400562</v>
      </c>
      <c r="D50" s="198" t="s">
        <v>989</v>
      </c>
      <c r="E50" s="198" t="s">
        <v>2003</v>
      </c>
      <c r="F50" s="198" t="s">
        <v>1022</v>
      </c>
      <c r="G50" s="198"/>
      <c r="H50" s="198"/>
      <c r="I50" s="200">
        <v>5</v>
      </c>
      <c r="J50" s="198"/>
      <c r="K50" s="200">
        <v>0</v>
      </c>
      <c r="L50" s="198" t="s">
        <v>2106</v>
      </c>
      <c r="M50" s="198"/>
      <c r="N50" s="198" t="s">
        <v>2190</v>
      </c>
      <c r="O50" s="198" t="s">
        <v>2250</v>
      </c>
      <c r="P50" s="198"/>
      <c r="Q50" s="198" t="s">
        <v>137</v>
      </c>
      <c r="R50" s="198" t="s">
        <v>2195</v>
      </c>
      <c r="S50" s="201">
        <v>45293</v>
      </c>
      <c r="T50" s="201">
        <v>45293</v>
      </c>
      <c r="U50" s="198" t="s">
        <v>2251</v>
      </c>
      <c r="V50" s="198">
        <v>1200</v>
      </c>
      <c r="W50" s="198">
        <v>14050</v>
      </c>
      <c r="X50" s="202">
        <v>7665</v>
      </c>
      <c r="Y50" s="198">
        <v>14056</v>
      </c>
      <c r="Z50" s="202">
        <v>212.92</v>
      </c>
      <c r="AA50" s="202">
        <v>0</v>
      </c>
      <c r="AB50" s="202">
        <v>7452.08</v>
      </c>
      <c r="AC50" s="202">
        <v>212.92</v>
      </c>
      <c r="AD50" s="198">
        <v>54260</v>
      </c>
      <c r="AE50" s="202">
        <v>53.23</v>
      </c>
      <c r="AF50" s="202">
        <v>0</v>
      </c>
      <c r="AG50" s="202">
        <v>53.23</v>
      </c>
      <c r="AH50" s="198" t="s">
        <v>989</v>
      </c>
      <c r="AI50" s="198"/>
      <c r="AJ50" s="198"/>
      <c r="AK50" s="198">
        <v>0</v>
      </c>
      <c r="AL50" s="198" t="s">
        <v>1854</v>
      </c>
      <c r="AM50" s="198" t="s">
        <v>2282</v>
      </c>
      <c r="AN50" s="196">
        <f t="shared" si="10"/>
        <v>1</v>
      </c>
      <c r="AO50" s="196">
        <f t="shared" si="11"/>
        <v>2024</v>
      </c>
      <c r="AP50" s="195">
        <f t="shared" si="12"/>
        <v>2036</v>
      </c>
      <c r="AQ50" s="194">
        <f t="shared" si="13"/>
        <v>2036.0833333333333</v>
      </c>
      <c r="AR50" s="193">
        <f t="shared" si="14"/>
        <v>53.229166666666664</v>
      </c>
      <c r="AS50" s="192">
        <f t="shared" si="15"/>
        <v>638.75</v>
      </c>
      <c r="AT50" s="192">
        <f t="shared" si="16"/>
        <v>638.75</v>
      </c>
      <c r="AU50" s="192">
        <f t="shared" si="17"/>
        <v>0</v>
      </c>
      <c r="AV50" s="192">
        <f t="shared" si="18"/>
        <v>638.75</v>
      </c>
      <c r="AW50" s="191">
        <f t="shared" si="19"/>
        <v>7026.25</v>
      </c>
      <c r="AX50" s="190" t="s">
        <v>72</v>
      </c>
      <c r="AY50" s="184"/>
    </row>
    <row r="51" spans="2:51" hidden="1">
      <c r="B51" s="198">
        <v>2183</v>
      </c>
      <c r="C51" s="199">
        <v>402007</v>
      </c>
      <c r="D51" s="198">
        <v>400330</v>
      </c>
      <c r="E51" s="198" t="s">
        <v>2003</v>
      </c>
      <c r="F51" s="198" t="s">
        <v>2245</v>
      </c>
      <c r="G51" s="198"/>
      <c r="H51" s="198"/>
      <c r="I51" s="200">
        <v>1</v>
      </c>
      <c r="J51" s="198" t="s">
        <v>2243</v>
      </c>
      <c r="K51" s="200">
        <v>2024</v>
      </c>
      <c r="L51" s="198"/>
      <c r="M51" s="198" t="s">
        <v>1415</v>
      </c>
      <c r="N51" s="198" t="s">
        <v>2183</v>
      </c>
      <c r="O51" s="198" t="s">
        <v>2238</v>
      </c>
      <c r="P51" s="198" t="s">
        <v>2186</v>
      </c>
      <c r="Q51" s="198"/>
      <c r="R51" s="198"/>
      <c r="S51" s="201">
        <v>45316</v>
      </c>
      <c r="T51" s="201">
        <v>45316</v>
      </c>
      <c r="U51" s="198" t="s">
        <v>2246</v>
      </c>
      <c r="V51" s="198">
        <v>1000</v>
      </c>
      <c r="W51" s="198">
        <v>14040</v>
      </c>
      <c r="X51" s="202">
        <v>135907.01999999999</v>
      </c>
      <c r="Y51" s="198">
        <v>14046</v>
      </c>
      <c r="Z51" s="202">
        <v>3397.68</v>
      </c>
      <c r="AA51" s="202">
        <v>0</v>
      </c>
      <c r="AB51" s="202">
        <v>132509.34</v>
      </c>
      <c r="AC51" s="202">
        <v>3397.68</v>
      </c>
      <c r="AD51" s="198">
        <v>51260</v>
      </c>
      <c r="AE51" s="202">
        <v>1132.56</v>
      </c>
      <c r="AF51" s="202">
        <v>0</v>
      </c>
      <c r="AG51" s="202">
        <v>1132.56</v>
      </c>
      <c r="AH51" s="198" t="s">
        <v>989</v>
      </c>
      <c r="AI51" s="198"/>
      <c r="AJ51" s="198"/>
      <c r="AK51" s="198">
        <v>1100</v>
      </c>
      <c r="AL51" s="198" t="s">
        <v>147</v>
      </c>
      <c r="AM51" s="198" t="s">
        <v>1857</v>
      </c>
      <c r="AN51" s="196">
        <f t="shared" si="10"/>
        <v>1</v>
      </c>
      <c r="AO51" s="196">
        <f t="shared" si="11"/>
        <v>2024</v>
      </c>
      <c r="AP51" s="195">
        <f t="shared" si="12"/>
        <v>2034</v>
      </c>
      <c r="AQ51" s="194">
        <f t="shared" si="13"/>
        <v>2034.0833333333333</v>
      </c>
      <c r="AR51" s="193">
        <f t="shared" si="14"/>
        <v>1132.5584999999999</v>
      </c>
      <c r="AS51" s="192">
        <f t="shared" si="15"/>
        <v>13590.701999999997</v>
      </c>
      <c r="AT51" s="192">
        <f t="shared" si="16"/>
        <v>13590.701999999997</v>
      </c>
      <c r="AU51" s="192">
        <f t="shared" si="17"/>
        <v>0</v>
      </c>
      <c r="AV51" s="192">
        <f t="shared" si="18"/>
        <v>13590.701999999997</v>
      </c>
      <c r="AW51" s="191">
        <f t="shared" si="19"/>
        <v>122316.318</v>
      </c>
      <c r="AX51" s="190" t="s">
        <v>72</v>
      </c>
      <c r="AY51" s="184"/>
    </row>
    <row r="52" spans="2:51">
      <c r="B52" s="198">
        <v>2183</v>
      </c>
      <c r="C52" s="199">
        <v>400330</v>
      </c>
      <c r="D52" s="198" t="s">
        <v>989</v>
      </c>
      <c r="E52" s="198" t="s">
        <v>2003</v>
      </c>
      <c r="F52" s="198" t="s">
        <v>2233</v>
      </c>
      <c r="G52" s="198"/>
      <c r="H52" s="198"/>
      <c r="I52" s="200">
        <v>1</v>
      </c>
      <c r="J52" s="198" t="s">
        <v>2243</v>
      </c>
      <c r="K52" s="200">
        <v>0</v>
      </c>
      <c r="L52" s="198" t="s">
        <v>2235</v>
      </c>
      <c r="M52" s="198"/>
      <c r="N52" s="198" t="s">
        <v>2183</v>
      </c>
      <c r="O52" s="198" t="s">
        <v>2184</v>
      </c>
      <c r="P52" s="198"/>
      <c r="Q52" s="198"/>
      <c r="R52" s="198"/>
      <c r="S52" s="201">
        <v>45316</v>
      </c>
      <c r="T52" s="201">
        <v>45177</v>
      </c>
      <c r="U52" s="198" t="s">
        <v>2244</v>
      </c>
      <c r="V52" s="198">
        <v>1000</v>
      </c>
      <c r="W52" s="198">
        <v>14040</v>
      </c>
      <c r="X52" s="202">
        <v>232796.23</v>
      </c>
      <c r="Y52" s="198">
        <v>14046</v>
      </c>
      <c r="Z52" s="202">
        <v>5819.91</v>
      </c>
      <c r="AA52" s="202">
        <v>0</v>
      </c>
      <c r="AB52" s="202">
        <v>226976.32</v>
      </c>
      <c r="AC52" s="202">
        <v>5819.91</v>
      </c>
      <c r="AD52" s="198">
        <v>51260</v>
      </c>
      <c r="AE52" s="202">
        <v>1939.97</v>
      </c>
      <c r="AF52" s="202">
        <v>0</v>
      </c>
      <c r="AG52" s="202">
        <v>1939.97</v>
      </c>
      <c r="AH52" s="198" t="s">
        <v>989</v>
      </c>
      <c r="AI52" s="198"/>
      <c r="AJ52" s="198"/>
      <c r="AK52" s="198">
        <v>1100</v>
      </c>
      <c r="AL52" s="198" t="s">
        <v>147</v>
      </c>
      <c r="AM52" s="198" t="s">
        <v>1857</v>
      </c>
      <c r="AN52" s="196">
        <f t="shared" si="10"/>
        <v>1</v>
      </c>
      <c r="AO52" s="196">
        <f t="shared" si="11"/>
        <v>2024</v>
      </c>
      <c r="AP52" s="195">
        <f t="shared" si="12"/>
        <v>2034</v>
      </c>
      <c r="AQ52" s="194">
        <f t="shared" si="13"/>
        <v>2034.0833333333333</v>
      </c>
      <c r="AR52" s="193">
        <f t="shared" si="14"/>
        <v>1939.9685833333333</v>
      </c>
      <c r="AS52" s="192">
        <f t="shared" si="15"/>
        <v>23279.623</v>
      </c>
      <c r="AT52" s="192">
        <f t="shared" si="16"/>
        <v>23279.623</v>
      </c>
      <c r="AU52" s="192">
        <f t="shared" si="17"/>
        <v>0</v>
      </c>
      <c r="AV52" s="192">
        <f t="shared" si="18"/>
        <v>23279.623</v>
      </c>
      <c r="AW52" s="191">
        <f t="shared" si="19"/>
        <v>209516.60700000002</v>
      </c>
      <c r="AX52" s="190" t="s">
        <v>72</v>
      </c>
      <c r="AY52" s="184"/>
    </row>
    <row r="53" spans="2:51">
      <c r="B53" s="198">
        <v>2183</v>
      </c>
      <c r="C53" s="199">
        <v>321365</v>
      </c>
      <c r="D53" s="198" t="s">
        <v>989</v>
      </c>
      <c r="E53" s="198" t="s">
        <v>2003</v>
      </c>
      <c r="F53" s="198" t="s">
        <v>1554</v>
      </c>
      <c r="G53" s="198"/>
      <c r="H53" s="198"/>
      <c r="I53" s="200">
        <v>885</v>
      </c>
      <c r="J53" s="198"/>
      <c r="K53" s="200">
        <v>0</v>
      </c>
      <c r="L53" s="198" t="s">
        <v>2044</v>
      </c>
      <c r="M53" s="198"/>
      <c r="N53" s="198" t="s">
        <v>2190</v>
      </c>
      <c r="O53" s="198" t="s">
        <v>2184</v>
      </c>
      <c r="P53" s="198"/>
      <c r="Q53" s="198"/>
      <c r="R53" s="198"/>
      <c r="S53" s="201">
        <v>45274</v>
      </c>
      <c r="T53" s="201">
        <v>45274</v>
      </c>
      <c r="U53" s="198" t="s">
        <v>2045</v>
      </c>
      <c r="V53" s="198">
        <v>700</v>
      </c>
      <c r="W53" s="198">
        <v>14050</v>
      </c>
      <c r="X53" s="202">
        <v>39984.04</v>
      </c>
      <c r="Y53" s="198">
        <v>14056</v>
      </c>
      <c r="Z53" s="202">
        <v>2380</v>
      </c>
      <c r="AA53" s="202">
        <v>0</v>
      </c>
      <c r="AB53" s="202">
        <v>37604.04</v>
      </c>
      <c r="AC53" s="202">
        <v>1904</v>
      </c>
      <c r="AD53" s="198">
        <v>54260</v>
      </c>
      <c r="AE53" s="202">
        <v>476</v>
      </c>
      <c r="AF53" s="202">
        <v>0</v>
      </c>
      <c r="AG53" s="202">
        <v>476</v>
      </c>
      <c r="AH53" s="198" t="s">
        <v>989</v>
      </c>
      <c r="AI53" s="198"/>
      <c r="AJ53" s="198"/>
      <c r="AK53" s="198">
        <v>0</v>
      </c>
      <c r="AL53" s="198" t="s">
        <v>423</v>
      </c>
      <c r="AM53" s="198" t="s">
        <v>929</v>
      </c>
      <c r="AN53" s="196">
        <f t="shared" ref="AN53:AN84" si="20">MONTH($S53)</f>
        <v>12</v>
      </c>
      <c r="AO53" s="196">
        <f t="shared" ref="AO53:AO84" si="21">YEAR($S53)</f>
        <v>2023</v>
      </c>
      <c r="AP53" s="195">
        <f t="shared" ref="AP53:AP84" si="22">$AO53+($V53/100)</f>
        <v>2030</v>
      </c>
      <c r="AQ53" s="194">
        <f t="shared" ref="AQ53:AQ84" si="23">$AP53+($AN53/12)</f>
        <v>2031</v>
      </c>
      <c r="AR53" s="193">
        <f t="shared" ref="AR53:AR84" si="24">IFERROR($X53/($V53/100)/12,0)</f>
        <v>476.00047619047615</v>
      </c>
      <c r="AS53" s="192">
        <f t="shared" ref="AS53:AS84" si="25">$AR53*12</f>
        <v>5712.005714285714</v>
      </c>
      <c r="AT53" s="192">
        <f t="shared" ref="AT53:AT84" si="26">IF(AQ53&lt;$AK$12,0,AS53)</f>
        <v>5712.005714285714</v>
      </c>
      <c r="AU53" s="192">
        <f t="shared" ref="AU53:AU84" si="27">IF(AQ53&lt;=$AK$13,X53,IF(((AO53+AN53/12))&gt;=$AK$13,0,((X53-((AQ53-$AK$13)*12)*AR53))))</f>
        <v>0</v>
      </c>
      <c r="AV53" s="192">
        <f t="shared" ref="AV53:AV84" si="28">IF(AQ53&lt;$AK$12,X53,AT53+AU53)</f>
        <v>5712.005714285714</v>
      </c>
      <c r="AW53" s="191">
        <f t="shared" ref="AW53:AW84" si="29">+X53-AV53</f>
        <v>34272.03428571429</v>
      </c>
      <c r="AX53" s="190" t="s">
        <v>72</v>
      </c>
      <c r="AY53" s="184"/>
    </row>
    <row r="54" spans="2:51">
      <c r="B54" s="198">
        <v>2183</v>
      </c>
      <c r="C54" s="199">
        <v>320949</v>
      </c>
      <c r="D54" s="198" t="s">
        <v>989</v>
      </c>
      <c r="E54" s="198" t="s">
        <v>2003</v>
      </c>
      <c r="F54" s="198" t="s">
        <v>2046</v>
      </c>
      <c r="G54" s="198"/>
      <c r="H54" s="198"/>
      <c r="I54" s="200">
        <v>1</v>
      </c>
      <c r="J54" s="198"/>
      <c r="K54" s="200">
        <v>0</v>
      </c>
      <c r="L54" s="198"/>
      <c r="M54" s="198"/>
      <c r="N54" s="198" t="s">
        <v>2198</v>
      </c>
      <c r="O54" s="198" t="s">
        <v>2184</v>
      </c>
      <c r="P54" s="198"/>
      <c r="Q54" s="198"/>
      <c r="R54" s="198"/>
      <c r="S54" s="201">
        <v>45156</v>
      </c>
      <c r="T54" s="201">
        <v>45156</v>
      </c>
      <c r="U54" s="198" t="s">
        <v>2047</v>
      </c>
      <c r="V54" s="198">
        <v>500</v>
      </c>
      <c r="W54" s="198">
        <v>14070</v>
      </c>
      <c r="X54" s="202">
        <v>11742.55</v>
      </c>
      <c r="Y54" s="198">
        <v>14076</v>
      </c>
      <c r="Z54" s="202">
        <v>1565.68</v>
      </c>
      <c r="AA54" s="202">
        <v>0</v>
      </c>
      <c r="AB54" s="202">
        <v>10176.869999999999</v>
      </c>
      <c r="AC54" s="202">
        <v>782.84</v>
      </c>
      <c r="AD54" s="198">
        <v>51260</v>
      </c>
      <c r="AE54" s="202">
        <v>195.71</v>
      </c>
      <c r="AF54" s="202">
        <v>0</v>
      </c>
      <c r="AG54" s="202">
        <v>195.71</v>
      </c>
      <c r="AH54" s="198" t="s">
        <v>989</v>
      </c>
      <c r="AI54" s="198"/>
      <c r="AJ54" s="198"/>
      <c r="AK54" s="198">
        <v>0</v>
      </c>
      <c r="AL54" s="198" t="s">
        <v>85</v>
      </c>
      <c r="AM54" s="198" t="s">
        <v>85</v>
      </c>
      <c r="AN54" s="196">
        <f t="shared" si="20"/>
        <v>8</v>
      </c>
      <c r="AO54" s="196">
        <f t="shared" si="21"/>
        <v>2023</v>
      </c>
      <c r="AP54" s="195">
        <f t="shared" si="22"/>
        <v>2028</v>
      </c>
      <c r="AQ54" s="194">
        <f t="shared" si="23"/>
        <v>2028.6666666666667</v>
      </c>
      <c r="AR54" s="193">
        <f t="shared" si="24"/>
        <v>195.70916666666665</v>
      </c>
      <c r="AS54" s="192">
        <f t="shared" si="25"/>
        <v>2348.5099999999998</v>
      </c>
      <c r="AT54" s="192">
        <f t="shared" si="26"/>
        <v>2348.5099999999998</v>
      </c>
      <c r="AU54" s="192">
        <f t="shared" si="27"/>
        <v>0</v>
      </c>
      <c r="AV54" s="192">
        <f t="shared" si="28"/>
        <v>2348.5099999999998</v>
      </c>
      <c r="AW54" s="191">
        <f t="shared" si="29"/>
        <v>9394.0399999999991</v>
      </c>
      <c r="AX54" s="190" t="s">
        <v>72</v>
      </c>
      <c r="AY54" s="184"/>
    </row>
    <row r="55" spans="2:51">
      <c r="B55" s="198">
        <v>2183</v>
      </c>
      <c r="C55" s="199">
        <v>320863</v>
      </c>
      <c r="D55" s="198" t="s">
        <v>989</v>
      </c>
      <c r="E55" s="198" t="s">
        <v>2003</v>
      </c>
      <c r="F55" s="198" t="s">
        <v>2048</v>
      </c>
      <c r="G55" s="198"/>
      <c r="H55" s="198"/>
      <c r="I55" s="200">
        <v>1</v>
      </c>
      <c r="J55" s="198"/>
      <c r="K55" s="200">
        <v>0</v>
      </c>
      <c r="L55" s="198" t="s">
        <v>2049</v>
      </c>
      <c r="M55" s="198"/>
      <c r="N55" s="198" t="s">
        <v>2199</v>
      </c>
      <c r="O55" s="198" t="s">
        <v>2184</v>
      </c>
      <c r="P55" s="198"/>
      <c r="Q55" s="198"/>
      <c r="R55" s="198"/>
      <c r="S55" s="201">
        <v>45250</v>
      </c>
      <c r="T55" s="201">
        <v>45250</v>
      </c>
      <c r="U55" s="198" t="s">
        <v>2050</v>
      </c>
      <c r="V55" s="198">
        <v>300</v>
      </c>
      <c r="W55" s="198">
        <v>14110</v>
      </c>
      <c r="X55" s="202">
        <v>247.57</v>
      </c>
      <c r="Y55" s="198">
        <v>14116</v>
      </c>
      <c r="Z55" s="202">
        <v>34.4</v>
      </c>
      <c r="AA55" s="202">
        <v>0</v>
      </c>
      <c r="AB55" s="202">
        <v>213.17</v>
      </c>
      <c r="AC55" s="202">
        <v>27.52</v>
      </c>
      <c r="AD55" s="198">
        <v>70260</v>
      </c>
      <c r="AE55" s="202">
        <v>6.88</v>
      </c>
      <c r="AF55" s="202">
        <v>0</v>
      </c>
      <c r="AG55" s="202">
        <v>6.88</v>
      </c>
      <c r="AH55" s="198" t="s">
        <v>989</v>
      </c>
      <c r="AI55" s="198"/>
      <c r="AJ55" s="198"/>
      <c r="AK55" s="198">
        <v>0</v>
      </c>
      <c r="AL55" s="198" t="s">
        <v>275</v>
      </c>
      <c r="AM55" s="198" t="s">
        <v>275</v>
      </c>
      <c r="AN55" s="196">
        <f t="shared" si="20"/>
        <v>11</v>
      </c>
      <c r="AO55" s="196">
        <f t="shared" si="21"/>
        <v>2023</v>
      </c>
      <c r="AP55" s="195">
        <f t="shared" si="22"/>
        <v>2026</v>
      </c>
      <c r="AQ55" s="194">
        <f t="shared" si="23"/>
        <v>2026.9166666666667</v>
      </c>
      <c r="AR55" s="193">
        <f t="shared" si="24"/>
        <v>6.8769444444444439</v>
      </c>
      <c r="AS55" s="192">
        <f t="shared" si="25"/>
        <v>82.523333333333326</v>
      </c>
      <c r="AT55" s="192">
        <f t="shared" si="26"/>
        <v>82.523333333333326</v>
      </c>
      <c r="AU55" s="192">
        <f t="shared" si="27"/>
        <v>0</v>
      </c>
      <c r="AV55" s="192">
        <f t="shared" si="28"/>
        <v>82.523333333333326</v>
      </c>
      <c r="AW55" s="191">
        <f t="shared" si="29"/>
        <v>165.04666666666668</v>
      </c>
      <c r="AX55" s="190" t="s">
        <v>72</v>
      </c>
      <c r="AY55" s="184"/>
    </row>
    <row r="56" spans="2:51">
      <c r="B56" s="198">
        <v>2183</v>
      </c>
      <c r="C56" s="199">
        <v>320862</v>
      </c>
      <c r="D56" s="198" t="s">
        <v>989</v>
      </c>
      <c r="E56" s="198" t="s">
        <v>2003</v>
      </c>
      <c r="F56" s="198" t="s">
        <v>2232</v>
      </c>
      <c r="G56" s="198"/>
      <c r="H56" s="198"/>
      <c r="I56" s="200">
        <v>1</v>
      </c>
      <c r="J56" s="198"/>
      <c r="K56" s="200">
        <v>0</v>
      </c>
      <c r="L56" s="198" t="s">
        <v>2049</v>
      </c>
      <c r="M56" s="198"/>
      <c r="N56" s="198" t="s">
        <v>2199</v>
      </c>
      <c r="O56" s="198" t="s">
        <v>2184</v>
      </c>
      <c r="P56" s="198"/>
      <c r="Q56" s="198"/>
      <c r="R56" s="198"/>
      <c r="S56" s="201">
        <v>45250</v>
      </c>
      <c r="T56" s="201">
        <v>45250</v>
      </c>
      <c r="U56" s="198" t="s">
        <v>2050</v>
      </c>
      <c r="V56" s="198">
        <v>300</v>
      </c>
      <c r="W56" s="198">
        <v>14110</v>
      </c>
      <c r="X56" s="202">
        <v>1055.3399999999999</v>
      </c>
      <c r="Y56" s="198">
        <v>14116</v>
      </c>
      <c r="Z56" s="202">
        <v>146.6</v>
      </c>
      <c r="AA56" s="202">
        <v>0</v>
      </c>
      <c r="AB56" s="202">
        <v>908.7399999999999</v>
      </c>
      <c r="AC56" s="202">
        <v>117.28</v>
      </c>
      <c r="AD56" s="198">
        <v>70260</v>
      </c>
      <c r="AE56" s="202">
        <v>29.32</v>
      </c>
      <c r="AF56" s="202">
        <v>0</v>
      </c>
      <c r="AG56" s="202">
        <v>29.32</v>
      </c>
      <c r="AH56" s="198" t="s">
        <v>989</v>
      </c>
      <c r="AI56" s="198"/>
      <c r="AJ56" s="198"/>
      <c r="AK56" s="198">
        <v>0</v>
      </c>
      <c r="AL56" s="198" t="s">
        <v>275</v>
      </c>
      <c r="AM56" s="198" t="s">
        <v>275</v>
      </c>
      <c r="AN56" s="196">
        <f t="shared" si="20"/>
        <v>11</v>
      </c>
      <c r="AO56" s="196">
        <f t="shared" si="21"/>
        <v>2023</v>
      </c>
      <c r="AP56" s="195">
        <f t="shared" si="22"/>
        <v>2026</v>
      </c>
      <c r="AQ56" s="194">
        <f t="shared" si="23"/>
        <v>2026.9166666666667</v>
      </c>
      <c r="AR56" s="193">
        <f t="shared" si="24"/>
        <v>29.314999999999998</v>
      </c>
      <c r="AS56" s="192">
        <f t="shared" si="25"/>
        <v>351.78</v>
      </c>
      <c r="AT56" s="192">
        <f t="shared" si="26"/>
        <v>351.78</v>
      </c>
      <c r="AU56" s="192">
        <f t="shared" si="27"/>
        <v>0</v>
      </c>
      <c r="AV56" s="192">
        <f t="shared" si="28"/>
        <v>351.78</v>
      </c>
      <c r="AW56" s="191">
        <f t="shared" si="29"/>
        <v>703.56</v>
      </c>
      <c r="AX56" s="190" t="s">
        <v>72</v>
      </c>
      <c r="AY56" s="184"/>
    </row>
    <row r="57" spans="2:51" hidden="1">
      <c r="B57" s="198">
        <v>2183</v>
      </c>
      <c r="C57" s="199">
        <v>320834</v>
      </c>
      <c r="D57" s="198">
        <v>315531</v>
      </c>
      <c r="E57" s="198" t="s">
        <v>2003</v>
      </c>
      <c r="F57" s="198" t="s">
        <v>2051</v>
      </c>
      <c r="G57" s="198"/>
      <c r="H57" s="198"/>
      <c r="I57" s="200">
        <v>1</v>
      </c>
      <c r="J57" s="198"/>
      <c r="K57" s="200">
        <v>0</v>
      </c>
      <c r="L57" s="198" t="s">
        <v>1151</v>
      </c>
      <c r="M57" s="198"/>
      <c r="N57" s="198" t="s">
        <v>2183</v>
      </c>
      <c r="O57" s="198" t="s">
        <v>2184</v>
      </c>
      <c r="P57" s="198" t="s">
        <v>1028</v>
      </c>
      <c r="Q57" s="198"/>
      <c r="R57" s="198"/>
      <c r="S57" s="201">
        <v>45204</v>
      </c>
      <c r="T57" s="201">
        <v>45204</v>
      </c>
      <c r="U57" s="198" t="s">
        <v>2052</v>
      </c>
      <c r="V57" s="198">
        <v>1000</v>
      </c>
      <c r="W57" s="198">
        <v>14040</v>
      </c>
      <c r="X57" s="202">
        <v>977.29</v>
      </c>
      <c r="Y57" s="198">
        <v>14046</v>
      </c>
      <c r="Z57" s="202">
        <v>56.99</v>
      </c>
      <c r="AA57" s="202">
        <v>0</v>
      </c>
      <c r="AB57" s="202">
        <v>920.3</v>
      </c>
      <c r="AC57" s="202">
        <v>32.56</v>
      </c>
      <c r="AD57" s="198">
        <v>51260</v>
      </c>
      <c r="AE57" s="202">
        <v>8.14</v>
      </c>
      <c r="AF57" s="202">
        <v>0</v>
      </c>
      <c r="AG57" s="202">
        <v>8.14</v>
      </c>
      <c r="AH57" s="198" t="s">
        <v>989</v>
      </c>
      <c r="AI57" s="198"/>
      <c r="AJ57" s="198"/>
      <c r="AK57" s="198">
        <v>3737</v>
      </c>
      <c r="AL57" s="198" t="s">
        <v>147</v>
      </c>
      <c r="AM57" s="198" t="s">
        <v>1857</v>
      </c>
      <c r="AN57" s="196">
        <f t="shared" si="20"/>
        <v>10</v>
      </c>
      <c r="AO57" s="196">
        <f t="shared" si="21"/>
        <v>2023</v>
      </c>
      <c r="AP57" s="195">
        <f t="shared" si="22"/>
        <v>2033</v>
      </c>
      <c r="AQ57" s="194">
        <f t="shared" si="23"/>
        <v>2033.8333333333333</v>
      </c>
      <c r="AR57" s="193">
        <f t="shared" si="24"/>
        <v>8.1440833333333327</v>
      </c>
      <c r="AS57" s="192">
        <f t="shared" si="25"/>
        <v>97.728999999999985</v>
      </c>
      <c r="AT57" s="192">
        <f t="shared" si="26"/>
        <v>97.728999999999985</v>
      </c>
      <c r="AU57" s="192">
        <f t="shared" si="27"/>
        <v>0</v>
      </c>
      <c r="AV57" s="192">
        <f t="shared" si="28"/>
        <v>97.728999999999985</v>
      </c>
      <c r="AW57" s="191">
        <f t="shared" si="29"/>
        <v>879.56099999999992</v>
      </c>
      <c r="AX57" s="190" t="s">
        <v>72</v>
      </c>
      <c r="AY57" s="184"/>
    </row>
    <row r="58" spans="2:51" hidden="1">
      <c r="B58" s="198">
        <v>2183</v>
      </c>
      <c r="C58" s="199">
        <v>320833</v>
      </c>
      <c r="D58" s="198">
        <v>316048</v>
      </c>
      <c r="E58" s="198" t="s">
        <v>2003</v>
      </c>
      <c r="F58" s="198" t="s">
        <v>2053</v>
      </c>
      <c r="G58" s="198"/>
      <c r="H58" s="198"/>
      <c r="I58" s="200">
        <v>1</v>
      </c>
      <c r="J58" s="198"/>
      <c r="K58" s="200">
        <v>0</v>
      </c>
      <c r="L58" s="198" t="s">
        <v>1151</v>
      </c>
      <c r="M58" s="198"/>
      <c r="N58" s="198" t="s">
        <v>2183</v>
      </c>
      <c r="O58" s="198" t="s">
        <v>2184</v>
      </c>
      <c r="P58" s="198" t="s">
        <v>1028</v>
      </c>
      <c r="Q58" s="198"/>
      <c r="R58" s="198"/>
      <c r="S58" s="201">
        <v>45219</v>
      </c>
      <c r="T58" s="201">
        <v>45219</v>
      </c>
      <c r="U58" s="198" t="s">
        <v>2054</v>
      </c>
      <c r="V58" s="198">
        <v>1000</v>
      </c>
      <c r="W58" s="198">
        <v>14040</v>
      </c>
      <c r="X58" s="202">
        <v>977.29</v>
      </c>
      <c r="Y58" s="198">
        <v>14046</v>
      </c>
      <c r="Z58" s="202">
        <v>48.85</v>
      </c>
      <c r="AA58" s="202">
        <v>0</v>
      </c>
      <c r="AB58" s="202">
        <v>928.43999999999994</v>
      </c>
      <c r="AC58" s="202">
        <v>32.56</v>
      </c>
      <c r="AD58" s="198">
        <v>51260</v>
      </c>
      <c r="AE58" s="202">
        <v>8.14</v>
      </c>
      <c r="AF58" s="202">
        <v>0</v>
      </c>
      <c r="AG58" s="202">
        <v>8.14</v>
      </c>
      <c r="AH58" s="198" t="s">
        <v>989</v>
      </c>
      <c r="AI58" s="198"/>
      <c r="AJ58" s="198"/>
      <c r="AK58" s="198">
        <v>3738</v>
      </c>
      <c r="AL58" s="198" t="s">
        <v>147</v>
      </c>
      <c r="AM58" s="198" t="s">
        <v>1857</v>
      </c>
      <c r="AN58" s="196">
        <f t="shared" si="20"/>
        <v>10</v>
      </c>
      <c r="AO58" s="196">
        <f t="shared" si="21"/>
        <v>2023</v>
      </c>
      <c r="AP58" s="195">
        <f t="shared" si="22"/>
        <v>2033</v>
      </c>
      <c r="AQ58" s="194">
        <f t="shared" si="23"/>
        <v>2033.8333333333333</v>
      </c>
      <c r="AR58" s="193">
        <f t="shared" si="24"/>
        <v>8.1440833333333327</v>
      </c>
      <c r="AS58" s="192">
        <f t="shared" si="25"/>
        <v>97.728999999999985</v>
      </c>
      <c r="AT58" s="192">
        <f t="shared" si="26"/>
        <v>97.728999999999985</v>
      </c>
      <c r="AU58" s="192">
        <f t="shared" si="27"/>
        <v>0</v>
      </c>
      <c r="AV58" s="192">
        <f t="shared" si="28"/>
        <v>97.728999999999985</v>
      </c>
      <c r="AW58" s="191">
        <f t="shared" si="29"/>
        <v>879.56099999999992</v>
      </c>
      <c r="AX58" s="190" t="s">
        <v>72</v>
      </c>
      <c r="AY58" s="184"/>
    </row>
    <row r="59" spans="2:51" hidden="1">
      <c r="B59" s="198">
        <v>2183</v>
      </c>
      <c r="C59" s="199">
        <v>319319</v>
      </c>
      <c r="D59" s="198">
        <v>316048</v>
      </c>
      <c r="E59" s="198" t="s">
        <v>2003</v>
      </c>
      <c r="F59" s="198" t="s">
        <v>2055</v>
      </c>
      <c r="G59" s="198"/>
      <c r="H59" s="198"/>
      <c r="I59" s="200">
        <v>1</v>
      </c>
      <c r="J59" s="198"/>
      <c r="K59" s="200">
        <v>0</v>
      </c>
      <c r="L59" s="198"/>
      <c r="M59" s="198"/>
      <c r="N59" s="198" t="s">
        <v>2183</v>
      </c>
      <c r="O59" s="198" t="s">
        <v>2184</v>
      </c>
      <c r="P59" s="198" t="s">
        <v>1028</v>
      </c>
      <c r="Q59" s="198"/>
      <c r="R59" s="198"/>
      <c r="S59" s="201">
        <v>45219</v>
      </c>
      <c r="T59" s="201">
        <v>45219</v>
      </c>
      <c r="U59" s="198" t="s">
        <v>2054</v>
      </c>
      <c r="V59" s="198">
        <v>500</v>
      </c>
      <c r="W59" s="198">
        <v>14040</v>
      </c>
      <c r="X59" s="202">
        <v>766.5</v>
      </c>
      <c r="Y59" s="198">
        <v>14046</v>
      </c>
      <c r="Z59" s="202">
        <v>76.67</v>
      </c>
      <c r="AA59" s="202">
        <v>0</v>
      </c>
      <c r="AB59" s="202">
        <v>689.83</v>
      </c>
      <c r="AC59" s="202">
        <v>51.12</v>
      </c>
      <c r="AD59" s="198">
        <v>51260</v>
      </c>
      <c r="AE59" s="202">
        <v>12.78</v>
      </c>
      <c r="AF59" s="202">
        <v>0</v>
      </c>
      <c r="AG59" s="202">
        <v>12.78</v>
      </c>
      <c r="AH59" s="198" t="s">
        <v>989</v>
      </c>
      <c r="AI59" s="198"/>
      <c r="AJ59" s="198"/>
      <c r="AK59" s="198">
        <v>3738</v>
      </c>
      <c r="AL59" s="198" t="s">
        <v>147</v>
      </c>
      <c r="AM59" s="198" t="s">
        <v>1857</v>
      </c>
      <c r="AN59" s="196">
        <f t="shared" si="20"/>
        <v>10</v>
      </c>
      <c r="AO59" s="196">
        <f t="shared" si="21"/>
        <v>2023</v>
      </c>
      <c r="AP59" s="195">
        <f t="shared" si="22"/>
        <v>2028</v>
      </c>
      <c r="AQ59" s="194">
        <f t="shared" si="23"/>
        <v>2028.8333333333333</v>
      </c>
      <c r="AR59" s="193">
        <f t="shared" si="24"/>
        <v>12.775</v>
      </c>
      <c r="AS59" s="192">
        <f t="shared" si="25"/>
        <v>153.30000000000001</v>
      </c>
      <c r="AT59" s="192">
        <f t="shared" si="26"/>
        <v>153.30000000000001</v>
      </c>
      <c r="AU59" s="192">
        <f t="shared" si="27"/>
        <v>0</v>
      </c>
      <c r="AV59" s="192">
        <f t="shared" si="28"/>
        <v>153.30000000000001</v>
      </c>
      <c r="AW59" s="191">
        <f t="shared" si="29"/>
        <v>613.20000000000005</v>
      </c>
      <c r="AX59" s="190" t="s">
        <v>72</v>
      </c>
      <c r="AY59" s="184"/>
    </row>
    <row r="60" spans="2:51" hidden="1">
      <c r="B60" s="198">
        <v>2183</v>
      </c>
      <c r="C60" s="199">
        <v>319000</v>
      </c>
      <c r="D60" s="198">
        <v>315531</v>
      </c>
      <c r="E60" s="198" t="s">
        <v>2003</v>
      </c>
      <c r="F60" s="198" t="s">
        <v>2056</v>
      </c>
      <c r="G60" s="198"/>
      <c r="H60" s="198"/>
      <c r="I60" s="200">
        <v>1</v>
      </c>
      <c r="J60" s="198"/>
      <c r="K60" s="200">
        <v>0</v>
      </c>
      <c r="L60" s="198" t="s">
        <v>1112</v>
      </c>
      <c r="M60" s="198"/>
      <c r="N60" s="198" t="s">
        <v>2183</v>
      </c>
      <c r="O60" s="198" t="s">
        <v>2184</v>
      </c>
      <c r="P60" s="198" t="s">
        <v>1028</v>
      </c>
      <c r="Q60" s="198"/>
      <c r="R60" s="198"/>
      <c r="S60" s="201">
        <v>45204</v>
      </c>
      <c r="T60" s="201">
        <v>45204</v>
      </c>
      <c r="U60" s="198" t="s">
        <v>2052</v>
      </c>
      <c r="V60" s="198">
        <v>1000</v>
      </c>
      <c r="W60" s="198">
        <v>14040</v>
      </c>
      <c r="X60" s="202">
        <v>165.96</v>
      </c>
      <c r="Y60" s="198">
        <v>14046</v>
      </c>
      <c r="Z60" s="202">
        <v>9.67</v>
      </c>
      <c r="AA60" s="202">
        <v>0</v>
      </c>
      <c r="AB60" s="202">
        <v>156.29000000000002</v>
      </c>
      <c r="AC60" s="202">
        <v>5.52</v>
      </c>
      <c r="AD60" s="198">
        <v>51260</v>
      </c>
      <c r="AE60" s="202">
        <v>1.38</v>
      </c>
      <c r="AF60" s="202">
        <v>0</v>
      </c>
      <c r="AG60" s="202">
        <v>1.38</v>
      </c>
      <c r="AH60" s="198" t="s">
        <v>989</v>
      </c>
      <c r="AI60" s="198"/>
      <c r="AJ60" s="198"/>
      <c r="AK60" s="198">
        <v>3737</v>
      </c>
      <c r="AL60" s="198" t="s">
        <v>147</v>
      </c>
      <c r="AM60" s="198" t="s">
        <v>1857</v>
      </c>
      <c r="AN60" s="196">
        <f t="shared" si="20"/>
        <v>10</v>
      </c>
      <c r="AO60" s="196">
        <f t="shared" si="21"/>
        <v>2023</v>
      </c>
      <c r="AP60" s="195">
        <f t="shared" si="22"/>
        <v>2033</v>
      </c>
      <c r="AQ60" s="194">
        <f t="shared" si="23"/>
        <v>2033.8333333333333</v>
      </c>
      <c r="AR60" s="193">
        <f t="shared" si="24"/>
        <v>1.383</v>
      </c>
      <c r="AS60" s="192">
        <f t="shared" si="25"/>
        <v>16.596</v>
      </c>
      <c r="AT60" s="192">
        <f t="shared" si="26"/>
        <v>16.596</v>
      </c>
      <c r="AU60" s="192">
        <f t="shared" si="27"/>
        <v>0</v>
      </c>
      <c r="AV60" s="192">
        <f t="shared" si="28"/>
        <v>16.596</v>
      </c>
      <c r="AW60" s="191">
        <f t="shared" si="29"/>
        <v>149.364</v>
      </c>
      <c r="AX60" s="190" t="s">
        <v>72</v>
      </c>
      <c r="AY60" s="184"/>
    </row>
    <row r="61" spans="2:51" hidden="1">
      <c r="B61" s="198">
        <v>2183</v>
      </c>
      <c r="C61" s="199">
        <v>318999</v>
      </c>
      <c r="D61" s="198">
        <v>316048</v>
      </c>
      <c r="E61" s="198" t="s">
        <v>2003</v>
      </c>
      <c r="F61" s="198" t="s">
        <v>2057</v>
      </c>
      <c r="G61" s="198"/>
      <c r="H61" s="198"/>
      <c r="I61" s="200">
        <v>1</v>
      </c>
      <c r="J61" s="198"/>
      <c r="K61" s="200">
        <v>0</v>
      </c>
      <c r="L61" s="198" t="s">
        <v>1112</v>
      </c>
      <c r="M61" s="198"/>
      <c r="N61" s="198" t="s">
        <v>2183</v>
      </c>
      <c r="O61" s="198" t="s">
        <v>2184</v>
      </c>
      <c r="P61" s="198" t="s">
        <v>1028</v>
      </c>
      <c r="Q61" s="198"/>
      <c r="R61" s="198"/>
      <c r="S61" s="201">
        <v>45219</v>
      </c>
      <c r="T61" s="201">
        <v>45219</v>
      </c>
      <c r="U61" s="198" t="s">
        <v>2054</v>
      </c>
      <c r="V61" s="198">
        <v>1000</v>
      </c>
      <c r="W61" s="198">
        <v>14040</v>
      </c>
      <c r="X61" s="202">
        <v>165.96</v>
      </c>
      <c r="Y61" s="198">
        <v>14046</v>
      </c>
      <c r="Z61" s="202">
        <v>8.2899999999999991</v>
      </c>
      <c r="AA61" s="202">
        <v>0</v>
      </c>
      <c r="AB61" s="202">
        <v>157.67000000000002</v>
      </c>
      <c r="AC61" s="202">
        <v>5.52</v>
      </c>
      <c r="AD61" s="198">
        <v>51260</v>
      </c>
      <c r="AE61" s="202">
        <v>1.38</v>
      </c>
      <c r="AF61" s="202">
        <v>0</v>
      </c>
      <c r="AG61" s="202">
        <v>1.38</v>
      </c>
      <c r="AH61" s="198" t="s">
        <v>989</v>
      </c>
      <c r="AI61" s="198"/>
      <c r="AJ61" s="198"/>
      <c r="AK61" s="198">
        <v>3738</v>
      </c>
      <c r="AL61" s="198" t="s">
        <v>147</v>
      </c>
      <c r="AM61" s="198" t="s">
        <v>1857</v>
      </c>
      <c r="AN61" s="196">
        <f t="shared" si="20"/>
        <v>10</v>
      </c>
      <c r="AO61" s="196">
        <f t="shared" si="21"/>
        <v>2023</v>
      </c>
      <c r="AP61" s="195">
        <f t="shared" si="22"/>
        <v>2033</v>
      </c>
      <c r="AQ61" s="194">
        <f t="shared" si="23"/>
        <v>2033.8333333333333</v>
      </c>
      <c r="AR61" s="193">
        <f t="shared" si="24"/>
        <v>1.383</v>
      </c>
      <c r="AS61" s="192">
        <f t="shared" si="25"/>
        <v>16.596</v>
      </c>
      <c r="AT61" s="192">
        <f t="shared" si="26"/>
        <v>16.596</v>
      </c>
      <c r="AU61" s="192">
        <f t="shared" si="27"/>
        <v>0</v>
      </c>
      <c r="AV61" s="192">
        <f t="shared" si="28"/>
        <v>16.596</v>
      </c>
      <c r="AW61" s="191">
        <f t="shared" si="29"/>
        <v>149.364</v>
      </c>
      <c r="AX61" s="190" t="s">
        <v>72</v>
      </c>
      <c r="AY61" s="184"/>
    </row>
    <row r="62" spans="2:51">
      <c r="B62" s="198">
        <v>2183</v>
      </c>
      <c r="C62" s="199">
        <v>318875</v>
      </c>
      <c r="D62" s="198" t="s">
        <v>989</v>
      </c>
      <c r="E62" s="198" t="s">
        <v>2003</v>
      </c>
      <c r="F62" s="198" t="s">
        <v>1555</v>
      </c>
      <c r="G62" s="198"/>
      <c r="H62" s="198"/>
      <c r="I62" s="200">
        <v>936</v>
      </c>
      <c r="J62" s="198"/>
      <c r="K62" s="200">
        <v>0</v>
      </c>
      <c r="L62" s="198" t="s">
        <v>2044</v>
      </c>
      <c r="M62" s="198"/>
      <c r="N62" s="198" t="s">
        <v>2190</v>
      </c>
      <c r="O62" s="198" t="s">
        <v>2184</v>
      </c>
      <c r="P62" s="198"/>
      <c r="Q62" s="198"/>
      <c r="R62" s="198"/>
      <c r="S62" s="201">
        <v>45257</v>
      </c>
      <c r="T62" s="201">
        <v>45257</v>
      </c>
      <c r="U62" s="198" t="s">
        <v>2058</v>
      </c>
      <c r="V62" s="198">
        <v>700</v>
      </c>
      <c r="W62" s="198">
        <v>14050</v>
      </c>
      <c r="X62" s="202">
        <v>51102.51</v>
      </c>
      <c r="Y62" s="198">
        <v>14056</v>
      </c>
      <c r="Z62" s="202">
        <v>3041.8</v>
      </c>
      <c r="AA62" s="202">
        <v>0</v>
      </c>
      <c r="AB62" s="202">
        <v>48060.71</v>
      </c>
      <c r="AC62" s="202">
        <v>2433.44</v>
      </c>
      <c r="AD62" s="198">
        <v>54260</v>
      </c>
      <c r="AE62" s="202">
        <v>608.36</v>
      </c>
      <c r="AF62" s="202">
        <v>0</v>
      </c>
      <c r="AG62" s="202">
        <v>608.36</v>
      </c>
      <c r="AH62" s="198" t="s">
        <v>989</v>
      </c>
      <c r="AI62" s="198"/>
      <c r="AJ62" s="198"/>
      <c r="AK62" s="198">
        <v>0</v>
      </c>
      <c r="AL62" s="198" t="s">
        <v>423</v>
      </c>
      <c r="AM62" s="198" t="s">
        <v>929</v>
      </c>
      <c r="AN62" s="196">
        <f t="shared" si="20"/>
        <v>11</v>
      </c>
      <c r="AO62" s="196">
        <f t="shared" si="21"/>
        <v>2023</v>
      </c>
      <c r="AP62" s="195">
        <f t="shared" si="22"/>
        <v>2030</v>
      </c>
      <c r="AQ62" s="194">
        <f t="shared" si="23"/>
        <v>2030.9166666666667</v>
      </c>
      <c r="AR62" s="193">
        <f t="shared" si="24"/>
        <v>608.36321428571432</v>
      </c>
      <c r="AS62" s="192">
        <f t="shared" si="25"/>
        <v>7300.3585714285718</v>
      </c>
      <c r="AT62" s="192">
        <f t="shared" si="26"/>
        <v>7300.3585714285718</v>
      </c>
      <c r="AU62" s="192">
        <f t="shared" si="27"/>
        <v>0</v>
      </c>
      <c r="AV62" s="192">
        <f t="shared" si="28"/>
        <v>7300.3585714285718</v>
      </c>
      <c r="AW62" s="191">
        <f t="shared" si="29"/>
        <v>43802.151428571429</v>
      </c>
      <c r="AX62" s="190" t="s">
        <v>72</v>
      </c>
      <c r="AY62" s="184"/>
    </row>
    <row r="63" spans="2:51">
      <c r="B63" s="198">
        <v>2183</v>
      </c>
      <c r="C63" s="199">
        <v>318746</v>
      </c>
      <c r="D63" s="198" t="s">
        <v>989</v>
      </c>
      <c r="E63" s="198" t="s">
        <v>2003</v>
      </c>
      <c r="F63" s="198" t="s">
        <v>2059</v>
      </c>
      <c r="G63" s="198"/>
      <c r="H63" s="198"/>
      <c r="I63" s="200">
        <v>1</v>
      </c>
      <c r="J63" s="198" t="s">
        <v>2060</v>
      </c>
      <c r="K63" s="200">
        <v>2024</v>
      </c>
      <c r="L63" s="198"/>
      <c r="M63" s="198"/>
      <c r="N63" s="198" t="s">
        <v>2183</v>
      </c>
      <c r="O63" s="198" t="s">
        <v>2184</v>
      </c>
      <c r="P63" s="198" t="s">
        <v>2204</v>
      </c>
      <c r="Q63" s="198"/>
      <c r="R63" s="198"/>
      <c r="S63" s="201">
        <v>45252</v>
      </c>
      <c r="T63" s="201">
        <v>45252</v>
      </c>
      <c r="U63" s="198" t="s">
        <v>2061</v>
      </c>
      <c r="V63" s="198">
        <v>1000</v>
      </c>
      <c r="W63" s="198">
        <v>14040</v>
      </c>
      <c r="X63" s="202">
        <v>142449.25</v>
      </c>
      <c r="Y63" s="198">
        <v>14046</v>
      </c>
      <c r="Z63" s="202">
        <v>5935.4</v>
      </c>
      <c r="AA63" s="202">
        <v>0</v>
      </c>
      <c r="AB63" s="202">
        <v>136513.85</v>
      </c>
      <c r="AC63" s="202">
        <v>4748.32</v>
      </c>
      <c r="AD63" s="198">
        <v>51260</v>
      </c>
      <c r="AE63" s="202">
        <v>1187.08</v>
      </c>
      <c r="AF63" s="202">
        <v>0</v>
      </c>
      <c r="AG63" s="202">
        <v>1187.08</v>
      </c>
      <c r="AH63" s="198" t="s">
        <v>989</v>
      </c>
      <c r="AI63" s="198"/>
      <c r="AJ63" s="198"/>
      <c r="AK63" s="198" t="s">
        <v>2287</v>
      </c>
      <c r="AL63" s="198" t="s">
        <v>287</v>
      </c>
      <c r="AM63" s="198" t="s">
        <v>2297</v>
      </c>
      <c r="AN63" s="196">
        <f t="shared" si="20"/>
        <v>11</v>
      </c>
      <c r="AO63" s="196">
        <f t="shared" si="21"/>
        <v>2023</v>
      </c>
      <c r="AP63" s="195">
        <f t="shared" si="22"/>
        <v>2033</v>
      </c>
      <c r="AQ63" s="194">
        <f t="shared" si="23"/>
        <v>2033.9166666666667</v>
      </c>
      <c r="AR63" s="193">
        <f t="shared" si="24"/>
        <v>1187.0770833333333</v>
      </c>
      <c r="AS63" s="192">
        <f t="shared" si="25"/>
        <v>14244.924999999999</v>
      </c>
      <c r="AT63" s="192">
        <f t="shared" si="26"/>
        <v>14244.924999999999</v>
      </c>
      <c r="AU63" s="192">
        <f t="shared" si="27"/>
        <v>0</v>
      </c>
      <c r="AV63" s="192">
        <f t="shared" si="28"/>
        <v>14244.924999999999</v>
      </c>
      <c r="AW63" s="191">
        <f t="shared" si="29"/>
        <v>128204.325</v>
      </c>
      <c r="AX63" s="190" t="s">
        <v>72</v>
      </c>
      <c r="AY63" s="184"/>
    </row>
    <row r="64" spans="2:51">
      <c r="B64" s="198">
        <v>2183</v>
      </c>
      <c r="C64" s="199">
        <v>317960</v>
      </c>
      <c r="D64" s="198" t="s">
        <v>989</v>
      </c>
      <c r="E64" s="198" t="s">
        <v>2003</v>
      </c>
      <c r="F64" s="198" t="s">
        <v>2062</v>
      </c>
      <c r="G64" s="198"/>
      <c r="H64" s="198"/>
      <c r="I64" s="200">
        <v>1</v>
      </c>
      <c r="J64" s="198"/>
      <c r="K64" s="200">
        <v>0</v>
      </c>
      <c r="L64" s="198" t="s">
        <v>2063</v>
      </c>
      <c r="M64" s="198"/>
      <c r="N64" s="198" t="s">
        <v>2199</v>
      </c>
      <c r="O64" s="198" t="s">
        <v>2184</v>
      </c>
      <c r="P64" s="198"/>
      <c r="Q64" s="198"/>
      <c r="R64" s="198"/>
      <c r="S64" s="201">
        <v>45216</v>
      </c>
      <c r="T64" s="201">
        <v>45216</v>
      </c>
      <c r="U64" s="198" t="s">
        <v>2064</v>
      </c>
      <c r="V64" s="198">
        <v>300</v>
      </c>
      <c r="W64" s="198">
        <v>14110</v>
      </c>
      <c r="X64" s="202">
        <v>203.62</v>
      </c>
      <c r="Y64" s="198">
        <v>14116</v>
      </c>
      <c r="Z64" s="202">
        <v>33.950000000000003</v>
      </c>
      <c r="AA64" s="202">
        <v>0</v>
      </c>
      <c r="AB64" s="202">
        <v>169.67000000000002</v>
      </c>
      <c r="AC64" s="202">
        <v>22.64</v>
      </c>
      <c r="AD64" s="198">
        <v>70260</v>
      </c>
      <c r="AE64" s="202">
        <v>5.66</v>
      </c>
      <c r="AF64" s="202">
        <v>0</v>
      </c>
      <c r="AG64" s="202">
        <v>5.66</v>
      </c>
      <c r="AH64" s="198" t="s">
        <v>989</v>
      </c>
      <c r="AI64" s="198"/>
      <c r="AJ64" s="198"/>
      <c r="AK64" s="198">
        <v>0</v>
      </c>
      <c r="AL64" s="198" t="s">
        <v>275</v>
      </c>
      <c r="AM64" s="198" t="s">
        <v>275</v>
      </c>
      <c r="AN64" s="196">
        <f t="shared" si="20"/>
        <v>10</v>
      </c>
      <c r="AO64" s="196">
        <f t="shared" si="21"/>
        <v>2023</v>
      </c>
      <c r="AP64" s="195">
        <f t="shared" si="22"/>
        <v>2026</v>
      </c>
      <c r="AQ64" s="194">
        <f t="shared" si="23"/>
        <v>2026.8333333333333</v>
      </c>
      <c r="AR64" s="193">
        <f t="shared" si="24"/>
        <v>5.6561111111111115</v>
      </c>
      <c r="AS64" s="192">
        <f t="shared" si="25"/>
        <v>67.873333333333335</v>
      </c>
      <c r="AT64" s="192">
        <f t="shared" si="26"/>
        <v>67.873333333333335</v>
      </c>
      <c r="AU64" s="192">
        <f t="shared" si="27"/>
        <v>0</v>
      </c>
      <c r="AV64" s="192">
        <f t="shared" si="28"/>
        <v>67.873333333333335</v>
      </c>
      <c r="AW64" s="191">
        <f t="shared" si="29"/>
        <v>135.74666666666667</v>
      </c>
      <c r="AX64" s="190" t="s">
        <v>72</v>
      </c>
      <c r="AY64" s="184"/>
    </row>
    <row r="65" spans="2:51">
      <c r="B65" s="198">
        <v>2183</v>
      </c>
      <c r="C65" s="199">
        <v>317959</v>
      </c>
      <c r="D65" s="198" t="s">
        <v>989</v>
      </c>
      <c r="E65" s="198" t="s">
        <v>2003</v>
      </c>
      <c r="F65" s="198" t="s">
        <v>2226</v>
      </c>
      <c r="G65" s="198"/>
      <c r="H65" s="198"/>
      <c r="I65" s="200">
        <v>1</v>
      </c>
      <c r="J65" s="198"/>
      <c r="K65" s="200">
        <v>0</v>
      </c>
      <c r="L65" s="198" t="s">
        <v>2063</v>
      </c>
      <c r="M65" s="198"/>
      <c r="N65" s="198" t="s">
        <v>2199</v>
      </c>
      <c r="O65" s="198" t="s">
        <v>2184</v>
      </c>
      <c r="P65" s="198"/>
      <c r="Q65" s="198"/>
      <c r="R65" s="198"/>
      <c r="S65" s="201">
        <v>45216</v>
      </c>
      <c r="T65" s="201">
        <v>45216</v>
      </c>
      <c r="U65" s="198" t="s">
        <v>2064</v>
      </c>
      <c r="V65" s="198">
        <v>300</v>
      </c>
      <c r="W65" s="198">
        <v>14110</v>
      </c>
      <c r="X65" s="202">
        <v>1061.48</v>
      </c>
      <c r="Y65" s="198">
        <v>14116</v>
      </c>
      <c r="Z65" s="202">
        <v>176.93</v>
      </c>
      <c r="AA65" s="202">
        <v>0</v>
      </c>
      <c r="AB65" s="202">
        <v>884.55</v>
      </c>
      <c r="AC65" s="202">
        <v>117.96</v>
      </c>
      <c r="AD65" s="198">
        <v>70260</v>
      </c>
      <c r="AE65" s="202">
        <v>29.49</v>
      </c>
      <c r="AF65" s="202">
        <v>0</v>
      </c>
      <c r="AG65" s="202">
        <v>29.49</v>
      </c>
      <c r="AH65" s="198" t="s">
        <v>989</v>
      </c>
      <c r="AI65" s="198"/>
      <c r="AJ65" s="198"/>
      <c r="AK65" s="198">
        <v>0</v>
      </c>
      <c r="AL65" s="198" t="s">
        <v>275</v>
      </c>
      <c r="AM65" s="198" t="s">
        <v>275</v>
      </c>
      <c r="AN65" s="196">
        <f t="shared" si="20"/>
        <v>10</v>
      </c>
      <c r="AO65" s="196">
        <f t="shared" si="21"/>
        <v>2023</v>
      </c>
      <c r="AP65" s="195">
        <f t="shared" si="22"/>
        <v>2026</v>
      </c>
      <c r="AQ65" s="194">
        <f t="shared" si="23"/>
        <v>2026.8333333333333</v>
      </c>
      <c r="AR65" s="193">
        <f t="shared" si="24"/>
        <v>29.485555555555553</v>
      </c>
      <c r="AS65" s="192">
        <f t="shared" si="25"/>
        <v>353.82666666666665</v>
      </c>
      <c r="AT65" s="192">
        <f t="shared" si="26"/>
        <v>353.82666666666665</v>
      </c>
      <c r="AU65" s="192">
        <f t="shared" si="27"/>
        <v>0</v>
      </c>
      <c r="AV65" s="192">
        <f t="shared" si="28"/>
        <v>353.82666666666665</v>
      </c>
      <c r="AW65" s="191">
        <f t="shared" si="29"/>
        <v>707.65333333333342</v>
      </c>
      <c r="AX65" s="190" t="s">
        <v>72</v>
      </c>
      <c r="AY65" s="184"/>
    </row>
    <row r="66" spans="2:51" hidden="1">
      <c r="B66" s="198">
        <v>2183</v>
      </c>
      <c r="C66" s="199">
        <v>317813</v>
      </c>
      <c r="D66" s="198">
        <v>311268</v>
      </c>
      <c r="E66" s="198" t="s">
        <v>2003</v>
      </c>
      <c r="F66" s="198" t="s">
        <v>2065</v>
      </c>
      <c r="G66" s="198"/>
      <c r="H66" s="198"/>
      <c r="I66" s="200">
        <v>1</v>
      </c>
      <c r="J66" s="198"/>
      <c r="K66" s="200">
        <v>0</v>
      </c>
      <c r="L66" s="198" t="s">
        <v>1151</v>
      </c>
      <c r="M66" s="198"/>
      <c r="N66" s="198" t="s">
        <v>2183</v>
      </c>
      <c r="O66" s="198" t="s">
        <v>2184</v>
      </c>
      <c r="P66" s="198" t="s">
        <v>1028</v>
      </c>
      <c r="Q66" s="198"/>
      <c r="R66" s="198"/>
      <c r="S66" s="201">
        <v>45132</v>
      </c>
      <c r="T66" s="201">
        <v>45132</v>
      </c>
      <c r="U66" s="198" t="s">
        <v>2066</v>
      </c>
      <c r="V66" s="198">
        <v>1000</v>
      </c>
      <c r="W66" s="198">
        <v>14040</v>
      </c>
      <c r="X66" s="202">
        <v>793.88</v>
      </c>
      <c r="Y66" s="198">
        <v>14046</v>
      </c>
      <c r="Z66" s="202">
        <v>59.56</v>
      </c>
      <c r="AA66" s="202">
        <v>0</v>
      </c>
      <c r="AB66" s="202">
        <v>734.31999999999994</v>
      </c>
      <c r="AC66" s="202">
        <v>26.48</v>
      </c>
      <c r="AD66" s="198">
        <v>51260</v>
      </c>
      <c r="AE66" s="202">
        <v>6.62</v>
      </c>
      <c r="AF66" s="202">
        <v>0</v>
      </c>
      <c r="AG66" s="202">
        <v>6.62</v>
      </c>
      <c r="AH66" s="198" t="s">
        <v>989</v>
      </c>
      <c r="AI66" s="198"/>
      <c r="AJ66" s="198"/>
      <c r="AK66" s="198">
        <v>3735</v>
      </c>
      <c r="AL66" s="198" t="s">
        <v>147</v>
      </c>
      <c r="AM66" s="198" t="s">
        <v>1857</v>
      </c>
      <c r="AN66" s="196">
        <f t="shared" si="20"/>
        <v>7</v>
      </c>
      <c r="AO66" s="196">
        <f t="shared" si="21"/>
        <v>2023</v>
      </c>
      <c r="AP66" s="195">
        <f t="shared" si="22"/>
        <v>2033</v>
      </c>
      <c r="AQ66" s="194">
        <f t="shared" si="23"/>
        <v>2033.5833333333333</v>
      </c>
      <c r="AR66" s="193">
        <f t="shared" si="24"/>
        <v>6.6156666666666668</v>
      </c>
      <c r="AS66" s="192">
        <f t="shared" si="25"/>
        <v>79.388000000000005</v>
      </c>
      <c r="AT66" s="192">
        <f t="shared" si="26"/>
        <v>79.388000000000005</v>
      </c>
      <c r="AU66" s="192">
        <f t="shared" si="27"/>
        <v>0</v>
      </c>
      <c r="AV66" s="192">
        <f t="shared" si="28"/>
        <v>79.388000000000005</v>
      </c>
      <c r="AW66" s="191">
        <f t="shared" si="29"/>
        <v>714.49199999999996</v>
      </c>
      <c r="AX66" s="190" t="s">
        <v>72</v>
      </c>
      <c r="AY66" s="184"/>
    </row>
    <row r="67" spans="2:51">
      <c r="B67" s="198">
        <v>2183</v>
      </c>
      <c r="C67" s="199">
        <v>317722</v>
      </c>
      <c r="D67" s="198" t="s">
        <v>989</v>
      </c>
      <c r="E67" s="198" t="s">
        <v>2003</v>
      </c>
      <c r="F67" s="198" t="s">
        <v>1556</v>
      </c>
      <c r="G67" s="198"/>
      <c r="H67" s="198"/>
      <c r="I67" s="200">
        <v>702</v>
      </c>
      <c r="J67" s="198" t="s">
        <v>1002</v>
      </c>
      <c r="K67" s="200">
        <v>0</v>
      </c>
      <c r="L67" s="198" t="s">
        <v>2044</v>
      </c>
      <c r="M67" s="198"/>
      <c r="N67" s="198" t="s">
        <v>2190</v>
      </c>
      <c r="O67" s="198" t="s">
        <v>2184</v>
      </c>
      <c r="P67" s="198"/>
      <c r="Q67" s="198"/>
      <c r="R67" s="198"/>
      <c r="S67" s="201">
        <v>45236</v>
      </c>
      <c r="T67" s="201">
        <v>45236</v>
      </c>
      <c r="U67" s="198" t="s">
        <v>2067</v>
      </c>
      <c r="V67" s="198">
        <v>700</v>
      </c>
      <c r="W67" s="198">
        <v>14050</v>
      </c>
      <c r="X67" s="202">
        <v>42677.66</v>
      </c>
      <c r="Y67" s="198">
        <v>14056</v>
      </c>
      <c r="Z67" s="202">
        <v>3048.42</v>
      </c>
      <c r="AA67" s="202">
        <v>0</v>
      </c>
      <c r="AB67" s="202">
        <v>39629.240000000005</v>
      </c>
      <c r="AC67" s="202">
        <v>2032.28</v>
      </c>
      <c r="AD67" s="198">
        <v>54260</v>
      </c>
      <c r="AE67" s="202">
        <v>508.07</v>
      </c>
      <c r="AF67" s="202">
        <v>0</v>
      </c>
      <c r="AG67" s="202">
        <v>508.07</v>
      </c>
      <c r="AH67" s="198" t="s">
        <v>989</v>
      </c>
      <c r="AI67" s="198"/>
      <c r="AJ67" s="198"/>
      <c r="AK67" s="198">
        <v>0</v>
      </c>
      <c r="AL67" s="198" t="s">
        <v>423</v>
      </c>
      <c r="AM67" s="198" t="s">
        <v>929</v>
      </c>
      <c r="AN67" s="196">
        <f t="shared" si="20"/>
        <v>11</v>
      </c>
      <c r="AO67" s="196">
        <f t="shared" si="21"/>
        <v>2023</v>
      </c>
      <c r="AP67" s="195">
        <f t="shared" si="22"/>
        <v>2030</v>
      </c>
      <c r="AQ67" s="194">
        <f t="shared" si="23"/>
        <v>2030.9166666666667</v>
      </c>
      <c r="AR67" s="193">
        <f t="shared" si="24"/>
        <v>508.06738095238097</v>
      </c>
      <c r="AS67" s="192">
        <f t="shared" si="25"/>
        <v>6096.8085714285717</v>
      </c>
      <c r="AT67" s="192">
        <f t="shared" si="26"/>
        <v>6096.8085714285717</v>
      </c>
      <c r="AU67" s="192">
        <f t="shared" si="27"/>
        <v>0</v>
      </c>
      <c r="AV67" s="192">
        <f t="shared" si="28"/>
        <v>6096.8085714285717</v>
      </c>
      <c r="AW67" s="191">
        <f t="shared" si="29"/>
        <v>36580.851428571434</v>
      </c>
      <c r="AX67" s="190" t="s">
        <v>72</v>
      </c>
      <c r="AY67" s="184"/>
    </row>
    <row r="68" spans="2:51">
      <c r="B68" s="198">
        <v>2183</v>
      </c>
      <c r="C68" s="199">
        <v>317581</v>
      </c>
      <c r="D68" s="198" t="s">
        <v>989</v>
      </c>
      <c r="E68" s="198" t="s">
        <v>2003</v>
      </c>
      <c r="F68" s="198" t="s">
        <v>1556</v>
      </c>
      <c r="G68" s="198"/>
      <c r="H68" s="198"/>
      <c r="I68" s="200">
        <v>702</v>
      </c>
      <c r="J68" s="198"/>
      <c r="K68" s="200">
        <v>0</v>
      </c>
      <c r="L68" s="198" t="s">
        <v>2044</v>
      </c>
      <c r="M68" s="198"/>
      <c r="N68" s="198" t="s">
        <v>2190</v>
      </c>
      <c r="O68" s="198" t="s">
        <v>2184</v>
      </c>
      <c r="P68" s="198"/>
      <c r="Q68" s="198"/>
      <c r="R68" s="198"/>
      <c r="S68" s="201">
        <v>45191</v>
      </c>
      <c r="T68" s="201">
        <v>45191</v>
      </c>
      <c r="U68" s="198" t="s">
        <v>2068</v>
      </c>
      <c r="V68" s="198">
        <v>700</v>
      </c>
      <c r="W68" s="198">
        <v>14050</v>
      </c>
      <c r="X68" s="202">
        <v>42677.67</v>
      </c>
      <c r="Y68" s="198">
        <v>14056</v>
      </c>
      <c r="Z68" s="202">
        <v>3556.48</v>
      </c>
      <c r="AA68" s="202">
        <v>0</v>
      </c>
      <c r="AB68" s="202">
        <v>39121.189999999995</v>
      </c>
      <c r="AC68" s="202">
        <v>2032.28</v>
      </c>
      <c r="AD68" s="198">
        <v>54260</v>
      </c>
      <c r="AE68" s="202">
        <v>508.07</v>
      </c>
      <c r="AF68" s="202">
        <v>0</v>
      </c>
      <c r="AG68" s="202">
        <v>508.07</v>
      </c>
      <c r="AH68" s="198" t="s">
        <v>989</v>
      </c>
      <c r="AI68" s="198"/>
      <c r="AJ68" s="198"/>
      <c r="AK68" s="198">
        <v>0</v>
      </c>
      <c r="AL68" s="198" t="s">
        <v>423</v>
      </c>
      <c r="AM68" s="198" t="s">
        <v>929</v>
      </c>
      <c r="AN68" s="196">
        <f t="shared" si="20"/>
        <v>9</v>
      </c>
      <c r="AO68" s="196">
        <f t="shared" si="21"/>
        <v>2023</v>
      </c>
      <c r="AP68" s="195">
        <f t="shared" si="22"/>
        <v>2030</v>
      </c>
      <c r="AQ68" s="194">
        <f t="shared" si="23"/>
        <v>2030.75</v>
      </c>
      <c r="AR68" s="193">
        <f t="shared" si="24"/>
        <v>508.06749999999994</v>
      </c>
      <c r="AS68" s="192">
        <f t="shared" si="25"/>
        <v>6096.8099999999995</v>
      </c>
      <c r="AT68" s="192">
        <f t="shared" si="26"/>
        <v>6096.8099999999995</v>
      </c>
      <c r="AU68" s="192">
        <f t="shared" si="27"/>
        <v>0</v>
      </c>
      <c r="AV68" s="192">
        <f t="shared" si="28"/>
        <v>6096.8099999999995</v>
      </c>
      <c r="AW68" s="191">
        <f t="shared" si="29"/>
        <v>36580.86</v>
      </c>
      <c r="AX68" s="190" t="s">
        <v>72</v>
      </c>
      <c r="AY68" s="184"/>
    </row>
    <row r="69" spans="2:51">
      <c r="B69" s="198">
        <v>2183</v>
      </c>
      <c r="C69" s="199">
        <v>317580</v>
      </c>
      <c r="D69" s="198" t="s">
        <v>989</v>
      </c>
      <c r="E69" s="198" t="s">
        <v>2003</v>
      </c>
      <c r="F69" s="198" t="s">
        <v>1556</v>
      </c>
      <c r="G69" s="198"/>
      <c r="H69" s="198"/>
      <c r="I69" s="200">
        <v>702</v>
      </c>
      <c r="J69" s="198"/>
      <c r="K69" s="200">
        <v>0</v>
      </c>
      <c r="L69" s="198" t="s">
        <v>2044</v>
      </c>
      <c r="M69" s="198"/>
      <c r="N69" s="198" t="s">
        <v>2190</v>
      </c>
      <c r="O69" s="198" t="s">
        <v>2184</v>
      </c>
      <c r="P69" s="198"/>
      <c r="Q69" s="198"/>
      <c r="R69" s="198"/>
      <c r="S69" s="201">
        <v>45191</v>
      </c>
      <c r="T69" s="201">
        <v>45191</v>
      </c>
      <c r="U69" s="198" t="s">
        <v>2069</v>
      </c>
      <c r="V69" s="198">
        <v>700</v>
      </c>
      <c r="W69" s="198">
        <v>14050</v>
      </c>
      <c r="X69" s="202">
        <v>42677.66</v>
      </c>
      <c r="Y69" s="198">
        <v>14056</v>
      </c>
      <c r="Z69" s="202">
        <v>3556.48</v>
      </c>
      <c r="AA69" s="202">
        <v>0</v>
      </c>
      <c r="AB69" s="202">
        <v>39121.18</v>
      </c>
      <c r="AC69" s="202">
        <v>2032.28</v>
      </c>
      <c r="AD69" s="198">
        <v>54260</v>
      </c>
      <c r="AE69" s="202">
        <v>508.07</v>
      </c>
      <c r="AF69" s="202">
        <v>0</v>
      </c>
      <c r="AG69" s="202">
        <v>508.07</v>
      </c>
      <c r="AH69" s="198" t="s">
        <v>989</v>
      </c>
      <c r="AI69" s="198"/>
      <c r="AJ69" s="198"/>
      <c r="AK69" s="198">
        <v>0</v>
      </c>
      <c r="AL69" s="198" t="s">
        <v>2301</v>
      </c>
      <c r="AM69" s="198" t="s">
        <v>933</v>
      </c>
      <c r="AN69" s="196">
        <f t="shared" si="20"/>
        <v>9</v>
      </c>
      <c r="AO69" s="196">
        <f t="shared" si="21"/>
        <v>2023</v>
      </c>
      <c r="AP69" s="195">
        <f t="shared" si="22"/>
        <v>2030</v>
      </c>
      <c r="AQ69" s="194">
        <f t="shared" si="23"/>
        <v>2030.75</v>
      </c>
      <c r="AR69" s="193">
        <f t="shared" si="24"/>
        <v>508.06738095238097</v>
      </c>
      <c r="AS69" s="192">
        <f t="shared" si="25"/>
        <v>6096.8085714285717</v>
      </c>
      <c r="AT69" s="192">
        <f t="shared" si="26"/>
        <v>6096.8085714285717</v>
      </c>
      <c r="AU69" s="192">
        <f t="shared" si="27"/>
        <v>0</v>
      </c>
      <c r="AV69" s="192">
        <f t="shared" si="28"/>
        <v>6096.8085714285717</v>
      </c>
      <c r="AW69" s="191">
        <f t="shared" si="29"/>
        <v>36580.851428571434</v>
      </c>
      <c r="AX69" s="190" t="s">
        <v>72</v>
      </c>
      <c r="AY69" s="184"/>
    </row>
    <row r="70" spans="2:51" hidden="1">
      <c r="B70" s="198">
        <v>2183</v>
      </c>
      <c r="C70" s="199">
        <v>317144</v>
      </c>
      <c r="D70" s="198">
        <v>315531</v>
      </c>
      <c r="E70" s="198" t="s">
        <v>2003</v>
      </c>
      <c r="F70" s="198" t="s">
        <v>2070</v>
      </c>
      <c r="G70" s="198"/>
      <c r="H70" s="198"/>
      <c r="I70" s="200">
        <v>1</v>
      </c>
      <c r="J70" s="198" t="s">
        <v>2071</v>
      </c>
      <c r="K70" s="200">
        <v>2024</v>
      </c>
      <c r="L70" s="198" t="s">
        <v>2072</v>
      </c>
      <c r="M70" s="198"/>
      <c r="N70" s="198" t="s">
        <v>2183</v>
      </c>
      <c r="O70" s="198" t="s">
        <v>2184</v>
      </c>
      <c r="P70" s="198" t="s">
        <v>1028</v>
      </c>
      <c r="Q70" s="198"/>
      <c r="R70" s="198"/>
      <c r="S70" s="201">
        <v>45204</v>
      </c>
      <c r="T70" s="201">
        <v>45204</v>
      </c>
      <c r="U70" s="198" t="s">
        <v>2073</v>
      </c>
      <c r="V70" s="198">
        <v>500</v>
      </c>
      <c r="W70" s="198">
        <v>14040</v>
      </c>
      <c r="X70" s="202">
        <v>766.5</v>
      </c>
      <c r="Y70" s="198">
        <v>14046</v>
      </c>
      <c r="Z70" s="202">
        <v>89.45</v>
      </c>
      <c r="AA70" s="202">
        <v>0</v>
      </c>
      <c r="AB70" s="202">
        <v>677.05</v>
      </c>
      <c r="AC70" s="202">
        <v>51.12</v>
      </c>
      <c r="AD70" s="198">
        <v>51260</v>
      </c>
      <c r="AE70" s="202">
        <v>12.78</v>
      </c>
      <c r="AF70" s="202">
        <v>0</v>
      </c>
      <c r="AG70" s="202">
        <v>12.78</v>
      </c>
      <c r="AH70" s="198" t="s">
        <v>989</v>
      </c>
      <c r="AI70" s="198"/>
      <c r="AJ70" s="198"/>
      <c r="AK70" s="198">
        <v>3737</v>
      </c>
      <c r="AL70" s="198" t="s">
        <v>147</v>
      </c>
      <c r="AM70" s="198" t="s">
        <v>1857</v>
      </c>
      <c r="AN70" s="196">
        <f t="shared" si="20"/>
        <v>10</v>
      </c>
      <c r="AO70" s="196">
        <f t="shared" si="21"/>
        <v>2023</v>
      </c>
      <c r="AP70" s="195">
        <f t="shared" si="22"/>
        <v>2028</v>
      </c>
      <c r="AQ70" s="194">
        <f t="shared" si="23"/>
        <v>2028.8333333333333</v>
      </c>
      <c r="AR70" s="193">
        <f t="shared" si="24"/>
        <v>12.775</v>
      </c>
      <c r="AS70" s="192">
        <f t="shared" si="25"/>
        <v>153.30000000000001</v>
      </c>
      <c r="AT70" s="192">
        <f t="shared" si="26"/>
        <v>153.30000000000001</v>
      </c>
      <c r="AU70" s="192">
        <f t="shared" si="27"/>
        <v>0</v>
      </c>
      <c r="AV70" s="192">
        <f t="shared" si="28"/>
        <v>153.30000000000001</v>
      </c>
      <c r="AW70" s="191">
        <f t="shared" si="29"/>
        <v>613.20000000000005</v>
      </c>
      <c r="AX70" s="190" t="s">
        <v>72</v>
      </c>
      <c r="AY70" s="184"/>
    </row>
    <row r="71" spans="2:51" hidden="1">
      <c r="B71" s="198">
        <v>2183</v>
      </c>
      <c r="C71" s="199">
        <v>317026</v>
      </c>
      <c r="D71" s="198">
        <v>316048</v>
      </c>
      <c r="E71" s="198" t="s">
        <v>2003</v>
      </c>
      <c r="F71" s="198" t="s">
        <v>2074</v>
      </c>
      <c r="G71" s="198"/>
      <c r="H71" s="198"/>
      <c r="I71" s="200">
        <v>1</v>
      </c>
      <c r="J71" s="198" t="s">
        <v>2075</v>
      </c>
      <c r="K71" s="200">
        <v>0</v>
      </c>
      <c r="L71" s="198" t="s">
        <v>2076</v>
      </c>
      <c r="M71" s="198"/>
      <c r="N71" s="198" t="s">
        <v>2183</v>
      </c>
      <c r="O71" s="198" t="s">
        <v>2184</v>
      </c>
      <c r="P71" s="198" t="s">
        <v>2225</v>
      </c>
      <c r="Q71" s="198"/>
      <c r="R71" s="198"/>
      <c r="S71" s="201">
        <v>45211</v>
      </c>
      <c r="T71" s="201">
        <v>45211</v>
      </c>
      <c r="U71" s="198" t="s">
        <v>2054</v>
      </c>
      <c r="V71" s="198">
        <v>1000</v>
      </c>
      <c r="W71" s="198">
        <v>14040</v>
      </c>
      <c r="X71" s="202">
        <v>214851.99</v>
      </c>
      <c r="Y71" s="198">
        <v>14046</v>
      </c>
      <c r="Z71" s="202">
        <v>12533.01</v>
      </c>
      <c r="AA71" s="202">
        <v>0</v>
      </c>
      <c r="AB71" s="202">
        <v>202318.97999999998</v>
      </c>
      <c r="AC71" s="202">
        <v>7161.72</v>
      </c>
      <c r="AD71" s="198">
        <v>51260</v>
      </c>
      <c r="AE71" s="202">
        <v>1790.43</v>
      </c>
      <c r="AF71" s="202">
        <v>0</v>
      </c>
      <c r="AG71" s="202">
        <v>1790.43</v>
      </c>
      <c r="AH71" s="198" t="s">
        <v>989</v>
      </c>
      <c r="AI71" s="198"/>
      <c r="AJ71" s="198"/>
      <c r="AK71" s="198">
        <v>3738</v>
      </c>
      <c r="AL71" s="198" t="s">
        <v>147</v>
      </c>
      <c r="AM71" s="198" t="s">
        <v>1857</v>
      </c>
      <c r="AN71" s="196">
        <f t="shared" si="20"/>
        <v>10</v>
      </c>
      <c r="AO71" s="196">
        <f t="shared" si="21"/>
        <v>2023</v>
      </c>
      <c r="AP71" s="195">
        <f t="shared" si="22"/>
        <v>2033</v>
      </c>
      <c r="AQ71" s="194">
        <f t="shared" si="23"/>
        <v>2033.8333333333333</v>
      </c>
      <c r="AR71" s="193">
        <f t="shared" si="24"/>
        <v>1790.43325</v>
      </c>
      <c r="AS71" s="192">
        <f t="shared" si="25"/>
        <v>21485.199000000001</v>
      </c>
      <c r="AT71" s="192">
        <f t="shared" si="26"/>
        <v>21485.199000000001</v>
      </c>
      <c r="AU71" s="192">
        <f t="shared" si="27"/>
        <v>0</v>
      </c>
      <c r="AV71" s="192">
        <f t="shared" si="28"/>
        <v>21485.199000000001</v>
      </c>
      <c r="AW71" s="191">
        <f t="shared" si="29"/>
        <v>193366.791</v>
      </c>
      <c r="AX71" s="190" t="s">
        <v>72</v>
      </c>
      <c r="AY71" s="184"/>
    </row>
    <row r="72" spans="2:51">
      <c r="B72" s="198">
        <v>2183</v>
      </c>
      <c r="C72" s="199">
        <v>316048</v>
      </c>
      <c r="D72" s="198" t="s">
        <v>989</v>
      </c>
      <c r="E72" s="198" t="s">
        <v>2003</v>
      </c>
      <c r="F72" s="198" t="s">
        <v>2077</v>
      </c>
      <c r="G72" s="198"/>
      <c r="H72" s="198"/>
      <c r="I72" s="200">
        <v>1</v>
      </c>
      <c r="J72" s="198" t="s">
        <v>2075</v>
      </c>
      <c r="K72" s="200">
        <v>2024</v>
      </c>
      <c r="L72" s="198"/>
      <c r="M72" s="198"/>
      <c r="N72" s="198" t="s">
        <v>2183</v>
      </c>
      <c r="O72" s="198" t="s">
        <v>2184</v>
      </c>
      <c r="P72" s="198" t="s">
        <v>2187</v>
      </c>
      <c r="Q72" s="198"/>
      <c r="R72" s="198"/>
      <c r="S72" s="201">
        <v>45219</v>
      </c>
      <c r="T72" s="201">
        <v>45219</v>
      </c>
      <c r="U72" s="198" t="s">
        <v>2054</v>
      </c>
      <c r="V72" s="198">
        <v>1000</v>
      </c>
      <c r="W72" s="198">
        <v>14040</v>
      </c>
      <c r="X72" s="202">
        <v>225461.72</v>
      </c>
      <c r="Y72" s="198">
        <v>14046</v>
      </c>
      <c r="Z72" s="202">
        <v>11273.1</v>
      </c>
      <c r="AA72" s="202">
        <v>0</v>
      </c>
      <c r="AB72" s="202">
        <v>214188.62</v>
      </c>
      <c r="AC72" s="202">
        <v>7515.4</v>
      </c>
      <c r="AD72" s="198">
        <v>51260</v>
      </c>
      <c r="AE72" s="202">
        <v>1878.85</v>
      </c>
      <c r="AF72" s="202">
        <v>0</v>
      </c>
      <c r="AG72" s="202">
        <v>1878.85</v>
      </c>
      <c r="AH72" s="198" t="s">
        <v>989</v>
      </c>
      <c r="AI72" s="198"/>
      <c r="AJ72" s="198"/>
      <c r="AK72" s="198" t="s">
        <v>2288</v>
      </c>
      <c r="AL72" s="198" t="s">
        <v>147</v>
      </c>
      <c r="AM72" s="198" t="s">
        <v>1857</v>
      </c>
      <c r="AN72" s="196">
        <f t="shared" si="20"/>
        <v>10</v>
      </c>
      <c r="AO72" s="196">
        <f t="shared" si="21"/>
        <v>2023</v>
      </c>
      <c r="AP72" s="195">
        <f t="shared" si="22"/>
        <v>2033</v>
      </c>
      <c r="AQ72" s="194">
        <f t="shared" si="23"/>
        <v>2033.8333333333333</v>
      </c>
      <c r="AR72" s="193">
        <f t="shared" si="24"/>
        <v>1878.8476666666666</v>
      </c>
      <c r="AS72" s="192">
        <f t="shared" si="25"/>
        <v>22546.171999999999</v>
      </c>
      <c r="AT72" s="192">
        <f t="shared" si="26"/>
        <v>22546.171999999999</v>
      </c>
      <c r="AU72" s="192">
        <f t="shared" si="27"/>
        <v>0</v>
      </c>
      <c r="AV72" s="192">
        <f t="shared" si="28"/>
        <v>22546.171999999999</v>
      </c>
      <c r="AW72" s="191">
        <f t="shared" si="29"/>
        <v>202915.54800000001</v>
      </c>
      <c r="AX72" s="190" t="s">
        <v>72</v>
      </c>
      <c r="AY72" s="184"/>
    </row>
    <row r="73" spans="2:51" hidden="1">
      <c r="B73" s="198">
        <v>2183</v>
      </c>
      <c r="C73" s="199">
        <v>315920</v>
      </c>
      <c r="D73" s="198">
        <v>315531</v>
      </c>
      <c r="E73" s="198" t="s">
        <v>2003</v>
      </c>
      <c r="F73" s="198" t="s">
        <v>2074</v>
      </c>
      <c r="G73" s="198"/>
      <c r="H73" s="198"/>
      <c r="I73" s="200">
        <v>1</v>
      </c>
      <c r="J73" s="198" t="s">
        <v>2071</v>
      </c>
      <c r="K73" s="200">
        <v>2024</v>
      </c>
      <c r="L73" s="198" t="s">
        <v>2076</v>
      </c>
      <c r="M73" s="198"/>
      <c r="N73" s="198" t="s">
        <v>2183</v>
      </c>
      <c r="O73" s="198" t="s">
        <v>2184</v>
      </c>
      <c r="P73" s="198" t="s">
        <v>1028</v>
      </c>
      <c r="Q73" s="198"/>
      <c r="R73" s="198"/>
      <c r="S73" s="201">
        <v>45204</v>
      </c>
      <c r="T73" s="201">
        <v>45204</v>
      </c>
      <c r="U73" s="198" t="s">
        <v>2052</v>
      </c>
      <c r="V73" s="198">
        <v>1000</v>
      </c>
      <c r="W73" s="198">
        <v>14040</v>
      </c>
      <c r="X73" s="202">
        <v>214851.99</v>
      </c>
      <c r="Y73" s="198">
        <v>14046</v>
      </c>
      <c r="Z73" s="202">
        <v>12533.01</v>
      </c>
      <c r="AA73" s="202">
        <v>0</v>
      </c>
      <c r="AB73" s="202">
        <v>202318.97999999998</v>
      </c>
      <c r="AC73" s="202">
        <v>7161.72</v>
      </c>
      <c r="AD73" s="198">
        <v>51260</v>
      </c>
      <c r="AE73" s="202">
        <v>1790.43</v>
      </c>
      <c r="AF73" s="202">
        <v>0</v>
      </c>
      <c r="AG73" s="202">
        <v>1790.43</v>
      </c>
      <c r="AH73" s="198" t="s">
        <v>989</v>
      </c>
      <c r="AI73" s="198"/>
      <c r="AJ73" s="198"/>
      <c r="AK73" s="198">
        <v>3737</v>
      </c>
      <c r="AL73" s="198" t="s">
        <v>147</v>
      </c>
      <c r="AM73" s="198" t="s">
        <v>1857</v>
      </c>
      <c r="AN73" s="196">
        <f t="shared" si="20"/>
        <v>10</v>
      </c>
      <c r="AO73" s="196">
        <f t="shared" si="21"/>
        <v>2023</v>
      </c>
      <c r="AP73" s="195">
        <f t="shared" si="22"/>
        <v>2033</v>
      </c>
      <c r="AQ73" s="194">
        <f t="shared" si="23"/>
        <v>2033.8333333333333</v>
      </c>
      <c r="AR73" s="193">
        <f t="shared" si="24"/>
        <v>1790.43325</v>
      </c>
      <c r="AS73" s="192">
        <f t="shared" si="25"/>
        <v>21485.199000000001</v>
      </c>
      <c r="AT73" s="192">
        <f t="shared" si="26"/>
        <v>21485.199000000001</v>
      </c>
      <c r="AU73" s="192">
        <f t="shared" si="27"/>
        <v>0</v>
      </c>
      <c r="AV73" s="192">
        <f t="shared" si="28"/>
        <v>21485.199000000001</v>
      </c>
      <c r="AW73" s="191">
        <f t="shared" si="29"/>
        <v>193366.791</v>
      </c>
      <c r="AX73" s="190" t="s">
        <v>72</v>
      </c>
      <c r="AY73" s="184"/>
    </row>
    <row r="74" spans="2:51">
      <c r="B74" s="198">
        <v>2183</v>
      </c>
      <c r="C74" s="199">
        <v>315531</v>
      </c>
      <c r="D74" s="198" t="s">
        <v>989</v>
      </c>
      <c r="E74" s="198" t="s">
        <v>2003</v>
      </c>
      <c r="F74" s="198" t="s">
        <v>2077</v>
      </c>
      <c r="G74" s="198"/>
      <c r="H74" s="198"/>
      <c r="I74" s="200">
        <v>1</v>
      </c>
      <c r="J74" s="198" t="s">
        <v>2071</v>
      </c>
      <c r="K74" s="200">
        <v>2024</v>
      </c>
      <c r="L74" s="198"/>
      <c r="M74" s="198"/>
      <c r="N74" s="198" t="s">
        <v>2183</v>
      </c>
      <c r="O74" s="198" t="s">
        <v>2184</v>
      </c>
      <c r="P74" s="198" t="s">
        <v>2187</v>
      </c>
      <c r="Q74" s="198"/>
      <c r="R74" s="198"/>
      <c r="S74" s="201">
        <v>45204</v>
      </c>
      <c r="T74" s="201">
        <v>45204</v>
      </c>
      <c r="U74" s="198" t="s">
        <v>2052</v>
      </c>
      <c r="V74" s="198">
        <v>1000</v>
      </c>
      <c r="W74" s="198">
        <v>14040</v>
      </c>
      <c r="X74" s="202">
        <v>225461.72</v>
      </c>
      <c r="Y74" s="198">
        <v>14046</v>
      </c>
      <c r="Z74" s="202">
        <v>13151.94</v>
      </c>
      <c r="AA74" s="202">
        <v>0</v>
      </c>
      <c r="AB74" s="202">
        <v>212309.78</v>
      </c>
      <c r="AC74" s="202">
        <v>7515.4</v>
      </c>
      <c r="AD74" s="198">
        <v>51260</v>
      </c>
      <c r="AE74" s="202">
        <v>1878.85</v>
      </c>
      <c r="AF74" s="202">
        <v>0</v>
      </c>
      <c r="AG74" s="202">
        <v>1878.85</v>
      </c>
      <c r="AH74" s="198" t="s">
        <v>989</v>
      </c>
      <c r="AI74" s="198"/>
      <c r="AJ74" s="198"/>
      <c r="AK74" s="198" t="s">
        <v>2289</v>
      </c>
      <c r="AL74" s="198" t="s">
        <v>147</v>
      </c>
      <c r="AM74" s="198" t="s">
        <v>1857</v>
      </c>
      <c r="AN74" s="196">
        <f t="shared" si="20"/>
        <v>10</v>
      </c>
      <c r="AO74" s="196">
        <f t="shared" si="21"/>
        <v>2023</v>
      </c>
      <c r="AP74" s="195">
        <f t="shared" si="22"/>
        <v>2033</v>
      </c>
      <c r="AQ74" s="194">
        <f t="shared" si="23"/>
        <v>2033.8333333333333</v>
      </c>
      <c r="AR74" s="193">
        <f t="shared" si="24"/>
        <v>1878.8476666666666</v>
      </c>
      <c r="AS74" s="192">
        <f t="shared" si="25"/>
        <v>22546.171999999999</v>
      </c>
      <c r="AT74" s="192">
        <f t="shared" si="26"/>
        <v>22546.171999999999</v>
      </c>
      <c r="AU74" s="192">
        <f t="shared" si="27"/>
        <v>0</v>
      </c>
      <c r="AV74" s="192">
        <f t="shared" si="28"/>
        <v>22546.171999999999</v>
      </c>
      <c r="AW74" s="191">
        <f t="shared" si="29"/>
        <v>202915.54800000001</v>
      </c>
      <c r="AX74" s="190" t="s">
        <v>72</v>
      </c>
      <c r="AY74" s="184"/>
    </row>
    <row r="75" spans="2:51">
      <c r="B75" s="198">
        <v>2183</v>
      </c>
      <c r="C75" s="199">
        <v>314606</v>
      </c>
      <c r="D75" s="198" t="s">
        <v>989</v>
      </c>
      <c r="E75" s="198" t="s">
        <v>2003</v>
      </c>
      <c r="F75" s="198" t="s">
        <v>2078</v>
      </c>
      <c r="G75" s="198"/>
      <c r="H75" s="198"/>
      <c r="I75" s="200">
        <v>1</v>
      </c>
      <c r="J75" s="198" t="s">
        <v>2079</v>
      </c>
      <c r="K75" s="200">
        <v>2006</v>
      </c>
      <c r="L75" s="198" t="s">
        <v>1139</v>
      </c>
      <c r="M75" s="198" t="s">
        <v>2080</v>
      </c>
      <c r="N75" s="198" t="s">
        <v>2183</v>
      </c>
      <c r="O75" s="198" t="s">
        <v>2184</v>
      </c>
      <c r="P75" s="198" t="s">
        <v>1566</v>
      </c>
      <c r="Q75" s="198"/>
      <c r="R75" s="198"/>
      <c r="S75" s="201">
        <v>41653</v>
      </c>
      <c r="T75" s="201">
        <v>41653</v>
      </c>
      <c r="U75" s="198" t="s">
        <v>2081</v>
      </c>
      <c r="V75" s="198">
        <v>300</v>
      </c>
      <c r="W75" s="198">
        <v>14040</v>
      </c>
      <c r="X75" s="202">
        <v>50193</v>
      </c>
      <c r="Y75" s="198">
        <v>14046</v>
      </c>
      <c r="Z75" s="202">
        <v>50193</v>
      </c>
      <c r="AA75" s="202">
        <v>0</v>
      </c>
      <c r="AB75" s="202">
        <v>0</v>
      </c>
      <c r="AC75" s="202">
        <v>0</v>
      </c>
      <c r="AD75" s="198">
        <v>51260</v>
      </c>
      <c r="AE75" s="202">
        <v>0</v>
      </c>
      <c r="AF75" s="202">
        <v>0</v>
      </c>
      <c r="AG75" s="202">
        <v>0</v>
      </c>
      <c r="AH75" s="198" t="s">
        <v>989</v>
      </c>
      <c r="AI75" s="198"/>
      <c r="AJ75" s="198">
        <v>9226</v>
      </c>
      <c r="AK75" s="214">
        <v>9226</v>
      </c>
      <c r="AL75" s="214"/>
      <c r="AM75" s="214"/>
      <c r="AN75" s="196">
        <f t="shared" si="20"/>
        <v>1</v>
      </c>
      <c r="AO75" s="196">
        <f t="shared" si="21"/>
        <v>2014</v>
      </c>
      <c r="AP75" s="195">
        <f t="shared" si="22"/>
        <v>2017</v>
      </c>
      <c r="AQ75" s="194">
        <f t="shared" si="23"/>
        <v>2017.0833333333333</v>
      </c>
      <c r="AR75" s="193">
        <f t="shared" si="24"/>
        <v>1394.25</v>
      </c>
      <c r="AS75" s="192">
        <f t="shared" si="25"/>
        <v>16731</v>
      </c>
      <c r="AT75" s="192">
        <f t="shared" si="26"/>
        <v>0</v>
      </c>
      <c r="AU75" s="192">
        <f t="shared" si="27"/>
        <v>50193</v>
      </c>
      <c r="AV75" s="192">
        <f t="shared" si="28"/>
        <v>50193</v>
      </c>
      <c r="AW75" s="191">
        <f t="shared" si="29"/>
        <v>0</v>
      </c>
      <c r="AX75" s="190" t="s">
        <v>72</v>
      </c>
      <c r="AY75" s="184"/>
    </row>
    <row r="76" spans="2:51">
      <c r="B76" s="198">
        <v>2183</v>
      </c>
      <c r="C76" s="199">
        <v>314605</v>
      </c>
      <c r="D76" s="198" t="s">
        <v>989</v>
      </c>
      <c r="E76" s="198" t="s">
        <v>2003</v>
      </c>
      <c r="F76" s="198" t="s">
        <v>2082</v>
      </c>
      <c r="G76" s="198"/>
      <c r="H76" s="198"/>
      <c r="I76" s="200">
        <v>1</v>
      </c>
      <c r="J76" s="198" t="s">
        <v>2083</v>
      </c>
      <c r="K76" s="200">
        <v>2017</v>
      </c>
      <c r="L76" s="198" t="s">
        <v>1139</v>
      </c>
      <c r="M76" s="198"/>
      <c r="N76" s="198" t="s">
        <v>2183</v>
      </c>
      <c r="O76" s="198" t="s">
        <v>2184</v>
      </c>
      <c r="P76" s="198" t="s">
        <v>1566</v>
      </c>
      <c r="Q76" s="198"/>
      <c r="R76" s="198"/>
      <c r="S76" s="201">
        <v>43100</v>
      </c>
      <c r="T76" s="201">
        <v>43100</v>
      </c>
      <c r="U76" s="198" t="s">
        <v>2084</v>
      </c>
      <c r="V76" s="198">
        <v>900</v>
      </c>
      <c r="W76" s="198">
        <v>14040</v>
      </c>
      <c r="X76" s="202">
        <v>83306.64</v>
      </c>
      <c r="Y76" s="198">
        <v>14046</v>
      </c>
      <c r="Z76" s="202">
        <v>58623.18</v>
      </c>
      <c r="AA76" s="202">
        <v>0</v>
      </c>
      <c r="AB76" s="202">
        <v>24683.46</v>
      </c>
      <c r="AC76" s="202">
        <v>3085.44</v>
      </c>
      <c r="AD76" s="198">
        <v>51260</v>
      </c>
      <c r="AE76" s="202">
        <v>771.36</v>
      </c>
      <c r="AF76" s="202">
        <v>0</v>
      </c>
      <c r="AG76" s="202">
        <v>771.36</v>
      </c>
      <c r="AH76" s="198" t="s">
        <v>989</v>
      </c>
      <c r="AI76" s="198"/>
      <c r="AJ76" s="198">
        <v>9230</v>
      </c>
      <c r="AK76" s="198">
        <v>9230</v>
      </c>
      <c r="AL76" s="198" t="s">
        <v>274</v>
      </c>
      <c r="AM76" s="198" t="s">
        <v>932</v>
      </c>
      <c r="AN76" s="196">
        <f t="shared" si="20"/>
        <v>12</v>
      </c>
      <c r="AO76" s="196">
        <f t="shared" si="21"/>
        <v>2017</v>
      </c>
      <c r="AP76" s="195">
        <f t="shared" si="22"/>
        <v>2026</v>
      </c>
      <c r="AQ76" s="194">
        <f t="shared" si="23"/>
        <v>2027</v>
      </c>
      <c r="AR76" s="193">
        <f t="shared" si="24"/>
        <v>771.35777777777776</v>
      </c>
      <c r="AS76" s="192">
        <f t="shared" si="25"/>
        <v>9256.2933333333331</v>
      </c>
      <c r="AT76" s="192">
        <f t="shared" si="26"/>
        <v>9256.2933333333331</v>
      </c>
      <c r="AU76" s="192">
        <f t="shared" si="27"/>
        <v>50138.255555556258</v>
      </c>
      <c r="AV76" s="192">
        <f t="shared" si="28"/>
        <v>59394.548888889592</v>
      </c>
      <c r="AW76" s="191">
        <f t="shared" si="29"/>
        <v>23912.091111110407</v>
      </c>
      <c r="AX76" s="190" t="s">
        <v>72</v>
      </c>
      <c r="AY76" s="184"/>
    </row>
    <row r="77" spans="2:51" hidden="1">
      <c r="B77" s="198">
        <v>2183</v>
      </c>
      <c r="C77" s="199">
        <v>314543</v>
      </c>
      <c r="D77" s="198">
        <v>311267</v>
      </c>
      <c r="E77" s="198" t="s">
        <v>2003</v>
      </c>
      <c r="F77" s="198" t="s">
        <v>2085</v>
      </c>
      <c r="G77" s="198"/>
      <c r="H77" s="198"/>
      <c r="I77" s="200">
        <v>1</v>
      </c>
      <c r="J77" s="198" t="s">
        <v>2086</v>
      </c>
      <c r="K77" s="200">
        <v>0</v>
      </c>
      <c r="L77" s="198" t="s">
        <v>1151</v>
      </c>
      <c r="M77" s="198"/>
      <c r="N77" s="198" t="s">
        <v>2183</v>
      </c>
      <c r="O77" s="198" t="s">
        <v>2184</v>
      </c>
      <c r="P77" s="198" t="s">
        <v>1028</v>
      </c>
      <c r="Q77" s="198"/>
      <c r="R77" s="198"/>
      <c r="S77" s="201">
        <v>45132</v>
      </c>
      <c r="T77" s="201">
        <v>45132</v>
      </c>
      <c r="U77" s="198" t="s">
        <v>2087</v>
      </c>
      <c r="V77" s="198">
        <v>1000</v>
      </c>
      <c r="W77" s="198">
        <v>14040</v>
      </c>
      <c r="X77" s="202">
        <v>886.95</v>
      </c>
      <c r="Y77" s="198">
        <v>14046</v>
      </c>
      <c r="Z77" s="202">
        <v>66.52</v>
      </c>
      <c r="AA77" s="202">
        <v>0</v>
      </c>
      <c r="AB77" s="202">
        <v>820.43000000000006</v>
      </c>
      <c r="AC77" s="202">
        <v>29.56</v>
      </c>
      <c r="AD77" s="198">
        <v>51260</v>
      </c>
      <c r="AE77" s="202">
        <v>7.39</v>
      </c>
      <c r="AF77" s="202">
        <v>0</v>
      </c>
      <c r="AG77" s="202">
        <v>7.39</v>
      </c>
      <c r="AH77" s="198" t="s">
        <v>989</v>
      </c>
      <c r="AI77" s="198"/>
      <c r="AJ77" s="198"/>
      <c r="AK77" s="198">
        <v>3734</v>
      </c>
      <c r="AL77" s="198" t="s">
        <v>147</v>
      </c>
      <c r="AM77" s="198" t="s">
        <v>1857</v>
      </c>
      <c r="AN77" s="196">
        <f t="shared" si="20"/>
        <v>7</v>
      </c>
      <c r="AO77" s="196">
        <f t="shared" si="21"/>
        <v>2023</v>
      </c>
      <c r="AP77" s="195">
        <f t="shared" si="22"/>
        <v>2033</v>
      </c>
      <c r="AQ77" s="194">
        <f t="shared" si="23"/>
        <v>2033.5833333333333</v>
      </c>
      <c r="AR77" s="193">
        <f t="shared" si="24"/>
        <v>7.3912500000000003</v>
      </c>
      <c r="AS77" s="192">
        <f t="shared" si="25"/>
        <v>88.695000000000007</v>
      </c>
      <c r="AT77" s="192">
        <f t="shared" si="26"/>
        <v>88.695000000000007</v>
      </c>
      <c r="AU77" s="192">
        <f t="shared" si="27"/>
        <v>0</v>
      </c>
      <c r="AV77" s="192">
        <f t="shared" si="28"/>
        <v>88.695000000000007</v>
      </c>
      <c r="AW77" s="191">
        <f t="shared" si="29"/>
        <v>798.255</v>
      </c>
      <c r="AX77" s="190" t="s">
        <v>72</v>
      </c>
      <c r="AY77" s="184"/>
    </row>
    <row r="78" spans="2:51" hidden="1">
      <c r="B78" s="198">
        <v>2183</v>
      </c>
      <c r="C78" s="199">
        <v>314542</v>
      </c>
      <c r="D78" s="198">
        <v>311269</v>
      </c>
      <c r="E78" s="198" t="s">
        <v>2003</v>
      </c>
      <c r="F78" s="198" t="s">
        <v>2088</v>
      </c>
      <c r="G78" s="198"/>
      <c r="H78" s="198"/>
      <c r="I78" s="200">
        <v>1</v>
      </c>
      <c r="J78" s="198" t="s">
        <v>2089</v>
      </c>
      <c r="K78" s="200">
        <v>0</v>
      </c>
      <c r="L78" s="198" t="s">
        <v>1151</v>
      </c>
      <c r="M78" s="198"/>
      <c r="N78" s="198" t="s">
        <v>2183</v>
      </c>
      <c r="O78" s="198" t="s">
        <v>2184</v>
      </c>
      <c r="P78" s="198" t="s">
        <v>1028</v>
      </c>
      <c r="Q78" s="198"/>
      <c r="R78" s="198"/>
      <c r="S78" s="201">
        <v>45133</v>
      </c>
      <c r="T78" s="201">
        <v>45133</v>
      </c>
      <c r="U78" s="198" t="s">
        <v>2090</v>
      </c>
      <c r="V78" s="198">
        <v>1000</v>
      </c>
      <c r="W78" s="198">
        <v>14040</v>
      </c>
      <c r="X78" s="202">
        <v>941.7</v>
      </c>
      <c r="Y78" s="198">
        <v>14046</v>
      </c>
      <c r="Z78" s="202">
        <v>70.64</v>
      </c>
      <c r="AA78" s="202">
        <v>0</v>
      </c>
      <c r="AB78" s="202">
        <v>871.06000000000006</v>
      </c>
      <c r="AC78" s="202">
        <v>31.4</v>
      </c>
      <c r="AD78" s="198">
        <v>51260</v>
      </c>
      <c r="AE78" s="202">
        <v>7.85</v>
      </c>
      <c r="AF78" s="202">
        <v>0</v>
      </c>
      <c r="AG78" s="202">
        <v>7.85</v>
      </c>
      <c r="AH78" s="198" t="s">
        <v>989</v>
      </c>
      <c r="AI78" s="198"/>
      <c r="AJ78" s="198"/>
      <c r="AK78" s="198">
        <v>2066</v>
      </c>
      <c r="AL78" s="198" t="s">
        <v>147</v>
      </c>
      <c r="AM78" s="198" t="s">
        <v>1852</v>
      </c>
      <c r="AN78" s="196">
        <f t="shared" si="20"/>
        <v>7</v>
      </c>
      <c r="AO78" s="196">
        <f t="shared" si="21"/>
        <v>2023</v>
      </c>
      <c r="AP78" s="195">
        <f t="shared" si="22"/>
        <v>2033</v>
      </c>
      <c r="AQ78" s="194">
        <f t="shared" si="23"/>
        <v>2033.5833333333333</v>
      </c>
      <c r="AR78" s="193">
        <f t="shared" si="24"/>
        <v>7.8475000000000001</v>
      </c>
      <c r="AS78" s="192">
        <f t="shared" si="25"/>
        <v>94.17</v>
      </c>
      <c r="AT78" s="192">
        <f t="shared" si="26"/>
        <v>94.17</v>
      </c>
      <c r="AU78" s="192">
        <f t="shared" si="27"/>
        <v>0</v>
      </c>
      <c r="AV78" s="192">
        <f t="shared" si="28"/>
        <v>94.17</v>
      </c>
      <c r="AW78" s="191">
        <f t="shared" si="29"/>
        <v>847.53000000000009</v>
      </c>
      <c r="AX78" s="190" t="s">
        <v>72</v>
      </c>
      <c r="AY78" s="184"/>
    </row>
    <row r="79" spans="2:51">
      <c r="B79" s="198">
        <v>2183</v>
      </c>
      <c r="C79" s="199">
        <v>313265</v>
      </c>
      <c r="D79" s="198" t="s">
        <v>989</v>
      </c>
      <c r="E79" s="198" t="s">
        <v>2003</v>
      </c>
      <c r="F79" s="198" t="s">
        <v>2091</v>
      </c>
      <c r="G79" s="198"/>
      <c r="H79" s="198"/>
      <c r="I79" s="200">
        <v>17</v>
      </c>
      <c r="J79" s="198"/>
      <c r="K79" s="200">
        <v>0</v>
      </c>
      <c r="L79" s="198"/>
      <c r="M79" s="198"/>
      <c r="N79" s="198" t="s">
        <v>2190</v>
      </c>
      <c r="O79" s="198" t="s">
        <v>2184</v>
      </c>
      <c r="P79" s="198"/>
      <c r="Q79" s="198" t="s">
        <v>2209</v>
      </c>
      <c r="R79" s="198" t="s">
        <v>2195</v>
      </c>
      <c r="S79" s="201">
        <v>35704</v>
      </c>
      <c r="T79" s="201">
        <v>35704</v>
      </c>
      <c r="U79" s="198"/>
      <c r="V79" s="198">
        <v>500</v>
      </c>
      <c r="W79" s="198">
        <v>14050</v>
      </c>
      <c r="X79" s="202">
        <v>2149.27</v>
      </c>
      <c r="Y79" s="198">
        <v>14056</v>
      </c>
      <c r="Z79" s="202">
        <v>2149.27</v>
      </c>
      <c r="AA79" s="202">
        <v>0</v>
      </c>
      <c r="AB79" s="202">
        <v>0</v>
      </c>
      <c r="AC79" s="202">
        <v>0</v>
      </c>
      <c r="AD79" s="198">
        <v>54260</v>
      </c>
      <c r="AE79" s="202">
        <v>0</v>
      </c>
      <c r="AF79" s="202">
        <v>0</v>
      </c>
      <c r="AG79" s="202">
        <v>0</v>
      </c>
      <c r="AH79" s="198" t="s">
        <v>994</v>
      </c>
      <c r="AI79" s="198" t="s">
        <v>2092</v>
      </c>
      <c r="AJ79" s="198" t="s">
        <v>1296</v>
      </c>
      <c r="AK79" s="198">
        <v>0</v>
      </c>
      <c r="AL79" s="198" t="s">
        <v>1854</v>
      </c>
      <c r="AM79" s="198" t="s">
        <v>2282</v>
      </c>
      <c r="AN79" s="196">
        <f t="shared" si="20"/>
        <v>10</v>
      </c>
      <c r="AO79" s="196">
        <f t="shared" si="21"/>
        <v>1997</v>
      </c>
      <c r="AP79" s="195">
        <f t="shared" si="22"/>
        <v>2002</v>
      </c>
      <c r="AQ79" s="194">
        <f t="shared" si="23"/>
        <v>2002.8333333333333</v>
      </c>
      <c r="AR79" s="193">
        <f t="shared" si="24"/>
        <v>35.821166666666663</v>
      </c>
      <c r="AS79" s="192">
        <f t="shared" si="25"/>
        <v>429.85399999999993</v>
      </c>
      <c r="AT79" s="192">
        <f t="shared" si="26"/>
        <v>0</v>
      </c>
      <c r="AU79" s="192">
        <f t="shared" si="27"/>
        <v>2149.27</v>
      </c>
      <c r="AV79" s="192">
        <f t="shared" si="28"/>
        <v>2149.27</v>
      </c>
      <c r="AW79" s="191">
        <f t="shared" si="29"/>
        <v>0</v>
      </c>
      <c r="AX79" s="190" t="s">
        <v>72</v>
      </c>
      <c r="AY79" s="184"/>
    </row>
    <row r="80" spans="2:51">
      <c r="B80" s="198">
        <v>2183</v>
      </c>
      <c r="C80" s="199">
        <v>313264</v>
      </c>
      <c r="D80" s="198" t="s">
        <v>989</v>
      </c>
      <c r="E80" s="198" t="s">
        <v>2003</v>
      </c>
      <c r="F80" s="198" t="s">
        <v>2093</v>
      </c>
      <c r="G80" s="198"/>
      <c r="H80" s="198"/>
      <c r="I80" s="200">
        <v>6</v>
      </c>
      <c r="J80" s="198"/>
      <c r="K80" s="200">
        <v>0</v>
      </c>
      <c r="L80" s="198" t="s">
        <v>2094</v>
      </c>
      <c r="M80" s="198"/>
      <c r="N80" s="198" t="s">
        <v>2190</v>
      </c>
      <c r="O80" s="198" t="s">
        <v>2184</v>
      </c>
      <c r="P80" s="198"/>
      <c r="Q80" s="198" t="s">
        <v>2208</v>
      </c>
      <c r="R80" s="198" t="s">
        <v>2195</v>
      </c>
      <c r="S80" s="201">
        <v>36629</v>
      </c>
      <c r="T80" s="201">
        <v>36628</v>
      </c>
      <c r="U80" s="198" t="s">
        <v>2095</v>
      </c>
      <c r="V80" s="198">
        <v>1200</v>
      </c>
      <c r="W80" s="198">
        <v>14050</v>
      </c>
      <c r="X80" s="202">
        <v>2186.98</v>
      </c>
      <c r="Y80" s="198">
        <v>14056</v>
      </c>
      <c r="Z80" s="202">
        <v>2186.98</v>
      </c>
      <c r="AA80" s="202">
        <v>0</v>
      </c>
      <c r="AB80" s="202">
        <v>0</v>
      </c>
      <c r="AC80" s="202">
        <v>0</v>
      </c>
      <c r="AD80" s="198">
        <v>54260</v>
      </c>
      <c r="AE80" s="202">
        <v>0</v>
      </c>
      <c r="AF80" s="202">
        <v>0</v>
      </c>
      <c r="AG80" s="202">
        <v>0</v>
      </c>
      <c r="AH80" s="198" t="s">
        <v>989</v>
      </c>
      <c r="AI80" s="198"/>
      <c r="AJ80" s="198"/>
      <c r="AK80" s="198">
        <v>0</v>
      </c>
      <c r="AL80" s="198" t="s">
        <v>1854</v>
      </c>
      <c r="AM80" s="198" t="s">
        <v>2282</v>
      </c>
      <c r="AN80" s="196">
        <f t="shared" si="20"/>
        <v>4</v>
      </c>
      <c r="AO80" s="196">
        <f t="shared" si="21"/>
        <v>2000</v>
      </c>
      <c r="AP80" s="195">
        <f t="shared" si="22"/>
        <v>2012</v>
      </c>
      <c r="AQ80" s="194">
        <f t="shared" si="23"/>
        <v>2012.3333333333333</v>
      </c>
      <c r="AR80" s="193">
        <f t="shared" si="24"/>
        <v>15.187361111111111</v>
      </c>
      <c r="AS80" s="192">
        <f t="shared" si="25"/>
        <v>182.24833333333333</v>
      </c>
      <c r="AT80" s="192">
        <f t="shared" si="26"/>
        <v>0</v>
      </c>
      <c r="AU80" s="192">
        <f t="shared" si="27"/>
        <v>2186.98</v>
      </c>
      <c r="AV80" s="192">
        <f t="shared" si="28"/>
        <v>2186.98</v>
      </c>
      <c r="AW80" s="191">
        <f t="shared" si="29"/>
        <v>0</v>
      </c>
      <c r="AX80" s="190" t="s">
        <v>72</v>
      </c>
      <c r="AY80" s="184"/>
    </row>
    <row r="81" spans="2:51" hidden="1">
      <c r="B81" s="198">
        <v>2183</v>
      </c>
      <c r="C81" s="199">
        <v>313126</v>
      </c>
      <c r="D81" s="198">
        <v>311269</v>
      </c>
      <c r="E81" s="198" t="s">
        <v>2003</v>
      </c>
      <c r="F81" s="198" t="s">
        <v>2096</v>
      </c>
      <c r="G81" s="198"/>
      <c r="H81" s="198"/>
      <c r="I81" s="200">
        <v>1</v>
      </c>
      <c r="J81" s="198" t="s">
        <v>2089</v>
      </c>
      <c r="K81" s="200">
        <v>0</v>
      </c>
      <c r="L81" s="198" t="s">
        <v>1093</v>
      </c>
      <c r="M81" s="198"/>
      <c r="N81" s="198" t="s">
        <v>2183</v>
      </c>
      <c r="O81" s="198" t="s">
        <v>2184</v>
      </c>
      <c r="P81" s="198" t="s">
        <v>1028</v>
      </c>
      <c r="Q81" s="198"/>
      <c r="R81" s="198"/>
      <c r="S81" s="201">
        <v>45133</v>
      </c>
      <c r="T81" s="201">
        <v>45133</v>
      </c>
      <c r="U81" s="198" t="s">
        <v>2090</v>
      </c>
      <c r="V81" s="198">
        <v>500</v>
      </c>
      <c r="W81" s="198">
        <v>14040</v>
      </c>
      <c r="X81" s="202">
        <v>330.15</v>
      </c>
      <c r="Y81" s="198">
        <v>14046</v>
      </c>
      <c r="Z81" s="202">
        <v>49.51</v>
      </c>
      <c r="AA81" s="202">
        <v>0</v>
      </c>
      <c r="AB81" s="202">
        <v>280.64</v>
      </c>
      <c r="AC81" s="202">
        <v>22</v>
      </c>
      <c r="AD81" s="198">
        <v>51260</v>
      </c>
      <c r="AE81" s="202">
        <v>5.5</v>
      </c>
      <c r="AF81" s="202">
        <v>0</v>
      </c>
      <c r="AG81" s="202">
        <v>5.5</v>
      </c>
      <c r="AH81" s="198" t="s">
        <v>989</v>
      </c>
      <c r="AI81" s="198"/>
      <c r="AJ81" s="198"/>
      <c r="AK81" s="198">
        <v>2066</v>
      </c>
      <c r="AL81" s="198" t="s">
        <v>147</v>
      </c>
      <c r="AM81" s="198" t="s">
        <v>1852</v>
      </c>
      <c r="AN81" s="196">
        <f t="shared" si="20"/>
        <v>7</v>
      </c>
      <c r="AO81" s="196">
        <f t="shared" si="21"/>
        <v>2023</v>
      </c>
      <c r="AP81" s="195">
        <f t="shared" si="22"/>
        <v>2028</v>
      </c>
      <c r="AQ81" s="194">
        <f t="shared" si="23"/>
        <v>2028.5833333333333</v>
      </c>
      <c r="AR81" s="193">
        <f t="shared" si="24"/>
        <v>5.5025000000000004</v>
      </c>
      <c r="AS81" s="192">
        <f t="shared" si="25"/>
        <v>66.03</v>
      </c>
      <c r="AT81" s="192">
        <f t="shared" si="26"/>
        <v>66.03</v>
      </c>
      <c r="AU81" s="192">
        <f t="shared" si="27"/>
        <v>0</v>
      </c>
      <c r="AV81" s="192">
        <f t="shared" si="28"/>
        <v>66.03</v>
      </c>
      <c r="AW81" s="191">
        <f t="shared" si="29"/>
        <v>264.12</v>
      </c>
      <c r="AX81" s="190" t="s">
        <v>72</v>
      </c>
      <c r="AY81" s="184"/>
    </row>
    <row r="82" spans="2:51" hidden="1">
      <c r="B82" s="198">
        <v>2183</v>
      </c>
      <c r="C82" s="199">
        <v>313125</v>
      </c>
      <c r="D82" s="198">
        <v>311268</v>
      </c>
      <c r="E82" s="198" t="s">
        <v>2003</v>
      </c>
      <c r="F82" s="198" t="s">
        <v>2097</v>
      </c>
      <c r="G82" s="198"/>
      <c r="H82" s="198"/>
      <c r="I82" s="200">
        <v>1</v>
      </c>
      <c r="J82" s="198" t="s">
        <v>2098</v>
      </c>
      <c r="K82" s="200">
        <v>0</v>
      </c>
      <c r="L82" s="198" t="s">
        <v>1093</v>
      </c>
      <c r="M82" s="198"/>
      <c r="N82" s="198" t="s">
        <v>2183</v>
      </c>
      <c r="O82" s="198" t="s">
        <v>2184</v>
      </c>
      <c r="P82" s="198" t="s">
        <v>1028</v>
      </c>
      <c r="Q82" s="198"/>
      <c r="R82" s="198"/>
      <c r="S82" s="201">
        <v>45132</v>
      </c>
      <c r="T82" s="201">
        <v>45132</v>
      </c>
      <c r="U82" s="198" t="s">
        <v>2066</v>
      </c>
      <c r="V82" s="198">
        <v>500</v>
      </c>
      <c r="W82" s="198">
        <v>14040</v>
      </c>
      <c r="X82" s="202">
        <v>330.14</v>
      </c>
      <c r="Y82" s="198">
        <v>14046</v>
      </c>
      <c r="Z82" s="202">
        <v>49.51</v>
      </c>
      <c r="AA82" s="202">
        <v>0</v>
      </c>
      <c r="AB82" s="202">
        <v>280.63</v>
      </c>
      <c r="AC82" s="202">
        <v>22</v>
      </c>
      <c r="AD82" s="198">
        <v>51260</v>
      </c>
      <c r="AE82" s="202">
        <v>5.5</v>
      </c>
      <c r="AF82" s="202">
        <v>0</v>
      </c>
      <c r="AG82" s="202">
        <v>5.5</v>
      </c>
      <c r="AH82" s="198" t="s">
        <v>989</v>
      </c>
      <c r="AI82" s="198"/>
      <c r="AJ82" s="198"/>
      <c r="AK82" s="198">
        <v>3735</v>
      </c>
      <c r="AL82" s="198" t="s">
        <v>147</v>
      </c>
      <c r="AM82" s="198" t="s">
        <v>1857</v>
      </c>
      <c r="AN82" s="196">
        <f t="shared" si="20"/>
        <v>7</v>
      </c>
      <c r="AO82" s="196">
        <f t="shared" si="21"/>
        <v>2023</v>
      </c>
      <c r="AP82" s="195">
        <f t="shared" si="22"/>
        <v>2028</v>
      </c>
      <c r="AQ82" s="194">
        <f t="shared" si="23"/>
        <v>2028.5833333333333</v>
      </c>
      <c r="AR82" s="193">
        <f t="shared" si="24"/>
        <v>5.5023333333333326</v>
      </c>
      <c r="AS82" s="192">
        <f t="shared" si="25"/>
        <v>66.027999999999992</v>
      </c>
      <c r="AT82" s="192">
        <f t="shared" si="26"/>
        <v>66.027999999999992</v>
      </c>
      <c r="AU82" s="192">
        <f t="shared" si="27"/>
        <v>0</v>
      </c>
      <c r="AV82" s="192">
        <f t="shared" si="28"/>
        <v>66.027999999999992</v>
      </c>
      <c r="AW82" s="191">
        <f t="shared" si="29"/>
        <v>264.11199999999997</v>
      </c>
      <c r="AX82" s="190" t="s">
        <v>72</v>
      </c>
      <c r="AY82" s="184"/>
    </row>
    <row r="83" spans="2:51" hidden="1">
      <c r="B83" s="198">
        <v>2183</v>
      </c>
      <c r="C83" s="199">
        <v>313124</v>
      </c>
      <c r="D83" s="198">
        <v>311267</v>
      </c>
      <c r="E83" s="198" t="s">
        <v>2003</v>
      </c>
      <c r="F83" s="198" t="s">
        <v>2099</v>
      </c>
      <c r="G83" s="198"/>
      <c r="H83" s="198"/>
      <c r="I83" s="200">
        <v>1</v>
      </c>
      <c r="J83" s="198" t="s">
        <v>2086</v>
      </c>
      <c r="K83" s="200">
        <v>0</v>
      </c>
      <c r="L83" s="198" t="s">
        <v>1093</v>
      </c>
      <c r="M83" s="198"/>
      <c r="N83" s="198" t="s">
        <v>2183</v>
      </c>
      <c r="O83" s="198" t="s">
        <v>2184</v>
      </c>
      <c r="P83" s="198" t="s">
        <v>1028</v>
      </c>
      <c r="Q83" s="198"/>
      <c r="R83" s="198"/>
      <c r="S83" s="201">
        <v>45132</v>
      </c>
      <c r="T83" s="201">
        <v>45132</v>
      </c>
      <c r="U83" s="198" t="s">
        <v>2087</v>
      </c>
      <c r="V83" s="198">
        <v>500</v>
      </c>
      <c r="W83" s="198">
        <v>14040</v>
      </c>
      <c r="X83" s="202">
        <v>330.14</v>
      </c>
      <c r="Y83" s="198">
        <v>14046</v>
      </c>
      <c r="Z83" s="202">
        <v>49.51</v>
      </c>
      <c r="AA83" s="202">
        <v>0</v>
      </c>
      <c r="AB83" s="202">
        <v>280.63</v>
      </c>
      <c r="AC83" s="202">
        <v>22</v>
      </c>
      <c r="AD83" s="198">
        <v>51260</v>
      </c>
      <c r="AE83" s="202">
        <v>5.5</v>
      </c>
      <c r="AF83" s="202">
        <v>0</v>
      </c>
      <c r="AG83" s="202">
        <v>5.5</v>
      </c>
      <c r="AH83" s="198" t="s">
        <v>989</v>
      </c>
      <c r="AI83" s="198"/>
      <c r="AJ83" s="198"/>
      <c r="AK83" s="198">
        <v>3734</v>
      </c>
      <c r="AL83" s="198" t="s">
        <v>147</v>
      </c>
      <c r="AM83" s="198" t="s">
        <v>1857</v>
      </c>
      <c r="AN83" s="196">
        <f t="shared" si="20"/>
        <v>7</v>
      </c>
      <c r="AO83" s="196">
        <f t="shared" si="21"/>
        <v>2023</v>
      </c>
      <c r="AP83" s="195">
        <f t="shared" si="22"/>
        <v>2028</v>
      </c>
      <c r="AQ83" s="194">
        <f t="shared" si="23"/>
        <v>2028.5833333333333</v>
      </c>
      <c r="AR83" s="193">
        <f t="shared" si="24"/>
        <v>5.5023333333333326</v>
      </c>
      <c r="AS83" s="192">
        <f t="shared" si="25"/>
        <v>66.027999999999992</v>
      </c>
      <c r="AT83" s="192">
        <f t="shared" si="26"/>
        <v>66.027999999999992</v>
      </c>
      <c r="AU83" s="192">
        <f t="shared" si="27"/>
        <v>0</v>
      </c>
      <c r="AV83" s="192">
        <f t="shared" si="28"/>
        <v>66.027999999999992</v>
      </c>
      <c r="AW83" s="191">
        <f t="shared" si="29"/>
        <v>264.11199999999997</v>
      </c>
      <c r="AX83" s="190" t="s">
        <v>72</v>
      </c>
      <c r="AY83" s="184"/>
    </row>
    <row r="84" spans="2:51">
      <c r="B84" s="198">
        <v>2183</v>
      </c>
      <c r="C84" s="199">
        <v>313030</v>
      </c>
      <c r="D84" s="198" t="s">
        <v>989</v>
      </c>
      <c r="E84" s="198" t="s">
        <v>2003</v>
      </c>
      <c r="F84" s="198" t="s">
        <v>2100</v>
      </c>
      <c r="G84" s="198"/>
      <c r="H84" s="198"/>
      <c r="I84" s="200">
        <v>798</v>
      </c>
      <c r="J84" s="198"/>
      <c r="K84" s="200">
        <v>0</v>
      </c>
      <c r="L84" s="198" t="s">
        <v>2044</v>
      </c>
      <c r="M84" s="198"/>
      <c r="N84" s="198" t="s">
        <v>2190</v>
      </c>
      <c r="O84" s="198" t="s">
        <v>2184</v>
      </c>
      <c r="P84" s="198"/>
      <c r="Q84" s="198"/>
      <c r="R84" s="198"/>
      <c r="S84" s="201">
        <v>45149</v>
      </c>
      <c r="T84" s="201">
        <v>45149</v>
      </c>
      <c r="U84" s="198" t="s">
        <v>2101</v>
      </c>
      <c r="V84" s="198">
        <v>700</v>
      </c>
      <c r="W84" s="198">
        <v>14050</v>
      </c>
      <c r="X84" s="202">
        <v>44529.36</v>
      </c>
      <c r="Y84" s="198">
        <v>14056</v>
      </c>
      <c r="Z84" s="202">
        <v>4771</v>
      </c>
      <c r="AA84" s="202">
        <v>0</v>
      </c>
      <c r="AB84" s="202">
        <v>39758.36</v>
      </c>
      <c r="AC84" s="202">
        <v>2120.44</v>
      </c>
      <c r="AD84" s="198">
        <v>54260</v>
      </c>
      <c r="AE84" s="202">
        <v>530.11</v>
      </c>
      <c r="AF84" s="202">
        <v>0</v>
      </c>
      <c r="AG84" s="202">
        <v>530.11</v>
      </c>
      <c r="AH84" s="198" t="s">
        <v>989</v>
      </c>
      <c r="AI84" s="198"/>
      <c r="AJ84" s="198"/>
      <c r="AK84" s="198">
        <v>0</v>
      </c>
      <c r="AL84" s="198" t="s">
        <v>423</v>
      </c>
      <c r="AM84" s="198" t="s">
        <v>929</v>
      </c>
      <c r="AN84" s="196">
        <f t="shared" si="20"/>
        <v>8</v>
      </c>
      <c r="AO84" s="196">
        <f t="shared" si="21"/>
        <v>2023</v>
      </c>
      <c r="AP84" s="195">
        <f t="shared" si="22"/>
        <v>2030</v>
      </c>
      <c r="AQ84" s="194">
        <f t="shared" si="23"/>
        <v>2030.6666666666667</v>
      </c>
      <c r="AR84" s="193">
        <f t="shared" si="24"/>
        <v>530.11142857142852</v>
      </c>
      <c r="AS84" s="192">
        <f t="shared" si="25"/>
        <v>6361.3371428571427</v>
      </c>
      <c r="AT84" s="192">
        <f t="shared" si="26"/>
        <v>6361.3371428571427</v>
      </c>
      <c r="AU84" s="192">
        <f t="shared" si="27"/>
        <v>0</v>
      </c>
      <c r="AV84" s="192">
        <f t="shared" si="28"/>
        <v>6361.3371428571427</v>
      </c>
      <c r="AW84" s="191">
        <f t="shared" si="29"/>
        <v>38168.02285714286</v>
      </c>
      <c r="AX84" s="190" t="s">
        <v>72</v>
      </c>
      <c r="AY84" s="184"/>
    </row>
    <row r="85" spans="2:51">
      <c r="B85" s="198">
        <v>2183</v>
      </c>
      <c r="C85" s="199">
        <v>312962</v>
      </c>
      <c r="D85" s="198" t="s">
        <v>989</v>
      </c>
      <c r="E85" s="198" t="s">
        <v>2003</v>
      </c>
      <c r="F85" s="198" t="s">
        <v>2102</v>
      </c>
      <c r="G85" s="198"/>
      <c r="H85" s="198"/>
      <c r="I85" s="200">
        <v>5</v>
      </c>
      <c r="J85" s="198">
        <v>0</v>
      </c>
      <c r="K85" s="200">
        <v>0</v>
      </c>
      <c r="L85" s="198" t="s">
        <v>2103</v>
      </c>
      <c r="M85" s="198"/>
      <c r="N85" s="198" t="s">
        <v>2190</v>
      </c>
      <c r="O85" s="198" t="s">
        <v>2184</v>
      </c>
      <c r="P85" s="198"/>
      <c r="Q85" s="198" t="s">
        <v>2200</v>
      </c>
      <c r="R85" s="198" t="s">
        <v>2195</v>
      </c>
      <c r="S85" s="201">
        <v>39413</v>
      </c>
      <c r="T85" s="201">
        <v>39413</v>
      </c>
      <c r="U85" s="198" t="s">
        <v>2104</v>
      </c>
      <c r="V85" s="198">
        <v>1200</v>
      </c>
      <c r="W85" s="198">
        <v>14050</v>
      </c>
      <c r="X85" s="202">
        <v>2210</v>
      </c>
      <c r="Y85" s="198">
        <v>14056</v>
      </c>
      <c r="Z85" s="202">
        <v>2210</v>
      </c>
      <c r="AA85" s="202">
        <v>0</v>
      </c>
      <c r="AB85" s="202">
        <v>0</v>
      </c>
      <c r="AC85" s="202">
        <v>0</v>
      </c>
      <c r="AD85" s="198">
        <v>54260</v>
      </c>
      <c r="AE85" s="202">
        <v>0</v>
      </c>
      <c r="AF85" s="202">
        <v>0</v>
      </c>
      <c r="AG85" s="202">
        <v>0</v>
      </c>
      <c r="AH85" s="198" t="s">
        <v>989</v>
      </c>
      <c r="AI85" s="198"/>
      <c r="AJ85" s="198"/>
      <c r="AK85" s="198">
        <v>0</v>
      </c>
      <c r="AL85" s="198" t="s">
        <v>1854</v>
      </c>
      <c r="AM85" s="198" t="s">
        <v>2282</v>
      </c>
      <c r="AN85" s="196">
        <f t="shared" ref="AN85:AN102" si="30">MONTH($S85)</f>
        <v>11</v>
      </c>
      <c r="AO85" s="196">
        <f t="shared" ref="AO85:AO102" si="31">YEAR($S85)</f>
        <v>2007</v>
      </c>
      <c r="AP85" s="195">
        <f t="shared" ref="AP85:AP102" si="32">$AO85+($V85/100)</f>
        <v>2019</v>
      </c>
      <c r="AQ85" s="194">
        <f t="shared" ref="AQ85:AQ102" si="33">$AP85+($AN85/12)</f>
        <v>2019.9166666666667</v>
      </c>
      <c r="AR85" s="193">
        <f t="shared" ref="AR85:AR102" si="34">IFERROR($X85/($V85/100)/12,0)</f>
        <v>15.347222222222221</v>
      </c>
      <c r="AS85" s="192">
        <f t="shared" ref="AS85:AS102" si="35">$AR85*12</f>
        <v>184.16666666666666</v>
      </c>
      <c r="AT85" s="192">
        <f t="shared" ref="AT85:AT102" si="36">IF(AQ85&lt;$AK$12,0,AS85)</f>
        <v>0</v>
      </c>
      <c r="AU85" s="192">
        <f t="shared" ref="AU85:AU102" si="37">IF(AQ85&lt;=$AK$13,X85,IF(((AO85+AN85/12))&gt;=$AK$13,0,((X85-((AQ85-$AK$13)*12)*AR85))))</f>
        <v>2210</v>
      </c>
      <c r="AV85" s="192">
        <f t="shared" ref="AV85:AV102" si="38">IF(AQ85&lt;$AK$12,X85,AT85+AU85)</f>
        <v>2210</v>
      </c>
      <c r="AW85" s="191">
        <f t="shared" ref="AW85:AW102" si="39">+X85-AV85</f>
        <v>0</v>
      </c>
      <c r="AX85" s="190" t="s">
        <v>72</v>
      </c>
      <c r="AY85" s="184"/>
    </row>
    <row r="86" spans="2:51">
      <c r="B86" s="198">
        <v>2183</v>
      </c>
      <c r="C86" s="199">
        <v>312930</v>
      </c>
      <c r="D86" s="198" t="s">
        <v>989</v>
      </c>
      <c r="E86" s="198" t="s">
        <v>2003</v>
      </c>
      <c r="F86" s="198" t="s">
        <v>2105</v>
      </c>
      <c r="G86" s="198"/>
      <c r="H86" s="198"/>
      <c r="I86" s="200">
        <v>10</v>
      </c>
      <c r="J86" s="198"/>
      <c r="K86" s="200">
        <v>0</v>
      </c>
      <c r="L86" s="198" t="s">
        <v>2106</v>
      </c>
      <c r="M86" s="198"/>
      <c r="N86" s="198" t="s">
        <v>2190</v>
      </c>
      <c r="O86" s="198" t="s">
        <v>2184</v>
      </c>
      <c r="P86" s="198"/>
      <c r="Q86" s="198" t="s">
        <v>2214</v>
      </c>
      <c r="R86" s="198" t="s">
        <v>2195</v>
      </c>
      <c r="S86" s="201">
        <v>45133</v>
      </c>
      <c r="T86" s="201">
        <v>45133</v>
      </c>
      <c r="U86" s="198" t="s">
        <v>2107</v>
      </c>
      <c r="V86" s="198">
        <v>1200</v>
      </c>
      <c r="W86" s="198">
        <v>14050</v>
      </c>
      <c r="X86" s="202">
        <v>10895.25</v>
      </c>
      <c r="Y86" s="198">
        <v>14056</v>
      </c>
      <c r="Z86" s="202">
        <v>680.95</v>
      </c>
      <c r="AA86" s="202">
        <v>0</v>
      </c>
      <c r="AB86" s="202">
        <v>10214.299999999999</v>
      </c>
      <c r="AC86" s="202">
        <v>302.64</v>
      </c>
      <c r="AD86" s="198">
        <v>54260</v>
      </c>
      <c r="AE86" s="202">
        <v>75.66</v>
      </c>
      <c r="AF86" s="202">
        <v>0</v>
      </c>
      <c r="AG86" s="202">
        <v>75.66</v>
      </c>
      <c r="AH86" s="198" t="s">
        <v>989</v>
      </c>
      <c r="AI86" s="198"/>
      <c r="AJ86" s="198"/>
      <c r="AK86" s="198">
        <v>0</v>
      </c>
      <c r="AL86" s="198" t="s">
        <v>1854</v>
      </c>
      <c r="AM86" s="198" t="s">
        <v>2282</v>
      </c>
      <c r="AN86" s="196">
        <f t="shared" si="30"/>
        <v>7</v>
      </c>
      <c r="AO86" s="196">
        <f t="shared" si="31"/>
        <v>2023</v>
      </c>
      <c r="AP86" s="195">
        <f t="shared" si="32"/>
        <v>2035</v>
      </c>
      <c r="AQ86" s="194">
        <f t="shared" si="33"/>
        <v>2035.5833333333333</v>
      </c>
      <c r="AR86" s="193">
        <f t="shared" si="34"/>
        <v>75.661458333333329</v>
      </c>
      <c r="AS86" s="192">
        <f t="shared" si="35"/>
        <v>907.9375</v>
      </c>
      <c r="AT86" s="192">
        <f t="shared" si="36"/>
        <v>907.9375</v>
      </c>
      <c r="AU86" s="192">
        <f t="shared" si="37"/>
        <v>0</v>
      </c>
      <c r="AV86" s="192">
        <f t="shared" si="38"/>
        <v>907.9375</v>
      </c>
      <c r="AW86" s="191">
        <f t="shared" si="39"/>
        <v>9987.3125</v>
      </c>
      <c r="AX86" s="190" t="s">
        <v>72</v>
      </c>
      <c r="AY86" s="184"/>
    </row>
    <row r="87" spans="2:51">
      <c r="B87" s="198">
        <v>2183</v>
      </c>
      <c r="C87" s="199">
        <v>312928</v>
      </c>
      <c r="D87" s="198" t="s">
        <v>989</v>
      </c>
      <c r="E87" s="198" t="s">
        <v>2003</v>
      </c>
      <c r="F87" s="198" t="s">
        <v>2108</v>
      </c>
      <c r="G87" s="198"/>
      <c r="H87" s="198"/>
      <c r="I87" s="200">
        <v>1035</v>
      </c>
      <c r="J87" s="198"/>
      <c r="K87" s="200">
        <v>0</v>
      </c>
      <c r="L87" s="198" t="s">
        <v>2044</v>
      </c>
      <c r="M87" s="198"/>
      <c r="N87" s="198" t="s">
        <v>2190</v>
      </c>
      <c r="O87" s="198" t="s">
        <v>2184</v>
      </c>
      <c r="P87" s="198"/>
      <c r="Q87" s="198"/>
      <c r="R87" s="198"/>
      <c r="S87" s="201">
        <v>45113</v>
      </c>
      <c r="T87" s="201">
        <v>45113</v>
      </c>
      <c r="U87" s="198" t="s">
        <v>2109</v>
      </c>
      <c r="V87" s="198">
        <v>700</v>
      </c>
      <c r="W87" s="198">
        <v>14050</v>
      </c>
      <c r="X87" s="202">
        <v>49084.31</v>
      </c>
      <c r="Y87" s="198">
        <v>14056</v>
      </c>
      <c r="Z87" s="202">
        <v>5843.38</v>
      </c>
      <c r="AA87" s="202">
        <v>0</v>
      </c>
      <c r="AB87" s="202">
        <v>43240.93</v>
      </c>
      <c r="AC87" s="202">
        <v>2337.36</v>
      </c>
      <c r="AD87" s="198">
        <v>54260</v>
      </c>
      <c r="AE87" s="202">
        <v>584.34</v>
      </c>
      <c r="AF87" s="202">
        <v>0</v>
      </c>
      <c r="AG87" s="202">
        <v>584.34</v>
      </c>
      <c r="AH87" s="198" t="s">
        <v>989</v>
      </c>
      <c r="AI87" s="198"/>
      <c r="AJ87" s="198"/>
      <c r="AK87" s="198">
        <v>0</v>
      </c>
      <c r="AL87" s="198" t="s">
        <v>423</v>
      </c>
      <c r="AM87" s="198" t="s">
        <v>929</v>
      </c>
      <c r="AN87" s="196">
        <f t="shared" si="30"/>
        <v>7</v>
      </c>
      <c r="AO87" s="196">
        <f t="shared" si="31"/>
        <v>2023</v>
      </c>
      <c r="AP87" s="195">
        <f t="shared" si="32"/>
        <v>2030</v>
      </c>
      <c r="AQ87" s="194">
        <f t="shared" si="33"/>
        <v>2030.5833333333333</v>
      </c>
      <c r="AR87" s="193">
        <f t="shared" si="34"/>
        <v>584.33702380952377</v>
      </c>
      <c r="AS87" s="192">
        <f t="shared" si="35"/>
        <v>7012.0442857142853</v>
      </c>
      <c r="AT87" s="192">
        <f t="shared" si="36"/>
        <v>7012.0442857142853</v>
      </c>
      <c r="AU87" s="192">
        <f t="shared" si="37"/>
        <v>0</v>
      </c>
      <c r="AV87" s="192">
        <f t="shared" si="38"/>
        <v>7012.0442857142853</v>
      </c>
      <c r="AW87" s="191">
        <f t="shared" si="39"/>
        <v>42072.265714285713</v>
      </c>
      <c r="AX87" s="190" t="s">
        <v>72</v>
      </c>
      <c r="AY87" s="184"/>
    </row>
    <row r="88" spans="2:51">
      <c r="B88" s="198">
        <v>2183</v>
      </c>
      <c r="C88" s="199">
        <v>312920</v>
      </c>
      <c r="D88" s="198" t="s">
        <v>989</v>
      </c>
      <c r="E88" s="198" t="s">
        <v>2003</v>
      </c>
      <c r="F88" s="198" t="s">
        <v>2110</v>
      </c>
      <c r="G88" s="198"/>
      <c r="H88" s="198"/>
      <c r="I88" s="200">
        <v>10</v>
      </c>
      <c r="J88" s="198"/>
      <c r="K88" s="200">
        <v>0</v>
      </c>
      <c r="L88" s="198" t="s">
        <v>2106</v>
      </c>
      <c r="M88" s="198"/>
      <c r="N88" s="198" t="s">
        <v>2190</v>
      </c>
      <c r="O88" s="198" t="s">
        <v>2184</v>
      </c>
      <c r="P88" s="198"/>
      <c r="Q88" s="198" t="s">
        <v>2209</v>
      </c>
      <c r="R88" s="198" t="s">
        <v>2195</v>
      </c>
      <c r="S88" s="201">
        <v>45133</v>
      </c>
      <c r="T88" s="201">
        <v>45133</v>
      </c>
      <c r="U88" s="198" t="s">
        <v>2111</v>
      </c>
      <c r="V88" s="198">
        <v>1200</v>
      </c>
      <c r="W88" s="198">
        <v>14050</v>
      </c>
      <c r="X88" s="202">
        <v>8322</v>
      </c>
      <c r="Y88" s="198">
        <v>14056</v>
      </c>
      <c r="Z88" s="202">
        <v>520.12</v>
      </c>
      <c r="AA88" s="202">
        <v>0</v>
      </c>
      <c r="AB88" s="202">
        <v>7801.88</v>
      </c>
      <c r="AC88" s="202">
        <v>231.16</v>
      </c>
      <c r="AD88" s="198">
        <v>54260</v>
      </c>
      <c r="AE88" s="202">
        <v>57.79</v>
      </c>
      <c r="AF88" s="202">
        <v>0</v>
      </c>
      <c r="AG88" s="202">
        <v>57.79</v>
      </c>
      <c r="AH88" s="198" t="s">
        <v>989</v>
      </c>
      <c r="AI88" s="198"/>
      <c r="AJ88" s="198"/>
      <c r="AK88" s="198">
        <v>0</v>
      </c>
      <c r="AL88" s="198" t="s">
        <v>1854</v>
      </c>
      <c r="AM88" s="198" t="s">
        <v>2282</v>
      </c>
      <c r="AN88" s="196">
        <f t="shared" si="30"/>
        <v>7</v>
      </c>
      <c r="AO88" s="196">
        <f t="shared" si="31"/>
        <v>2023</v>
      </c>
      <c r="AP88" s="195">
        <f t="shared" si="32"/>
        <v>2035</v>
      </c>
      <c r="AQ88" s="194">
        <f t="shared" si="33"/>
        <v>2035.5833333333333</v>
      </c>
      <c r="AR88" s="193">
        <f t="shared" si="34"/>
        <v>57.791666666666664</v>
      </c>
      <c r="AS88" s="192">
        <f t="shared" si="35"/>
        <v>693.5</v>
      </c>
      <c r="AT88" s="192">
        <f t="shared" si="36"/>
        <v>693.5</v>
      </c>
      <c r="AU88" s="192">
        <f t="shared" si="37"/>
        <v>0</v>
      </c>
      <c r="AV88" s="192">
        <f t="shared" si="38"/>
        <v>693.5</v>
      </c>
      <c r="AW88" s="191">
        <f t="shared" si="39"/>
        <v>7628.5</v>
      </c>
      <c r="AX88" s="190" t="s">
        <v>72</v>
      </c>
      <c r="AY88" s="184"/>
    </row>
    <row r="89" spans="2:51">
      <c r="B89" s="198">
        <v>2183</v>
      </c>
      <c r="C89" s="199">
        <v>312919</v>
      </c>
      <c r="D89" s="198" t="s">
        <v>989</v>
      </c>
      <c r="E89" s="198" t="s">
        <v>2003</v>
      </c>
      <c r="F89" s="198" t="s">
        <v>2112</v>
      </c>
      <c r="G89" s="198"/>
      <c r="H89" s="198"/>
      <c r="I89" s="200">
        <v>10</v>
      </c>
      <c r="J89" s="198"/>
      <c r="K89" s="200">
        <v>0</v>
      </c>
      <c r="L89" s="198" t="s">
        <v>2106</v>
      </c>
      <c r="M89" s="198"/>
      <c r="N89" s="198" t="s">
        <v>2190</v>
      </c>
      <c r="O89" s="198" t="s">
        <v>2184</v>
      </c>
      <c r="P89" s="198"/>
      <c r="Q89" s="198" t="s">
        <v>2200</v>
      </c>
      <c r="R89" s="198" t="s">
        <v>2195</v>
      </c>
      <c r="S89" s="201">
        <v>45133</v>
      </c>
      <c r="T89" s="201">
        <v>45133</v>
      </c>
      <c r="U89" s="198" t="s">
        <v>2113</v>
      </c>
      <c r="V89" s="198">
        <v>1200</v>
      </c>
      <c r="W89" s="198">
        <v>14050</v>
      </c>
      <c r="X89" s="202">
        <v>8595.75</v>
      </c>
      <c r="Y89" s="198">
        <v>14056</v>
      </c>
      <c r="Z89" s="202">
        <v>537.22</v>
      </c>
      <c r="AA89" s="202">
        <v>0</v>
      </c>
      <c r="AB89" s="202">
        <v>8058.53</v>
      </c>
      <c r="AC89" s="202">
        <v>238.76</v>
      </c>
      <c r="AD89" s="198">
        <v>54260</v>
      </c>
      <c r="AE89" s="202">
        <v>59.69</v>
      </c>
      <c r="AF89" s="202">
        <v>0</v>
      </c>
      <c r="AG89" s="202">
        <v>59.69</v>
      </c>
      <c r="AH89" s="198" t="s">
        <v>989</v>
      </c>
      <c r="AI89" s="198"/>
      <c r="AJ89" s="198"/>
      <c r="AK89" s="198">
        <v>0</v>
      </c>
      <c r="AL89" s="198" t="s">
        <v>1854</v>
      </c>
      <c r="AM89" s="198" t="s">
        <v>2282</v>
      </c>
      <c r="AN89" s="196">
        <f t="shared" si="30"/>
        <v>7</v>
      </c>
      <c r="AO89" s="196">
        <f t="shared" si="31"/>
        <v>2023</v>
      </c>
      <c r="AP89" s="195">
        <f t="shared" si="32"/>
        <v>2035</v>
      </c>
      <c r="AQ89" s="194">
        <f t="shared" si="33"/>
        <v>2035.5833333333333</v>
      </c>
      <c r="AR89" s="193">
        <f t="shared" si="34"/>
        <v>59.692708333333336</v>
      </c>
      <c r="AS89" s="192">
        <f t="shared" si="35"/>
        <v>716.3125</v>
      </c>
      <c r="AT89" s="192">
        <f t="shared" si="36"/>
        <v>716.3125</v>
      </c>
      <c r="AU89" s="192">
        <f t="shared" si="37"/>
        <v>0</v>
      </c>
      <c r="AV89" s="192">
        <f t="shared" si="38"/>
        <v>716.3125</v>
      </c>
      <c r="AW89" s="191">
        <f t="shared" si="39"/>
        <v>7879.4375</v>
      </c>
      <c r="AX89" s="190" t="s">
        <v>72</v>
      </c>
      <c r="AY89" s="184"/>
    </row>
    <row r="90" spans="2:51" hidden="1">
      <c r="B90" s="198">
        <v>2183</v>
      </c>
      <c r="C90" s="199">
        <v>312644</v>
      </c>
      <c r="D90" s="198">
        <v>312643</v>
      </c>
      <c r="E90" s="198" t="s">
        <v>2003</v>
      </c>
      <c r="F90" s="198" t="s">
        <v>2114</v>
      </c>
      <c r="G90" s="198"/>
      <c r="H90" s="198"/>
      <c r="I90" s="200">
        <v>1</v>
      </c>
      <c r="J90" s="198"/>
      <c r="K90" s="200">
        <v>0</v>
      </c>
      <c r="L90" s="198" t="s">
        <v>2115</v>
      </c>
      <c r="M90" s="198"/>
      <c r="N90" s="198" t="s">
        <v>2199</v>
      </c>
      <c r="O90" s="198" t="s">
        <v>2184</v>
      </c>
      <c r="P90" s="198"/>
      <c r="Q90" s="198"/>
      <c r="R90" s="198"/>
      <c r="S90" s="201">
        <v>45133</v>
      </c>
      <c r="T90" s="201">
        <v>45133</v>
      </c>
      <c r="U90" s="198" t="s">
        <v>2116</v>
      </c>
      <c r="V90" s="198">
        <v>300</v>
      </c>
      <c r="W90" s="198">
        <v>14110</v>
      </c>
      <c r="X90" s="202">
        <v>212.7</v>
      </c>
      <c r="Y90" s="198">
        <v>14116</v>
      </c>
      <c r="Z90" s="202">
        <v>53.18</v>
      </c>
      <c r="AA90" s="202">
        <v>0</v>
      </c>
      <c r="AB90" s="202">
        <v>159.51999999999998</v>
      </c>
      <c r="AC90" s="202">
        <v>23.64</v>
      </c>
      <c r="AD90" s="198">
        <v>70260</v>
      </c>
      <c r="AE90" s="202">
        <v>5.91</v>
      </c>
      <c r="AF90" s="202">
        <v>0</v>
      </c>
      <c r="AG90" s="202">
        <v>5.91</v>
      </c>
      <c r="AH90" s="198" t="s">
        <v>989</v>
      </c>
      <c r="AI90" s="198"/>
      <c r="AJ90" s="198"/>
      <c r="AK90" s="198">
        <v>0</v>
      </c>
      <c r="AL90" s="198" t="s">
        <v>275</v>
      </c>
      <c r="AM90" s="198" t="s">
        <v>275</v>
      </c>
      <c r="AN90" s="196">
        <f t="shared" si="30"/>
        <v>7</v>
      </c>
      <c r="AO90" s="196">
        <f t="shared" si="31"/>
        <v>2023</v>
      </c>
      <c r="AP90" s="195">
        <f t="shared" si="32"/>
        <v>2026</v>
      </c>
      <c r="AQ90" s="194">
        <f t="shared" si="33"/>
        <v>2026.5833333333333</v>
      </c>
      <c r="AR90" s="193">
        <f t="shared" si="34"/>
        <v>5.9083333333333323</v>
      </c>
      <c r="AS90" s="192">
        <f t="shared" si="35"/>
        <v>70.899999999999991</v>
      </c>
      <c r="AT90" s="192">
        <f t="shared" si="36"/>
        <v>70.899999999999991</v>
      </c>
      <c r="AU90" s="192">
        <f t="shared" si="37"/>
        <v>0</v>
      </c>
      <c r="AV90" s="192">
        <f t="shared" si="38"/>
        <v>70.899999999999991</v>
      </c>
      <c r="AW90" s="191">
        <f t="shared" si="39"/>
        <v>141.80000000000001</v>
      </c>
      <c r="AX90" s="190" t="s">
        <v>72</v>
      </c>
      <c r="AY90" s="184"/>
    </row>
    <row r="91" spans="2:51">
      <c r="B91" s="198">
        <v>2183</v>
      </c>
      <c r="C91" s="199">
        <v>312643</v>
      </c>
      <c r="D91" s="198" t="s">
        <v>989</v>
      </c>
      <c r="E91" s="198" t="s">
        <v>2003</v>
      </c>
      <c r="F91" s="198" t="s">
        <v>2117</v>
      </c>
      <c r="G91" s="198"/>
      <c r="H91" s="198"/>
      <c r="I91" s="200">
        <v>1</v>
      </c>
      <c r="J91" s="198"/>
      <c r="K91" s="200">
        <v>0</v>
      </c>
      <c r="L91" s="198" t="s">
        <v>2115</v>
      </c>
      <c r="M91" s="198"/>
      <c r="N91" s="198" t="s">
        <v>2199</v>
      </c>
      <c r="O91" s="198" t="s">
        <v>2184</v>
      </c>
      <c r="P91" s="198"/>
      <c r="Q91" s="198"/>
      <c r="R91" s="198"/>
      <c r="S91" s="201">
        <v>45133</v>
      </c>
      <c r="T91" s="201">
        <v>45133</v>
      </c>
      <c r="U91" s="198" t="s">
        <v>2116</v>
      </c>
      <c r="V91" s="198">
        <v>300</v>
      </c>
      <c r="W91" s="198">
        <v>14110</v>
      </c>
      <c r="X91" s="202">
        <v>1115</v>
      </c>
      <c r="Y91" s="198">
        <v>14116</v>
      </c>
      <c r="Z91" s="202">
        <v>278.74</v>
      </c>
      <c r="AA91" s="202">
        <v>0</v>
      </c>
      <c r="AB91" s="202">
        <v>836.26</v>
      </c>
      <c r="AC91" s="202">
        <v>123.88</v>
      </c>
      <c r="AD91" s="198">
        <v>70260</v>
      </c>
      <c r="AE91" s="202">
        <v>30.97</v>
      </c>
      <c r="AF91" s="202">
        <v>0</v>
      </c>
      <c r="AG91" s="202">
        <v>30.97</v>
      </c>
      <c r="AH91" s="198" t="s">
        <v>989</v>
      </c>
      <c r="AI91" s="198"/>
      <c r="AJ91" s="198"/>
      <c r="AK91" s="198">
        <v>0</v>
      </c>
      <c r="AL91" s="198" t="s">
        <v>275</v>
      </c>
      <c r="AM91" s="198" t="s">
        <v>275</v>
      </c>
      <c r="AN91" s="196">
        <f t="shared" si="30"/>
        <v>7</v>
      </c>
      <c r="AO91" s="196">
        <f t="shared" si="31"/>
        <v>2023</v>
      </c>
      <c r="AP91" s="195">
        <f t="shared" si="32"/>
        <v>2026</v>
      </c>
      <c r="AQ91" s="194">
        <f t="shared" si="33"/>
        <v>2026.5833333333333</v>
      </c>
      <c r="AR91" s="193">
        <f t="shared" si="34"/>
        <v>30.972222222222225</v>
      </c>
      <c r="AS91" s="192">
        <f t="shared" si="35"/>
        <v>371.66666666666669</v>
      </c>
      <c r="AT91" s="192">
        <f t="shared" si="36"/>
        <v>371.66666666666669</v>
      </c>
      <c r="AU91" s="192">
        <f t="shared" si="37"/>
        <v>0</v>
      </c>
      <c r="AV91" s="192">
        <f t="shared" si="38"/>
        <v>371.66666666666669</v>
      </c>
      <c r="AW91" s="191">
        <f t="shared" si="39"/>
        <v>743.33333333333326</v>
      </c>
      <c r="AX91" s="190" t="s">
        <v>72</v>
      </c>
      <c r="AY91" s="184"/>
    </row>
    <row r="92" spans="2:51" hidden="1">
      <c r="B92" s="198">
        <v>2183</v>
      </c>
      <c r="C92" s="199">
        <v>312601</v>
      </c>
      <c r="D92" s="198">
        <v>311269</v>
      </c>
      <c r="E92" s="198" t="s">
        <v>2003</v>
      </c>
      <c r="F92" s="198" t="s">
        <v>2118</v>
      </c>
      <c r="G92" s="198"/>
      <c r="H92" s="198"/>
      <c r="I92" s="200">
        <v>1</v>
      </c>
      <c r="J92" s="198" t="s">
        <v>2089</v>
      </c>
      <c r="K92" s="200">
        <v>0</v>
      </c>
      <c r="L92" s="198" t="s">
        <v>1112</v>
      </c>
      <c r="M92" s="198"/>
      <c r="N92" s="198" t="s">
        <v>2183</v>
      </c>
      <c r="O92" s="198" t="s">
        <v>2184</v>
      </c>
      <c r="P92" s="198" t="s">
        <v>1028</v>
      </c>
      <c r="Q92" s="198"/>
      <c r="R92" s="198"/>
      <c r="S92" s="201">
        <v>45133</v>
      </c>
      <c r="T92" s="201">
        <v>45133</v>
      </c>
      <c r="U92" s="198" t="s">
        <v>2090</v>
      </c>
      <c r="V92" s="198">
        <v>1000</v>
      </c>
      <c r="W92" s="198">
        <v>14040</v>
      </c>
      <c r="X92" s="202">
        <v>471.99</v>
      </c>
      <c r="Y92" s="198">
        <v>14046</v>
      </c>
      <c r="Z92" s="202">
        <v>35.39</v>
      </c>
      <c r="AA92" s="202">
        <v>0</v>
      </c>
      <c r="AB92" s="202">
        <v>436.6</v>
      </c>
      <c r="AC92" s="202">
        <v>15.72</v>
      </c>
      <c r="AD92" s="198">
        <v>51260</v>
      </c>
      <c r="AE92" s="202">
        <v>3.93</v>
      </c>
      <c r="AF92" s="202">
        <v>0</v>
      </c>
      <c r="AG92" s="202">
        <v>3.93</v>
      </c>
      <c r="AH92" s="198" t="s">
        <v>989</v>
      </c>
      <c r="AI92" s="198"/>
      <c r="AJ92" s="198"/>
      <c r="AK92" s="198">
        <v>2066</v>
      </c>
      <c r="AL92" s="198" t="s">
        <v>147</v>
      </c>
      <c r="AM92" s="198" t="s">
        <v>1852</v>
      </c>
      <c r="AN92" s="196">
        <f t="shared" si="30"/>
        <v>7</v>
      </c>
      <c r="AO92" s="196">
        <f t="shared" si="31"/>
        <v>2023</v>
      </c>
      <c r="AP92" s="195">
        <f t="shared" si="32"/>
        <v>2033</v>
      </c>
      <c r="AQ92" s="194">
        <f t="shared" si="33"/>
        <v>2033.5833333333333</v>
      </c>
      <c r="AR92" s="193">
        <f t="shared" si="34"/>
        <v>3.9332499999999997</v>
      </c>
      <c r="AS92" s="192">
        <f t="shared" si="35"/>
        <v>47.198999999999998</v>
      </c>
      <c r="AT92" s="192">
        <f t="shared" si="36"/>
        <v>47.198999999999998</v>
      </c>
      <c r="AU92" s="192">
        <f t="shared" si="37"/>
        <v>0</v>
      </c>
      <c r="AV92" s="192">
        <f t="shared" si="38"/>
        <v>47.198999999999998</v>
      </c>
      <c r="AW92" s="191">
        <f t="shared" si="39"/>
        <v>424.791</v>
      </c>
      <c r="AX92" s="190" t="s">
        <v>72</v>
      </c>
      <c r="AY92" s="184"/>
    </row>
    <row r="93" spans="2:51" hidden="1">
      <c r="B93" s="198">
        <v>2183</v>
      </c>
      <c r="C93" s="199">
        <v>312600</v>
      </c>
      <c r="D93" s="198">
        <v>311268</v>
      </c>
      <c r="E93" s="198" t="s">
        <v>2003</v>
      </c>
      <c r="F93" s="198" t="s">
        <v>2119</v>
      </c>
      <c r="G93" s="198"/>
      <c r="H93" s="198"/>
      <c r="I93" s="200">
        <v>1</v>
      </c>
      <c r="J93" s="198" t="s">
        <v>2098</v>
      </c>
      <c r="K93" s="200">
        <v>0</v>
      </c>
      <c r="L93" s="198" t="s">
        <v>1112</v>
      </c>
      <c r="M93" s="198"/>
      <c r="N93" s="198" t="s">
        <v>2183</v>
      </c>
      <c r="O93" s="198" t="s">
        <v>2184</v>
      </c>
      <c r="P93" s="198" t="s">
        <v>1028</v>
      </c>
      <c r="Q93" s="198"/>
      <c r="R93" s="198"/>
      <c r="S93" s="201">
        <v>45132</v>
      </c>
      <c r="T93" s="201">
        <v>45132</v>
      </c>
      <c r="U93" s="198" t="s">
        <v>2066</v>
      </c>
      <c r="V93" s="198">
        <v>1000</v>
      </c>
      <c r="W93" s="198">
        <v>14040</v>
      </c>
      <c r="X93" s="202">
        <v>472</v>
      </c>
      <c r="Y93" s="198">
        <v>14046</v>
      </c>
      <c r="Z93" s="202">
        <v>35.39</v>
      </c>
      <c r="AA93" s="202">
        <v>0</v>
      </c>
      <c r="AB93" s="202">
        <v>436.61</v>
      </c>
      <c r="AC93" s="202">
        <v>15.72</v>
      </c>
      <c r="AD93" s="198">
        <v>51260</v>
      </c>
      <c r="AE93" s="202">
        <v>3.93</v>
      </c>
      <c r="AF93" s="202">
        <v>0</v>
      </c>
      <c r="AG93" s="202">
        <v>3.93</v>
      </c>
      <c r="AH93" s="198" t="s">
        <v>989</v>
      </c>
      <c r="AI93" s="198"/>
      <c r="AJ93" s="198"/>
      <c r="AK93" s="198">
        <v>3735</v>
      </c>
      <c r="AL93" s="198" t="s">
        <v>147</v>
      </c>
      <c r="AM93" s="198" t="s">
        <v>1857</v>
      </c>
      <c r="AN93" s="196">
        <f t="shared" si="30"/>
        <v>7</v>
      </c>
      <c r="AO93" s="196">
        <f t="shared" si="31"/>
        <v>2023</v>
      </c>
      <c r="AP93" s="195">
        <f t="shared" si="32"/>
        <v>2033</v>
      </c>
      <c r="AQ93" s="194">
        <f t="shared" si="33"/>
        <v>2033.5833333333333</v>
      </c>
      <c r="AR93" s="193">
        <f t="shared" si="34"/>
        <v>3.9333333333333336</v>
      </c>
      <c r="AS93" s="192">
        <f t="shared" si="35"/>
        <v>47.2</v>
      </c>
      <c r="AT93" s="192">
        <f t="shared" si="36"/>
        <v>47.2</v>
      </c>
      <c r="AU93" s="192">
        <f t="shared" si="37"/>
        <v>0</v>
      </c>
      <c r="AV93" s="192">
        <f t="shared" si="38"/>
        <v>47.2</v>
      </c>
      <c r="AW93" s="191">
        <f t="shared" si="39"/>
        <v>424.8</v>
      </c>
      <c r="AX93" s="190" t="s">
        <v>72</v>
      </c>
      <c r="AY93" s="184"/>
    </row>
    <row r="94" spans="2:51" hidden="1">
      <c r="B94" s="198">
        <v>2183</v>
      </c>
      <c r="C94" s="199">
        <v>312599</v>
      </c>
      <c r="D94" s="198">
        <v>311267</v>
      </c>
      <c r="E94" s="198" t="s">
        <v>2003</v>
      </c>
      <c r="F94" s="198" t="s">
        <v>2120</v>
      </c>
      <c r="G94" s="198"/>
      <c r="H94" s="198"/>
      <c r="I94" s="200">
        <v>1</v>
      </c>
      <c r="J94" s="198" t="s">
        <v>2086</v>
      </c>
      <c r="K94" s="200">
        <v>0</v>
      </c>
      <c r="L94" s="198" t="s">
        <v>1112</v>
      </c>
      <c r="M94" s="198"/>
      <c r="N94" s="198" t="s">
        <v>2183</v>
      </c>
      <c r="O94" s="198" t="s">
        <v>2184</v>
      </c>
      <c r="P94" s="198" t="s">
        <v>1028</v>
      </c>
      <c r="Q94" s="198"/>
      <c r="R94" s="198"/>
      <c r="S94" s="201">
        <v>45132</v>
      </c>
      <c r="T94" s="201">
        <v>45132</v>
      </c>
      <c r="U94" s="198" t="s">
        <v>2087</v>
      </c>
      <c r="V94" s="198">
        <v>1000</v>
      </c>
      <c r="W94" s="198">
        <v>14040</v>
      </c>
      <c r="X94" s="202">
        <v>472</v>
      </c>
      <c r="Y94" s="198">
        <v>14046</v>
      </c>
      <c r="Z94" s="202">
        <v>35.39</v>
      </c>
      <c r="AA94" s="202">
        <v>0</v>
      </c>
      <c r="AB94" s="202">
        <v>436.61</v>
      </c>
      <c r="AC94" s="202">
        <v>15.72</v>
      </c>
      <c r="AD94" s="198">
        <v>51260</v>
      </c>
      <c r="AE94" s="202">
        <v>3.93</v>
      </c>
      <c r="AF94" s="202">
        <v>0</v>
      </c>
      <c r="AG94" s="202">
        <v>3.93</v>
      </c>
      <c r="AH94" s="198" t="s">
        <v>989</v>
      </c>
      <c r="AI94" s="198"/>
      <c r="AJ94" s="198"/>
      <c r="AK94" s="198">
        <v>3734</v>
      </c>
      <c r="AL94" s="198" t="s">
        <v>147</v>
      </c>
      <c r="AM94" s="198" t="s">
        <v>1857</v>
      </c>
      <c r="AN94" s="196">
        <f t="shared" si="30"/>
        <v>7</v>
      </c>
      <c r="AO94" s="196">
        <f t="shared" si="31"/>
        <v>2023</v>
      </c>
      <c r="AP94" s="195">
        <f t="shared" si="32"/>
        <v>2033</v>
      </c>
      <c r="AQ94" s="194">
        <f t="shared" si="33"/>
        <v>2033.5833333333333</v>
      </c>
      <c r="AR94" s="193">
        <f t="shared" si="34"/>
        <v>3.9333333333333336</v>
      </c>
      <c r="AS94" s="192">
        <f t="shared" si="35"/>
        <v>47.2</v>
      </c>
      <c r="AT94" s="192">
        <f t="shared" si="36"/>
        <v>47.2</v>
      </c>
      <c r="AU94" s="192">
        <f t="shared" si="37"/>
        <v>0</v>
      </c>
      <c r="AV94" s="192">
        <f t="shared" si="38"/>
        <v>47.2</v>
      </c>
      <c r="AW94" s="191">
        <f t="shared" si="39"/>
        <v>424.8</v>
      </c>
      <c r="AX94" s="190" t="s">
        <v>72</v>
      </c>
      <c r="AY94" s="184"/>
    </row>
    <row r="95" spans="2:51">
      <c r="B95" s="198">
        <v>2183</v>
      </c>
      <c r="C95" s="199">
        <v>311964</v>
      </c>
      <c r="D95" s="198" t="s">
        <v>989</v>
      </c>
      <c r="E95" s="198" t="s">
        <v>2003</v>
      </c>
      <c r="F95" s="198" t="s">
        <v>2121</v>
      </c>
      <c r="G95" s="198"/>
      <c r="H95" s="198"/>
      <c r="I95" s="200">
        <v>2</v>
      </c>
      <c r="J95" s="198"/>
      <c r="K95" s="200">
        <v>0</v>
      </c>
      <c r="L95" s="198" t="s">
        <v>2106</v>
      </c>
      <c r="M95" s="198"/>
      <c r="N95" s="198" t="s">
        <v>2190</v>
      </c>
      <c r="O95" s="198" t="s">
        <v>2184</v>
      </c>
      <c r="P95" s="198"/>
      <c r="Q95" s="198" t="s">
        <v>2202</v>
      </c>
      <c r="R95" s="198" t="s">
        <v>2192</v>
      </c>
      <c r="S95" s="201">
        <v>45063</v>
      </c>
      <c r="T95" s="201">
        <v>45063</v>
      </c>
      <c r="U95" s="198" t="s">
        <v>2122</v>
      </c>
      <c r="V95" s="198">
        <v>1200</v>
      </c>
      <c r="W95" s="198">
        <v>14050</v>
      </c>
      <c r="X95" s="202">
        <v>15000</v>
      </c>
      <c r="Y95" s="198">
        <v>14056</v>
      </c>
      <c r="Z95" s="202">
        <v>1145.8499999999999</v>
      </c>
      <c r="AA95" s="202">
        <v>0</v>
      </c>
      <c r="AB95" s="202">
        <v>13854.15</v>
      </c>
      <c r="AC95" s="202">
        <v>416.68</v>
      </c>
      <c r="AD95" s="198">
        <v>54260</v>
      </c>
      <c r="AE95" s="202">
        <v>104.17</v>
      </c>
      <c r="AF95" s="202">
        <v>0</v>
      </c>
      <c r="AG95" s="202">
        <v>104.17</v>
      </c>
      <c r="AH95" s="198" t="s">
        <v>989</v>
      </c>
      <c r="AI95" s="198"/>
      <c r="AJ95" s="198"/>
      <c r="AK95" s="198">
        <v>0</v>
      </c>
      <c r="AL95" s="198" t="s">
        <v>269</v>
      </c>
      <c r="AM95" s="198" t="s">
        <v>269</v>
      </c>
      <c r="AN95" s="196">
        <f t="shared" si="30"/>
        <v>5</v>
      </c>
      <c r="AO95" s="196">
        <f t="shared" si="31"/>
        <v>2023</v>
      </c>
      <c r="AP95" s="195">
        <f t="shared" si="32"/>
        <v>2035</v>
      </c>
      <c r="AQ95" s="194">
        <f t="shared" si="33"/>
        <v>2035.4166666666667</v>
      </c>
      <c r="AR95" s="193">
        <f t="shared" si="34"/>
        <v>104.16666666666667</v>
      </c>
      <c r="AS95" s="192">
        <f t="shared" si="35"/>
        <v>1250</v>
      </c>
      <c r="AT95" s="192">
        <f t="shared" si="36"/>
        <v>1250</v>
      </c>
      <c r="AU95" s="192">
        <f t="shared" si="37"/>
        <v>0</v>
      </c>
      <c r="AV95" s="192">
        <f t="shared" si="38"/>
        <v>1250</v>
      </c>
      <c r="AW95" s="191">
        <f t="shared" si="39"/>
        <v>13750</v>
      </c>
      <c r="AX95" s="190" t="s">
        <v>72</v>
      </c>
      <c r="AY95" s="184"/>
    </row>
    <row r="96" spans="2:51" hidden="1">
      <c r="B96" s="198">
        <v>2183</v>
      </c>
      <c r="C96" s="199">
        <v>311683</v>
      </c>
      <c r="D96" s="198">
        <v>311268</v>
      </c>
      <c r="E96" s="198" t="s">
        <v>2003</v>
      </c>
      <c r="F96" s="198" t="s">
        <v>2077</v>
      </c>
      <c r="G96" s="198"/>
      <c r="H96" s="198"/>
      <c r="I96" s="200">
        <v>1</v>
      </c>
      <c r="J96" s="198" t="s">
        <v>2098</v>
      </c>
      <c r="K96" s="200">
        <v>0</v>
      </c>
      <c r="L96" s="198" t="s">
        <v>2123</v>
      </c>
      <c r="M96" s="198"/>
      <c r="N96" s="198" t="s">
        <v>2183</v>
      </c>
      <c r="O96" s="198" t="s">
        <v>2184</v>
      </c>
      <c r="P96" s="198" t="s">
        <v>1028</v>
      </c>
      <c r="Q96" s="198"/>
      <c r="R96" s="198"/>
      <c r="S96" s="201">
        <v>45132</v>
      </c>
      <c r="T96" s="201">
        <v>45132</v>
      </c>
      <c r="U96" s="198" t="s">
        <v>2066</v>
      </c>
      <c r="V96" s="198">
        <v>1000</v>
      </c>
      <c r="W96" s="198">
        <v>14040</v>
      </c>
      <c r="X96" s="202">
        <v>174229.9</v>
      </c>
      <c r="Y96" s="198">
        <v>14046</v>
      </c>
      <c r="Z96" s="202">
        <v>13067.26</v>
      </c>
      <c r="AA96" s="202">
        <v>0</v>
      </c>
      <c r="AB96" s="202">
        <v>161162.63999999998</v>
      </c>
      <c r="AC96" s="202">
        <v>5807.68</v>
      </c>
      <c r="AD96" s="198">
        <v>51260</v>
      </c>
      <c r="AE96" s="202">
        <v>1451.92</v>
      </c>
      <c r="AF96" s="202">
        <v>0</v>
      </c>
      <c r="AG96" s="202">
        <v>1451.92</v>
      </c>
      <c r="AH96" s="198" t="s">
        <v>989</v>
      </c>
      <c r="AI96" s="198"/>
      <c r="AJ96" s="198"/>
      <c r="AK96" s="198">
        <v>3735</v>
      </c>
      <c r="AL96" s="198" t="s">
        <v>147</v>
      </c>
      <c r="AM96" s="198" t="s">
        <v>1857</v>
      </c>
      <c r="AN96" s="196">
        <f t="shared" si="30"/>
        <v>7</v>
      </c>
      <c r="AO96" s="196">
        <f t="shared" si="31"/>
        <v>2023</v>
      </c>
      <c r="AP96" s="195">
        <f t="shared" si="32"/>
        <v>2033</v>
      </c>
      <c r="AQ96" s="194">
        <f t="shared" si="33"/>
        <v>2033.5833333333333</v>
      </c>
      <c r="AR96" s="193">
        <f t="shared" si="34"/>
        <v>1451.9158333333332</v>
      </c>
      <c r="AS96" s="192">
        <f t="shared" si="35"/>
        <v>17422.989999999998</v>
      </c>
      <c r="AT96" s="192">
        <f t="shared" si="36"/>
        <v>17422.989999999998</v>
      </c>
      <c r="AU96" s="192">
        <f t="shared" si="37"/>
        <v>0</v>
      </c>
      <c r="AV96" s="192">
        <f t="shared" si="38"/>
        <v>17422.989999999998</v>
      </c>
      <c r="AW96" s="191">
        <f t="shared" si="39"/>
        <v>156806.91</v>
      </c>
      <c r="AX96" s="190" t="s">
        <v>72</v>
      </c>
      <c r="AY96" s="184"/>
    </row>
    <row r="97" spans="2:51" hidden="1">
      <c r="B97" s="198">
        <v>2183</v>
      </c>
      <c r="C97" s="199">
        <v>311682</v>
      </c>
      <c r="D97" s="198">
        <v>311267</v>
      </c>
      <c r="E97" s="198" t="s">
        <v>2003</v>
      </c>
      <c r="F97" s="198" t="s">
        <v>2077</v>
      </c>
      <c r="G97" s="198"/>
      <c r="H97" s="198"/>
      <c r="I97" s="200">
        <v>1</v>
      </c>
      <c r="J97" s="198" t="s">
        <v>2086</v>
      </c>
      <c r="K97" s="200">
        <v>0</v>
      </c>
      <c r="L97" s="198" t="s">
        <v>2123</v>
      </c>
      <c r="M97" s="198"/>
      <c r="N97" s="198" t="s">
        <v>2183</v>
      </c>
      <c r="O97" s="198" t="s">
        <v>2184</v>
      </c>
      <c r="P97" s="198" t="s">
        <v>1028</v>
      </c>
      <c r="Q97" s="198"/>
      <c r="R97" s="198"/>
      <c r="S97" s="201">
        <v>45132</v>
      </c>
      <c r="T97" s="201">
        <v>45132</v>
      </c>
      <c r="U97" s="198" t="s">
        <v>2087</v>
      </c>
      <c r="V97" s="198">
        <v>1000</v>
      </c>
      <c r="W97" s="198">
        <v>14040</v>
      </c>
      <c r="X97" s="202">
        <v>174229.9</v>
      </c>
      <c r="Y97" s="198">
        <v>14046</v>
      </c>
      <c r="Z97" s="202">
        <v>13067.26</v>
      </c>
      <c r="AA97" s="202">
        <v>0</v>
      </c>
      <c r="AB97" s="202">
        <v>161162.63999999998</v>
      </c>
      <c r="AC97" s="202">
        <v>5807.68</v>
      </c>
      <c r="AD97" s="198">
        <v>51260</v>
      </c>
      <c r="AE97" s="202">
        <v>1451.92</v>
      </c>
      <c r="AF97" s="202">
        <v>0</v>
      </c>
      <c r="AG97" s="202">
        <v>1451.92</v>
      </c>
      <c r="AH97" s="198" t="s">
        <v>989</v>
      </c>
      <c r="AI97" s="198"/>
      <c r="AJ97" s="198"/>
      <c r="AK97" s="198">
        <v>3734</v>
      </c>
      <c r="AL97" s="198" t="s">
        <v>147</v>
      </c>
      <c r="AM97" s="198" t="s">
        <v>1857</v>
      </c>
      <c r="AN97" s="196">
        <f t="shared" si="30"/>
        <v>7</v>
      </c>
      <c r="AO97" s="196">
        <f t="shared" si="31"/>
        <v>2023</v>
      </c>
      <c r="AP97" s="195">
        <f t="shared" si="32"/>
        <v>2033</v>
      </c>
      <c r="AQ97" s="194">
        <f t="shared" si="33"/>
        <v>2033.5833333333333</v>
      </c>
      <c r="AR97" s="193">
        <f t="shared" si="34"/>
        <v>1451.9158333333332</v>
      </c>
      <c r="AS97" s="192">
        <f t="shared" si="35"/>
        <v>17422.989999999998</v>
      </c>
      <c r="AT97" s="192">
        <f t="shared" si="36"/>
        <v>17422.989999999998</v>
      </c>
      <c r="AU97" s="192">
        <f t="shared" si="37"/>
        <v>0</v>
      </c>
      <c r="AV97" s="192">
        <f t="shared" si="38"/>
        <v>17422.989999999998</v>
      </c>
      <c r="AW97" s="191">
        <f t="shared" si="39"/>
        <v>156806.91</v>
      </c>
      <c r="AX97" s="190" t="s">
        <v>72</v>
      </c>
      <c r="AY97" s="184"/>
    </row>
    <row r="98" spans="2:51" hidden="1">
      <c r="B98" s="198">
        <v>2183</v>
      </c>
      <c r="C98" s="199">
        <v>311679</v>
      </c>
      <c r="D98" s="198">
        <v>311269</v>
      </c>
      <c r="E98" s="198" t="s">
        <v>2003</v>
      </c>
      <c r="F98" s="198" t="s">
        <v>2124</v>
      </c>
      <c r="G98" s="198"/>
      <c r="H98" s="198"/>
      <c r="I98" s="200">
        <v>1</v>
      </c>
      <c r="J98" s="198" t="s">
        <v>2089</v>
      </c>
      <c r="K98" s="200">
        <v>0</v>
      </c>
      <c r="L98" s="198" t="s">
        <v>2076</v>
      </c>
      <c r="M98" s="198"/>
      <c r="N98" s="198" t="s">
        <v>2183</v>
      </c>
      <c r="O98" s="198" t="s">
        <v>2184</v>
      </c>
      <c r="P98" s="198" t="s">
        <v>1028</v>
      </c>
      <c r="Q98" s="198"/>
      <c r="R98" s="198"/>
      <c r="S98" s="201">
        <v>45133</v>
      </c>
      <c r="T98" s="201">
        <v>45133</v>
      </c>
      <c r="U98" s="198" t="s">
        <v>2090</v>
      </c>
      <c r="V98" s="198">
        <v>1000</v>
      </c>
      <c r="W98" s="198">
        <v>14040</v>
      </c>
      <c r="X98" s="202">
        <v>197657.94</v>
      </c>
      <c r="Y98" s="198">
        <v>14046</v>
      </c>
      <c r="Z98" s="202">
        <v>14824.35</v>
      </c>
      <c r="AA98" s="202">
        <v>0</v>
      </c>
      <c r="AB98" s="202">
        <v>182833.59</v>
      </c>
      <c r="AC98" s="202">
        <v>6588.6</v>
      </c>
      <c r="AD98" s="198">
        <v>51260</v>
      </c>
      <c r="AE98" s="202">
        <v>1647.15</v>
      </c>
      <c r="AF98" s="202">
        <v>0</v>
      </c>
      <c r="AG98" s="202">
        <v>1647.15</v>
      </c>
      <c r="AH98" s="198" t="s">
        <v>989</v>
      </c>
      <c r="AI98" s="198"/>
      <c r="AJ98" s="198"/>
      <c r="AK98" s="198">
        <v>2066</v>
      </c>
      <c r="AL98" s="198" t="s">
        <v>147</v>
      </c>
      <c r="AM98" s="198" t="s">
        <v>1852</v>
      </c>
      <c r="AN98" s="196">
        <f t="shared" si="30"/>
        <v>7</v>
      </c>
      <c r="AO98" s="196">
        <f t="shared" si="31"/>
        <v>2023</v>
      </c>
      <c r="AP98" s="195">
        <f t="shared" si="32"/>
        <v>2033</v>
      </c>
      <c r="AQ98" s="194">
        <f t="shared" si="33"/>
        <v>2033.5833333333333</v>
      </c>
      <c r="AR98" s="193">
        <f t="shared" si="34"/>
        <v>1647.1495000000002</v>
      </c>
      <c r="AS98" s="192">
        <f t="shared" si="35"/>
        <v>19765.794000000002</v>
      </c>
      <c r="AT98" s="192">
        <f t="shared" si="36"/>
        <v>19765.794000000002</v>
      </c>
      <c r="AU98" s="192">
        <f t="shared" si="37"/>
        <v>0</v>
      </c>
      <c r="AV98" s="192">
        <f t="shared" si="38"/>
        <v>19765.794000000002</v>
      </c>
      <c r="AW98" s="191">
        <f t="shared" si="39"/>
        <v>177892.14600000001</v>
      </c>
      <c r="AX98" s="190" t="s">
        <v>72</v>
      </c>
      <c r="AY98" s="184"/>
    </row>
    <row r="99" spans="2:51">
      <c r="B99" s="198">
        <v>2183</v>
      </c>
      <c r="C99" s="199">
        <v>311269</v>
      </c>
      <c r="D99" s="198" t="s">
        <v>989</v>
      </c>
      <c r="E99" s="198" t="s">
        <v>2003</v>
      </c>
      <c r="F99" s="198" t="s">
        <v>2124</v>
      </c>
      <c r="G99" s="198"/>
      <c r="H99" s="198"/>
      <c r="I99" s="200">
        <v>1</v>
      </c>
      <c r="J99" s="198" t="s">
        <v>2089</v>
      </c>
      <c r="K99" s="200">
        <v>2024</v>
      </c>
      <c r="L99" s="198"/>
      <c r="M99" s="198"/>
      <c r="N99" s="198" t="s">
        <v>2183</v>
      </c>
      <c r="O99" s="198" t="s">
        <v>2184</v>
      </c>
      <c r="P99" s="198" t="s">
        <v>2206</v>
      </c>
      <c r="Q99" s="198"/>
      <c r="R99" s="198"/>
      <c r="S99" s="201">
        <v>45133</v>
      </c>
      <c r="T99" s="201">
        <v>45133</v>
      </c>
      <c r="U99" s="198" t="s">
        <v>2090</v>
      </c>
      <c r="V99" s="198">
        <v>1000</v>
      </c>
      <c r="W99" s="198">
        <v>14040</v>
      </c>
      <c r="X99" s="202">
        <v>221733.38</v>
      </c>
      <c r="Y99" s="198">
        <v>14046</v>
      </c>
      <c r="Z99" s="202">
        <v>16630.009999999998</v>
      </c>
      <c r="AA99" s="202">
        <v>0</v>
      </c>
      <c r="AB99" s="202">
        <v>205103.37</v>
      </c>
      <c r="AC99" s="202">
        <v>7391.12</v>
      </c>
      <c r="AD99" s="198">
        <v>51260</v>
      </c>
      <c r="AE99" s="202">
        <v>1847.78</v>
      </c>
      <c r="AF99" s="202">
        <v>0</v>
      </c>
      <c r="AG99" s="202">
        <v>1847.78</v>
      </c>
      <c r="AH99" s="198" t="s">
        <v>989</v>
      </c>
      <c r="AI99" s="198"/>
      <c r="AJ99" s="198"/>
      <c r="AK99" s="198" t="s">
        <v>2290</v>
      </c>
      <c r="AL99" s="198" t="s">
        <v>147</v>
      </c>
      <c r="AM99" s="198" t="s">
        <v>1857</v>
      </c>
      <c r="AN99" s="196">
        <f t="shared" si="30"/>
        <v>7</v>
      </c>
      <c r="AO99" s="196">
        <f t="shared" si="31"/>
        <v>2023</v>
      </c>
      <c r="AP99" s="195">
        <f t="shared" si="32"/>
        <v>2033</v>
      </c>
      <c r="AQ99" s="194">
        <f t="shared" si="33"/>
        <v>2033.5833333333333</v>
      </c>
      <c r="AR99" s="193">
        <f t="shared" si="34"/>
        <v>1847.7781666666667</v>
      </c>
      <c r="AS99" s="192">
        <f t="shared" si="35"/>
        <v>22173.338</v>
      </c>
      <c r="AT99" s="192">
        <f t="shared" si="36"/>
        <v>22173.338</v>
      </c>
      <c r="AU99" s="192">
        <f t="shared" si="37"/>
        <v>0</v>
      </c>
      <c r="AV99" s="192">
        <f t="shared" si="38"/>
        <v>22173.338</v>
      </c>
      <c r="AW99" s="191">
        <f t="shared" si="39"/>
        <v>199560.04200000002</v>
      </c>
      <c r="AX99" s="190" t="s">
        <v>72</v>
      </c>
      <c r="AY99" s="184"/>
    </row>
    <row r="100" spans="2:51">
      <c r="B100" s="198">
        <v>2183</v>
      </c>
      <c r="C100" s="199">
        <v>311268</v>
      </c>
      <c r="D100" s="198" t="s">
        <v>989</v>
      </c>
      <c r="E100" s="198" t="s">
        <v>2003</v>
      </c>
      <c r="F100" s="198" t="s">
        <v>2077</v>
      </c>
      <c r="G100" s="198"/>
      <c r="H100" s="198"/>
      <c r="I100" s="200">
        <v>1</v>
      </c>
      <c r="J100" s="198" t="s">
        <v>2098</v>
      </c>
      <c r="K100" s="200">
        <v>2024</v>
      </c>
      <c r="L100" s="198"/>
      <c r="M100" s="198"/>
      <c r="N100" s="198" t="s">
        <v>2183</v>
      </c>
      <c r="O100" s="198" t="s">
        <v>2184</v>
      </c>
      <c r="P100" s="198" t="s">
        <v>2187</v>
      </c>
      <c r="Q100" s="198"/>
      <c r="R100" s="198"/>
      <c r="S100" s="201">
        <v>45132</v>
      </c>
      <c r="T100" s="201">
        <v>45132</v>
      </c>
      <c r="U100" s="198" t="s">
        <v>2066</v>
      </c>
      <c r="V100" s="198">
        <v>1000</v>
      </c>
      <c r="W100" s="198">
        <v>14040</v>
      </c>
      <c r="X100" s="202">
        <v>224628.4</v>
      </c>
      <c r="Y100" s="198">
        <v>14046</v>
      </c>
      <c r="Z100" s="202">
        <v>16847.12</v>
      </c>
      <c r="AA100" s="202">
        <v>0</v>
      </c>
      <c r="AB100" s="202">
        <v>207781.28</v>
      </c>
      <c r="AC100" s="202">
        <v>7487.6</v>
      </c>
      <c r="AD100" s="198">
        <v>51260</v>
      </c>
      <c r="AE100" s="202">
        <v>1871.9</v>
      </c>
      <c r="AF100" s="202">
        <v>0</v>
      </c>
      <c r="AG100" s="202">
        <v>1871.9</v>
      </c>
      <c r="AH100" s="198" t="s">
        <v>989</v>
      </c>
      <c r="AI100" s="198"/>
      <c r="AJ100" s="198"/>
      <c r="AK100" s="198" t="s">
        <v>2291</v>
      </c>
      <c r="AL100" s="198" t="s">
        <v>147</v>
      </c>
      <c r="AM100" s="198" t="s">
        <v>1857</v>
      </c>
      <c r="AN100" s="196">
        <f t="shared" si="30"/>
        <v>7</v>
      </c>
      <c r="AO100" s="196">
        <f t="shared" si="31"/>
        <v>2023</v>
      </c>
      <c r="AP100" s="195">
        <f t="shared" si="32"/>
        <v>2033</v>
      </c>
      <c r="AQ100" s="194">
        <f t="shared" si="33"/>
        <v>2033.5833333333333</v>
      </c>
      <c r="AR100" s="193">
        <f t="shared" si="34"/>
        <v>1871.9033333333334</v>
      </c>
      <c r="AS100" s="192">
        <f t="shared" si="35"/>
        <v>22462.84</v>
      </c>
      <c r="AT100" s="192">
        <f t="shared" si="36"/>
        <v>22462.84</v>
      </c>
      <c r="AU100" s="192">
        <f t="shared" si="37"/>
        <v>0</v>
      </c>
      <c r="AV100" s="192">
        <f t="shared" si="38"/>
        <v>22462.84</v>
      </c>
      <c r="AW100" s="191">
        <f t="shared" si="39"/>
        <v>202165.56</v>
      </c>
      <c r="AX100" s="190" t="s">
        <v>72</v>
      </c>
      <c r="AY100" s="184"/>
    </row>
    <row r="101" spans="2:51">
      <c r="B101" s="198">
        <v>2183</v>
      </c>
      <c r="C101" s="199">
        <v>311267</v>
      </c>
      <c r="D101" s="198" t="s">
        <v>989</v>
      </c>
      <c r="E101" s="198" t="s">
        <v>2003</v>
      </c>
      <c r="F101" s="198" t="s">
        <v>2077</v>
      </c>
      <c r="G101" s="198"/>
      <c r="H101" s="198"/>
      <c r="I101" s="200">
        <v>1</v>
      </c>
      <c r="J101" s="198" t="s">
        <v>2086</v>
      </c>
      <c r="K101" s="200">
        <v>2024</v>
      </c>
      <c r="L101" s="198"/>
      <c r="M101" s="198"/>
      <c r="N101" s="198" t="s">
        <v>2183</v>
      </c>
      <c r="O101" s="198" t="s">
        <v>2184</v>
      </c>
      <c r="P101" s="198" t="s">
        <v>2187</v>
      </c>
      <c r="Q101" s="198"/>
      <c r="R101" s="198"/>
      <c r="S101" s="201">
        <v>45132</v>
      </c>
      <c r="T101" s="201">
        <v>45132</v>
      </c>
      <c r="U101" s="198" t="s">
        <v>2087</v>
      </c>
      <c r="V101" s="198">
        <v>1000</v>
      </c>
      <c r="W101" s="198">
        <v>14040</v>
      </c>
      <c r="X101" s="202">
        <v>224628.4</v>
      </c>
      <c r="Y101" s="198">
        <v>14046</v>
      </c>
      <c r="Z101" s="202">
        <v>16847.12</v>
      </c>
      <c r="AA101" s="202">
        <v>0</v>
      </c>
      <c r="AB101" s="202">
        <v>207781.28</v>
      </c>
      <c r="AC101" s="202">
        <v>7487.6</v>
      </c>
      <c r="AD101" s="198">
        <v>51260</v>
      </c>
      <c r="AE101" s="202">
        <v>1871.9</v>
      </c>
      <c r="AF101" s="202">
        <v>0</v>
      </c>
      <c r="AG101" s="202">
        <v>1871.9</v>
      </c>
      <c r="AH101" s="198" t="s">
        <v>989</v>
      </c>
      <c r="AI101" s="198"/>
      <c r="AJ101" s="198"/>
      <c r="AK101" s="198" t="s">
        <v>2292</v>
      </c>
      <c r="AL101" s="198" t="s">
        <v>147</v>
      </c>
      <c r="AM101" s="198" t="s">
        <v>1857</v>
      </c>
      <c r="AN101" s="196">
        <f t="shared" si="30"/>
        <v>7</v>
      </c>
      <c r="AO101" s="196">
        <f t="shared" si="31"/>
        <v>2023</v>
      </c>
      <c r="AP101" s="195">
        <f t="shared" si="32"/>
        <v>2033</v>
      </c>
      <c r="AQ101" s="194">
        <f t="shared" si="33"/>
        <v>2033.5833333333333</v>
      </c>
      <c r="AR101" s="193">
        <f t="shared" si="34"/>
        <v>1871.9033333333334</v>
      </c>
      <c r="AS101" s="192">
        <f t="shared" si="35"/>
        <v>22462.84</v>
      </c>
      <c r="AT101" s="192">
        <f t="shared" si="36"/>
        <v>22462.84</v>
      </c>
      <c r="AU101" s="192">
        <f t="shared" si="37"/>
        <v>0</v>
      </c>
      <c r="AV101" s="192">
        <f t="shared" si="38"/>
        <v>22462.84</v>
      </c>
      <c r="AW101" s="191">
        <f t="shared" si="39"/>
        <v>202165.56</v>
      </c>
      <c r="AX101" s="190" t="s">
        <v>72</v>
      </c>
      <c r="AY101" s="184"/>
    </row>
    <row r="102" spans="2:51">
      <c r="B102" s="198">
        <v>2183</v>
      </c>
      <c r="C102" s="199">
        <v>310662</v>
      </c>
      <c r="D102" s="198" t="s">
        <v>989</v>
      </c>
      <c r="E102" s="198" t="s">
        <v>2003</v>
      </c>
      <c r="F102" s="198" t="s">
        <v>2125</v>
      </c>
      <c r="G102" s="198"/>
      <c r="H102" s="198"/>
      <c r="I102" s="200">
        <v>1</v>
      </c>
      <c r="J102" s="198" t="s">
        <v>2126</v>
      </c>
      <c r="K102" s="200">
        <v>2002</v>
      </c>
      <c r="L102" s="198" t="s">
        <v>1308</v>
      </c>
      <c r="M102" s="198" t="s">
        <v>1120</v>
      </c>
      <c r="N102" s="198" t="s">
        <v>2183</v>
      </c>
      <c r="O102" s="198" t="s">
        <v>2184</v>
      </c>
      <c r="P102" s="198" t="s">
        <v>287</v>
      </c>
      <c r="Q102" s="198"/>
      <c r="R102" s="198"/>
      <c r="S102" s="201">
        <v>39755</v>
      </c>
      <c r="T102" s="201">
        <v>39755</v>
      </c>
      <c r="U102" s="198"/>
      <c r="V102" s="198">
        <v>300</v>
      </c>
      <c r="W102" s="198">
        <v>14040</v>
      </c>
      <c r="X102" s="202">
        <v>51500</v>
      </c>
      <c r="Y102" s="198">
        <v>14046</v>
      </c>
      <c r="Z102" s="202">
        <v>51500</v>
      </c>
      <c r="AA102" s="202">
        <v>0</v>
      </c>
      <c r="AB102" s="202">
        <v>0</v>
      </c>
      <c r="AC102" s="202">
        <v>0</v>
      </c>
      <c r="AD102" s="198">
        <v>51260</v>
      </c>
      <c r="AE102" s="202">
        <v>0</v>
      </c>
      <c r="AF102" s="202">
        <v>0</v>
      </c>
      <c r="AG102" s="202">
        <v>0</v>
      </c>
      <c r="AH102" s="198" t="s">
        <v>994</v>
      </c>
      <c r="AI102" s="198" t="s">
        <v>1050</v>
      </c>
      <c r="AJ102" s="198">
        <v>4030</v>
      </c>
      <c r="AK102" s="198" t="s">
        <v>2293</v>
      </c>
      <c r="AL102" s="198" t="s">
        <v>147</v>
      </c>
      <c r="AM102" s="198" t="s">
        <v>1857</v>
      </c>
      <c r="AN102" s="196">
        <f t="shared" si="30"/>
        <v>11</v>
      </c>
      <c r="AO102" s="196">
        <f t="shared" si="31"/>
        <v>2008</v>
      </c>
      <c r="AP102" s="195">
        <f t="shared" si="32"/>
        <v>2011</v>
      </c>
      <c r="AQ102" s="194">
        <f t="shared" si="33"/>
        <v>2011.9166666666667</v>
      </c>
      <c r="AR102" s="193">
        <f t="shared" si="34"/>
        <v>1430.5555555555557</v>
      </c>
      <c r="AS102" s="192">
        <f t="shared" si="35"/>
        <v>17166.666666666668</v>
      </c>
      <c r="AT102" s="192">
        <f t="shared" si="36"/>
        <v>0</v>
      </c>
      <c r="AU102" s="192">
        <f t="shared" si="37"/>
        <v>51500</v>
      </c>
      <c r="AV102" s="192">
        <f t="shared" si="38"/>
        <v>51500</v>
      </c>
      <c r="AW102" s="191">
        <f t="shared" si="39"/>
        <v>0</v>
      </c>
      <c r="AX102" s="190" t="s">
        <v>72</v>
      </c>
      <c r="AY102" s="184"/>
    </row>
    <row r="103" spans="2:51">
      <c r="B103" s="198">
        <v>2183</v>
      </c>
      <c r="C103" s="199">
        <v>310661</v>
      </c>
      <c r="D103" s="198" t="s">
        <v>989</v>
      </c>
      <c r="E103" s="198" t="s">
        <v>2003</v>
      </c>
      <c r="F103" s="198" t="s">
        <v>2127</v>
      </c>
      <c r="G103" s="198"/>
      <c r="H103" s="198"/>
      <c r="I103" s="200">
        <v>1</v>
      </c>
      <c r="J103" s="198" t="s">
        <v>2128</v>
      </c>
      <c r="K103" s="200">
        <v>2007</v>
      </c>
      <c r="L103" s="198" t="s">
        <v>2129</v>
      </c>
      <c r="M103" s="198" t="s">
        <v>1186</v>
      </c>
      <c r="N103" s="198" t="s">
        <v>2183</v>
      </c>
      <c r="O103" s="198" t="s">
        <v>2184</v>
      </c>
      <c r="P103" s="198" t="s">
        <v>2130</v>
      </c>
      <c r="Q103" s="198"/>
      <c r="R103" s="198"/>
      <c r="S103" s="201">
        <v>39904</v>
      </c>
      <c r="T103" s="201">
        <v>39904</v>
      </c>
      <c r="U103" s="198"/>
      <c r="V103" s="198">
        <v>800</v>
      </c>
      <c r="W103" s="198">
        <v>14040</v>
      </c>
      <c r="X103" s="202">
        <v>46500</v>
      </c>
      <c r="Y103" s="198">
        <v>14046</v>
      </c>
      <c r="Z103" s="202">
        <v>46500</v>
      </c>
      <c r="AA103" s="202">
        <v>0</v>
      </c>
      <c r="AB103" s="202">
        <v>0</v>
      </c>
      <c r="AC103" s="202">
        <v>0</v>
      </c>
      <c r="AD103" s="198">
        <v>51260</v>
      </c>
      <c r="AE103" s="202">
        <v>0</v>
      </c>
      <c r="AF103" s="202">
        <v>0</v>
      </c>
      <c r="AG103" s="202">
        <v>0</v>
      </c>
      <c r="AH103" s="198" t="s">
        <v>994</v>
      </c>
      <c r="AI103" s="198" t="s">
        <v>2131</v>
      </c>
      <c r="AJ103" s="198">
        <v>9997</v>
      </c>
      <c r="AK103" s="198">
        <v>9997</v>
      </c>
      <c r="AL103" s="198" t="s">
        <v>85</v>
      </c>
      <c r="AM103" s="198" t="s">
        <v>85</v>
      </c>
      <c r="AN103" s="196">
        <f t="shared" ref="AN103:AN144" si="40">MONTH($S103)</f>
        <v>4</v>
      </c>
      <c r="AO103" s="196">
        <f t="shared" ref="AO103:AO144" si="41">YEAR($S103)</f>
        <v>2009</v>
      </c>
      <c r="AP103" s="195">
        <f t="shared" ref="AP103:AP144" si="42">$AO103+($V103/100)</f>
        <v>2017</v>
      </c>
      <c r="AQ103" s="194">
        <f t="shared" ref="AQ103:AQ144" si="43">$AP103+($AN103/12)</f>
        <v>2017.3333333333333</v>
      </c>
      <c r="AR103" s="193">
        <f t="shared" ref="AR103:AR144" si="44">IFERROR($X103/($V103/100)/12,0)</f>
        <v>484.375</v>
      </c>
      <c r="AS103" s="192">
        <f t="shared" ref="AS103:AS144" si="45">$AR103*12</f>
        <v>5812.5</v>
      </c>
      <c r="AT103" s="192">
        <f t="shared" ref="AT103:AT144" si="46">IF(AQ103&lt;$AK$12,0,AS103)</f>
        <v>0</v>
      </c>
      <c r="AU103" s="192">
        <f t="shared" ref="AU103:AU144" si="47">IF(AQ103&lt;=$AK$13,X103,IF(((AO103+AN103/12))&gt;=$AK$13,0,((X103-((AQ103-$AK$13)*12)*AR103))))</f>
        <v>46500</v>
      </c>
      <c r="AV103" s="192">
        <f t="shared" ref="AV103:AV144" si="48">IF(AQ103&lt;$AK$12,X103,AT103+AU103)</f>
        <v>46500</v>
      </c>
      <c r="AW103" s="191">
        <f t="shared" ref="AW103:AW144" si="49">+X103-AV103</f>
        <v>0</v>
      </c>
      <c r="AX103" s="190" t="s">
        <v>72</v>
      </c>
      <c r="AY103" s="184"/>
    </row>
    <row r="104" spans="2:51" hidden="1">
      <c r="B104" s="198">
        <v>2183</v>
      </c>
      <c r="C104" s="199">
        <v>310660</v>
      </c>
      <c r="D104" s="198">
        <v>310651</v>
      </c>
      <c r="E104" s="198" t="s">
        <v>2003</v>
      </c>
      <c r="F104" s="198" t="s">
        <v>2132</v>
      </c>
      <c r="G104" s="198"/>
      <c r="H104" s="198"/>
      <c r="I104" s="200">
        <v>1</v>
      </c>
      <c r="J104" s="198"/>
      <c r="K104" s="200">
        <v>0</v>
      </c>
      <c r="L104" s="198" t="s">
        <v>1442</v>
      </c>
      <c r="M104" s="198"/>
      <c r="N104" s="198" t="s">
        <v>2183</v>
      </c>
      <c r="O104" s="198" t="s">
        <v>2184</v>
      </c>
      <c r="P104" s="198" t="s">
        <v>1028</v>
      </c>
      <c r="Q104" s="198"/>
      <c r="R104" s="198"/>
      <c r="S104" s="201">
        <v>41969</v>
      </c>
      <c r="T104" s="201">
        <v>41969</v>
      </c>
      <c r="U104" s="198" t="s">
        <v>2133</v>
      </c>
      <c r="V104" s="198">
        <v>300</v>
      </c>
      <c r="W104" s="198">
        <v>14040</v>
      </c>
      <c r="X104" s="202">
        <v>7331.82</v>
      </c>
      <c r="Y104" s="198">
        <v>14046</v>
      </c>
      <c r="Z104" s="202">
        <v>7331.82</v>
      </c>
      <c r="AA104" s="202">
        <v>0</v>
      </c>
      <c r="AB104" s="202">
        <v>0</v>
      </c>
      <c r="AC104" s="202">
        <v>0</v>
      </c>
      <c r="AD104" s="198">
        <v>51260</v>
      </c>
      <c r="AE104" s="202">
        <v>0</v>
      </c>
      <c r="AF104" s="202">
        <v>0</v>
      </c>
      <c r="AG104" s="202">
        <v>0</v>
      </c>
      <c r="AH104" s="198" t="s">
        <v>989</v>
      </c>
      <c r="AI104" s="198"/>
      <c r="AJ104" s="198"/>
      <c r="AK104" s="198">
        <v>4039</v>
      </c>
      <c r="AL104" s="198" t="s">
        <v>287</v>
      </c>
      <c r="AM104" s="198" t="s">
        <v>2297</v>
      </c>
      <c r="AN104" s="196">
        <f t="shared" si="40"/>
        <v>11</v>
      </c>
      <c r="AO104" s="196">
        <f t="shared" si="41"/>
        <v>2014</v>
      </c>
      <c r="AP104" s="195">
        <f t="shared" si="42"/>
        <v>2017</v>
      </c>
      <c r="AQ104" s="194">
        <f t="shared" si="43"/>
        <v>2017.9166666666667</v>
      </c>
      <c r="AR104" s="193">
        <f t="shared" si="44"/>
        <v>203.66166666666666</v>
      </c>
      <c r="AS104" s="192">
        <f t="shared" si="45"/>
        <v>2443.94</v>
      </c>
      <c r="AT104" s="192">
        <f t="shared" si="46"/>
        <v>0</v>
      </c>
      <c r="AU104" s="192">
        <f t="shared" si="47"/>
        <v>7331.82</v>
      </c>
      <c r="AV104" s="192">
        <f t="shared" si="48"/>
        <v>7331.82</v>
      </c>
      <c r="AW104" s="191">
        <f t="shared" si="49"/>
        <v>0</v>
      </c>
      <c r="AX104" s="190" t="s">
        <v>72</v>
      </c>
      <c r="AY104" s="184"/>
    </row>
    <row r="105" spans="2:51" hidden="1">
      <c r="B105" s="198">
        <v>2183</v>
      </c>
      <c r="C105" s="199">
        <v>310659</v>
      </c>
      <c r="D105" s="198">
        <v>310650</v>
      </c>
      <c r="E105" s="198" t="s">
        <v>2003</v>
      </c>
      <c r="F105" s="198" t="s">
        <v>2134</v>
      </c>
      <c r="G105" s="198"/>
      <c r="H105" s="198"/>
      <c r="I105" s="200">
        <v>1</v>
      </c>
      <c r="J105" s="198"/>
      <c r="K105" s="200">
        <v>0</v>
      </c>
      <c r="L105" s="198" t="s">
        <v>1442</v>
      </c>
      <c r="M105" s="198"/>
      <c r="N105" s="198" t="s">
        <v>2183</v>
      </c>
      <c r="O105" s="198" t="s">
        <v>2184</v>
      </c>
      <c r="P105" s="198" t="s">
        <v>1028</v>
      </c>
      <c r="Q105" s="198"/>
      <c r="R105" s="198"/>
      <c r="S105" s="201">
        <v>41183</v>
      </c>
      <c r="T105" s="201">
        <v>41183</v>
      </c>
      <c r="U105" s="198" t="s">
        <v>2135</v>
      </c>
      <c r="V105" s="198">
        <v>300</v>
      </c>
      <c r="W105" s="198">
        <v>14040</v>
      </c>
      <c r="X105" s="202">
        <v>43245.21</v>
      </c>
      <c r="Y105" s="198">
        <v>14046</v>
      </c>
      <c r="Z105" s="202">
        <v>43245.21</v>
      </c>
      <c r="AA105" s="202">
        <v>0</v>
      </c>
      <c r="AB105" s="202">
        <v>0</v>
      </c>
      <c r="AC105" s="202">
        <v>0</v>
      </c>
      <c r="AD105" s="198">
        <v>51260</v>
      </c>
      <c r="AE105" s="202">
        <v>0</v>
      </c>
      <c r="AF105" s="202">
        <v>0</v>
      </c>
      <c r="AG105" s="202">
        <v>0</v>
      </c>
      <c r="AH105" s="198" t="s">
        <v>989</v>
      </c>
      <c r="AI105" s="198"/>
      <c r="AJ105" s="198"/>
      <c r="AK105" s="198">
        <v>4026</v>
      </c>
      <c r="AL105" s="198" t="s">
        <v>287</v>
      </c>
      <c r="AM105" s="198" t="s">
        <v>2297</v>
      </c>
      <c r="AN105" s="196">
        <f t="shared" si="40"/>
        <v>10</v>
      </c>
      <c r="AO105" s="196">
        <f t="shared" si="41"/>
        <v>2012</v>
      </c>
      <c r="AP105" s="195">
        <f t="shared" si="42"/>
        <v>2015</v>
      </c>
      <c r="AQ105" s="194">
        <f t="shared" si="43"/>
        <v>2015.8333333333333</v>
      </c>
      <c r="AR105" s="193">
        <f t="shared" si="44"/>
        <v>1201.2558333333334</v>
      </c>
      <c r="AS105" s="192">
        <f t="shared" si="45"/>
        <v>14415.07</v>
      </c>
      <c r="AT105" s="192">
        <f t="shared" si="46"/>
        <v>0</v>
      </c>
      <c r="AU105" s="192">
        <f t="shared" si="47"/>
        <v>43245.21</v>
      </c>
      <c r="AV105" s="192">
        <f t="shared" si="48"/>
        <v>43245.21</v>
      </c>
      <c r="AW105" s="191">
        <f t="shared" si="49"/>
        <v>0</v>
      </c>
      <c r="AX105" s="190" t="s">
        <v>72</v>
      </c>
      <c r="AY105" s="184"/>
    </row>
    <row r="106" spans="2:51" hidden="1">
      <c r="B106" s="198">
        <v>2183</v>
      </c>
      <c r="C106" s="199">
        <v>310657</v>
      </c>
      <c r="D106" s="198">
        <v>310649</v>
      </c>
      <c r="E106" s="198" t="s">
        <v>2003</v>
      </c>
      <c r="F106" s="198" t="s">
        <v>2136</v>
      </c>
      <c r="G106" s="198"/>
      <c r="H106" s="198"/>
      <c r="I106" s="200">
        <v>1</v>
      </c>
      <c r="J106" s="198"/>
      <c r="K106" s="200">
        <v>0</v>
      </c>
      <c r="L106" s="198" t="s">
        <v>1442</v>
      </c>
      <c r="M106" s="198"/>
      <c r="N106" s="198" t="s">
        <v>2183</v>
      </c>
      <c r="O106" s="198" t="s">
        <v>2184</v>
      </c>
      <c r="P106" s="198" t="s">
        <v>1028</v>
      </c>
      <c r="Q106" s="198"/>
      <c r="R106" s="198"/>
      <c r="S106" s="201">
        <v>41001</v>
      </c>
      <c r="T106" s="201">
        <v>41001</v>
      </c>
      <c r="U106" s="198" t="s">
        <v>2137</v>
      </c>
      <c r="V106" s="198">
        <v>300</v>
      </c>
      <c r="W106" s="198">
        <v>14040</v>
      </c>
      <c r="X106" s="202">
        <v>45310.51</v>
      </c>
      <c r="Y106" s="198">
        <v>14046</v>
      </c>
      <c r="Z106" s="202">
        <v>45310.51</v>
      </c>
      <c r="AA106" s="202">
        <v>0</v>
      </c>
      <c r="AB106" s="202">
        <v>0</v>
      </c>
      <c r="AC106" s="202">
        <v>0</v>
      </c>
      <c r="AD106" s="198">
        <v>51260</v>
      </c>
      <c r="AE106" s="202">
        <v>0</v>
      </c>
      <c r="AF106" s="202">
        <v>0</v>
      </c>
      <c r="AG106" s="202">
        <v>0</v>
      </c>
      <c r="AH106" s="198" t="s">
        <v>989</v>
      </c>
      <c r="AI106" s="198"/>
      <c r="AJ106" s="198"/>
      <c r="AK106" s="198">
        <v>4021</v>
      </c>
      <c r="AL106" s="198" t="s">
        <v>287</v>
      </c>
      <c r="AM106" s="198" t="s">
        <v>2297</v>
      </c>
      <c r="AN106" s="196">
        <f t="shared" si="40"/>
        <v>4</v>
      </c>
      <c r="AO106" s="196">
        <f t="shared" si="41"/>
        <v>2012</v>
      </c>
      <c r="AP106" s="195">
        <f t="shared" si="42"/>
        <v>2015</v>
      </c>
      <c r="AQ106" s="194">
        <f t="shared" si="43"/>
        <v>2015.3333333333333</v>
      </c>
      <c r="AR106" s="193">
        <f t="shared" si="44"/>
        <v>1258.6252777777779</v>
      </c>
      <c r="AS106" s="192">
        <f t="shared" si="45"/>
        <v>15103.503333333334</v>
      </c>
      <c r="AT106" s="192">
        <f t="shared" si="46"/>
        <v>0</v>
      </c>
      <c r="AU106" s="192">
        <f t="shared" si="47"/>
        <v>45310.51</v>
      </c>
      <c r="AV106" s="192">
        <f t="shared" si="48"/>
        <v>45310.51</v>
      </c>
      <c r="AW106" s="191">
        <f t="shared" si="49"/>
        <v>0</v>
      </c>
      <c r="AX106" s="190" t="s">
        <v>72</v>
      </c>
      <c r="AY106" s="184"/>
    </row>
    <row r="107" spans="2:51" hidden="1">
      <c r="B107" s="198">
        <v>2183</v>
      </c>
      <c r="C107" s="199">
        <v>310655</v>
      </c>
      <c r="D107" s="198">
        <v>310649</v>
      </c>
      <c r="E107" s="198" t="s">
        <v>2003</v>
      </c>
      <c r="F107" s="198" t="s">
        <v>2138</v>
      </c>
      <c r="G107" s="198"/>
      <c r="H107" s="198"/>
      <c r="I107" s="200">
        <v>1</v>
      </c>
      <c r="J107" s="198">
        <v>73583</v>
      </c>
      <c r="K107" s="200">
        <v>2000</v>
      </c>
      <c r="L107" s="198"/>
      <c r="M107" s="198"/>
      <c r="N107" s="198" t="s">
        <v>2183</v>
      </c>
      <c r="O107" s="198" t="s">
        <v>2184</v>
      </c>
      <c r="P107" s="198" t="s">
        <v>1028</v>
      </c>
      <c r="Q107" s="198"/>
      <c r="R107" s="198"/>
      <c r="S107" s="201">
        <v>39965</v>
      </c>
      <c r="T107" s="201">
        <v>39965</v>
      </c>
      <c r="U107" s="198" t="s">
        <v>2139</v>
      </c>
      <c r="V107" s="198">
        <v>300</v>
      </c>
      <c r="W107" s="198">
        <v>14040</v>
      </c>
      <c r="X107" s="202">
        <v>2544.1999999999998</v>
      </c>
      <c r="Y107" s="198">
        <v>14046</v>
      </c>
      <c r="Z107" s="202">
        <v>2544.1999999999998</v>
      </c>
      <c r="AA107" s="202">
        <v>0</v>
      </c>
      <c r="AB107" s="202">
        <v>0</v>
      </c>
      <c r="AC107" s="202">
        <v>0</v>
      </c>
      <c r="AD107" s="198">
        <v>51260</v>
      </c>
      <c r="AE107" s="202">
        <v>0</v>
      </c>
      <c r="AF107" s="202">
        <v>0</v>
      </c>
      <c r="AG107" s="202">
        <v>0</v>
      </c>
      <c r="AH107" s="198" t="s">
        <v>989</v>
      </c>
      <c r="AI107" s="198"/>
      <c r="AJ107" s="198">
        <v>4021</v>
      </c>
      <c r="AK107" s="198">
        <v>4021</v>
      </c>
      <c r="AL107" s="198" t="s">
        <v>287</v>
      </c>
      <c r="AM107" s="198" t="s">
        <v>2297</v>
      </c>
      <c r="AN107" s="196">
        <f t="shared" si="40"/>
        <v>6</v>
      </c>
      <c r="AO107" s="196">
        <f t="shared" si="41"/>
        <v>2009</v>
      </c>
      <c r="AP107" s="195">
        <f t="shared" si="42"/>
        <v>2012</v>
      </c>
      <c r="AQ107" s="194">
        <f t="shared" si="43"/>
        <v>2012.5</v>
      </c>
      <c r="AR107" s="193">
        <f t="shared" si="44"/>
        <v>70.672222222222217</v>
      </c>
      <c r="AS107" s="192">
        <f t="shared" si="45"/>
        <v>848.06666666666661</v>
      </c>
      <c r="AT107" s="192">
        <f t="shared" si="46"/>
        <v>0</v>
      </c>
      <c r="AU107" s="192">
        <f t="shared" si="47"/>
        <v>2544.1999999999998</v>
      </c>
      <c r="AV107" s="192">
        <f t="shared" si="48"/>
        <v>2544.1999999999998</v>
      </c>
      <c r="AW107" s="191">
        <f t="shared" si="49"/>
        <v>0</v>
      </c>
      <c r="AX107" s="190" t="s">
        <v>72</v>
      </c>
      <c r="AY107" s="184"/>
    </row>
    <row r="108" spans="2:51" hidden="1">
      <c r="B108" s="198">
        <v>2183</v>
      </c>
      <c r="C108" s="199">
        <v>310654</v>
      </c>
      <c r="D108" s="198">
        <v>310650</v>
      </c>
      <c r="E108" s="198" t="s">
        <v>2003</v>
      </c>
      <c r="F108" s="198" t="s">
        <v>2140</v>
      </c>
      <c r="G108" s="198"/>
      <c r="H108" s="198"/>
      <c r="I108" s="200">
        <v>1</v>
      </c>
      <c r="J108" s="198">
        <v>18477</v>
      </c>
      <c r="K108" s="200">
        <v>2001</v>
      </c>
      <c r="L108" s="198"/>
      <c r="M108" s="198"/>
      <c r="N108" s="198" t="s">
        <v>2183</v>
      </c>
      <c r="O108" s="198" t="s">
        <v>2184</v>
      </c>
      <c r="P108" s="198" t="s">
        <v>1028</v>
      </c>
      <c r="Q108" s="198"/>
      <c r="R108" s="198"/>
      <c r="S108" s="201">
        <v>39936</v>
      </c>
      <c r="T108" s="201">
        <v>39936</v>
      </c>
      <c r="U108" s="198" t="s">
        <v>2141</v>
      </c>
      <c r="V108" s="198">
        <v>300</v>
      </c>
      <c r="W108" s="198">
        <v>14040</v>
      </c>
      <c r="X108" s="202">
        <v>2837.2</v>
      </c>
      <c r="Y108" s="198">
        <v>14046</v>
      </c>
      <c r="Z108" s="202">
        <v>2837.2</v>
      </c>
      <c r="AA108" s="202">
        <v>0</v>
      </c>
      <c r="AB108" s="202">
        <v>0</v>
      </c>
      <c r="AC108" s="202">
        <v>0</v>
      </c>
      <c r="AD108" s="198">
        <v>51260</v>
      </c>
      <c r="AE108" s="202">
        <v>0</v>
      </c>
      <c r="AF108" s="202">
        <v>0</v>
      </c>
      <c r="AG108" s="202">
        <v>0</v>
      </c>
      <c r="AH108" s="198" t="s">
        <v>989</v>
      </c>
      <c r="AI108" s="198"/>
      <c r="AJ108" s="198">
        <v>4026</v>
      </c>
      <c r="AK108" s="198">
        <v>4026</v>
      </c>
      <c r="AL108" s="198" t="s">
        <v>287</v>
      </c>
      <c r="AM108" s="198" t="s">
        <v>2297</v>
      </c>
      <c r="AN108" s="196">
        <f t="shared" si="40"/>
        <v>5</v>
      </c>
      <c r="AO108" s="196">
        <f t="shared" si="41"/>
        <v>2009</v>
      </c>
      <c r="AP108" s="195">
        <f t="shared" si="42"/>
        <v>2012</v>
      </c>
      <c r="AQ108" s="194">
        <f t="shared" si="43"/>
        <v>2012.4166666666667</v>
      </c>
      <c r="AR108" s="193">
        <f t="shared" si="44"/>
        <v>78.811111111111103</v>
      </c>
      <c r="AS108" s="192">
        <f t="shared" si="45"/>
        <v>945.73333333333323</v>
      </c>
      <c r="AT108" s="192">
        <f t="shared" si="46"/>
        <v>0</v>
      </c>
      <c r="AU108" s="192">
        <f t="shared" si="47"/>
        <v>2837.2</v>
      </c>
      <c r="AV108" s="192">
        <f t="shared" si="48"/>
        <v>2837.2</v>
      </c>
      <c r="AW108" s="191">
        <f t="shared" si="49"/>
        <v>0</v>
      </c>
      <c r="AX108" s="190" t="s">
        <v>72</v>
      </c>
      <c r="AY108" s="184"/>
    </row>
    <row r="109" spans="2:51">
      <c r="B109" s="198">
        <v>2183</v>
      </c>
      <c r="C109" s="199">
        <v>310651</v>
      </c>
      <c r="D109" s="198" t="s">
        <v>989</v>
      </c>
      <c r="E109" s="198" t="s">
        <v>2003</v>
      </c>
      <c r="F109" s="198" t="s">
        <v>2142</v>
      </c>
      <c r="G109" s="198"/>
      <c r="H109" s="198"/>
      <c r="I109" s="200">
        <v>1</v>
      </c>
      <c r="J109" s="198" t="s">
        <v>2143</v>
      </c>
      <c r="K109" s="200">
        <v>2004</v>
      </c>
      <c r="L109" s="198" t="s">
        <v>2129</v>
      </c>
      <c r="M109" s="198" t="s">
        <v>1534</v>
      </c>
      <c r="N109" s="198" t="s">
        <v>2183</v>
      </c>
      <c r="O109" s="198" t="s">
        <v>2184</v>
      </c>
      <c r="P109" s="198" t="s">
        <v>287</v>
      </c>
      <c r="Q109" s="198"/>
      <c r="R109" s="198"/>
      <c r="S109" s="201">
        <v>39755</v>
      </c>
      <c r="T109" s="201">
        <v>39755</v>
      </c>
      <c r="U109" s="198"/>
      <c r="V109" s="198">
        <v>500</v>
      </c>
      <c r="W109" s="198">
        <v>14040</v>
      </c>
      <c r="X109" s="202">
        <v>61500</v>
      </c>
      <c r="Y109" s="198">
        <v>14046</v>
      </c>
      <c r="Z109" s="202">
        <v>61500</v>
      </c>
      <c r="AA109" s="202">
        <v>0</v>
      </c>
      <c r="AB109" s="202">
        <v>0</v>
      </c>
      <c r="AC109" s="202">
        <v>0</v>
      </c>
      <c r="AD109" s="198">
        <v>51260</v>
      </c>
      <c r="AE109" s="202">
        <v>0</v>
      </c>
      <c r="AF109" s="202">
        <v>0</v>
      </c>
      <c r="AG109" s="202">
        <v>0</v>
      </c>
      <c r="AH109" s="198" t="s">
        <v>994</v>
      </c>
      <c r="AI109" s="198" t="s">
        <v>1050</v>
      </c>
      <c r="AJ109" s="198">
        <v>4039</v>
      </c>
      <c r="AK109" s="198" t="s">
        <v>2294</v>
      </c>
      <c r="AL109" s="198" t="s">
        <v>287</v>
      </c>
      <c r="AM109" s="198" t="s">
        <v>2297</v>
      </c>
      <c r="AN109" s="196">
        <f t="shared" si="40"/>
        <v>11</v>
      </c>
      <c r="AO109" s="196">
        <f t="shared" si="41"/>
        <v>2008</v>
      </c>
      <c r="AP109" s="195">
        <f t="shared" si="42"/>
        <v>2013</v>
      </c>
      <c r="AQ109" s="194">
        <f t="shared" si="43"/>
        <v>2013.9166666666667</v>
      </c>
      <c r="AR109" s="193">
        <f t="shared" si="44"/>
        <v>1025</v>
      </c>
      <c r="AS109" s="192">
        <f t="shared" si="45"/>
        <v>12300</v>
      </c>
      <c r="AT109" s="192">
        <f t="shared" si="46"/>
        <v>0</v>
      </c>
      <c r="AU109" s="192">
        <f t="shared" si="47"/>
        <v>61500</v>
      </c>
      <c r="AV109" s="192">
        <f t="shared" si="48"/>
        <v>61500</v>
      </c>
      <c r="AW109" s="191">
        <f t="shared" si="49"/>
        <v>0</v>
      </c>
      <c r="AX109" s="190" t="s">
        <v>72</v>
      </c>
      <c r="AY109" s="184"/>
    </row>
    <row r="110" spans="2:51">
      <c r="B110" s="198">
        <v>2183</v>
      </c>
      <c r="C110" s="199">
        <v>310650</v>
      </c>
      <c r="D110" s="198" t="s">
        <v>989</v>
      </c>
      <c r="E110" s="198" t="s">
        <v>2003</v>
      </c>
      <c r="F110" s="198" t="s">
        <v>2144</v>
      </c>
      <c r="G110" s="198"/>
      <c r="H110" s="198"/>
      <c r="I110" s="200">
        <v>1</v>
      </c>
      <c r="J110" s="198" t="s">
        <v>2145</v>
      </c>
      <c r="K110" s="200">
        <v>2001</v>
      </c>
      <c r="L110" s="198" t="s">
        <v>1308</v>
      </c>
      <c r="M110" s="198" t="s">
        <v>1120</v>
      </c>
      <c r="N110" s="198" t="s">
        <v>2183</v>
      </c>
      <c r="O110" s="198" t="s">
        <v>2184</v>
      </c>
      <c r="P110" s="198" t="s">
        <v>287</v>
      </c>
      <c r="Q110" s="198"/>
      <c r="R110" s="198"/>
      <c r="S110" s="201">
        <v>39755</v>
      </c>
      <c r="T110" s="201">
        <v>39755</v>
      </c>
      <c r="U110" s="198"/>
      <c r="V110" s="198">
        <v>300</v>
      </c>
      <c r="W110" s="198">
        <v>14040</v>
      </c>
      <c r="X110" s="202">
        <v>46500</v>
      </c>
      <c r="Y110" s="198">
        <v>14046</v>
      </c>
      <c r="Z110" s="202">
        <v>46500</v>
      </c>
      <c r="AA110" s="202">
        <v>0</v>
      </c>
      <c r="AB110" s="202">
        <v>0</v>
      </c>
      <c r="AC110" s="202">
        <v>0</v>
      </c>
      <c r="AD110" s="198">
        <v>51260</v>
      </c>
      <c r="AE110" s="202">
        <v>0</v>
      </c>
      <c r="AF110" s="202">
        <v>0</v>
      </c>
      <c r="AG110" s="202">
        <v>0</v>
      </c>
      <c r="AH110" s="198" t="s">
        <v>994</v>
      </c>
      <c r="AI110" s="198" t="s">
        <v>1050</v>
      </c>
      <c r="AJ110" s="198">
        <v>4026</v>
      </c>
      <c r="AK110" s="198" t="s">
        <v>2295</v>
      </c>
      <c r="AL110" s="198" t="s">
        <v>287</v>
      </c>
      <c r="AM110" s="198" t="s">
        <v>2297</v>
      </c>
      <c r="AN110" s="196">
        <f t="shared" si="40"/>
        <v>11</v>
      </c>
      <c r="AO110" s="196">
        <f t="shared" si="41"/>
        <v>2008</v>
      </c>
      <c r="AP110" s="195">
        <f t="shared" si="42"/>
        <v>2011</v>
      </c>
      <c r="AQ110" s="194">
        <f t="shared" si="43"/>
        <v>2011.9166666666667</v>
      </c>
      <c r="AR110" s="193">
        <f t="shared" si="44"/>
        <v>1291.6666666666667</v>
      </c>
      <c r="AS110" s="192">
        <f t="shared" si="45"/>
        <v>15500</v>
      </c>
      <c r="AT110" s="192">
        <f t="shared" si="46"/>
        <v>0</v>
      </c>
      <c r="AU110" s="192">
        <f t="shared" si="47"/>
        <v>46500</v>
      </c>
      <c r="AV110" s="192">
        <f t="shared" si="48"/>
        <v>46500</v>
      </c>
      <c r="AW110" s="191">
        <f t="shared" si="49"/>
        <v>0</v>
      </c>
      <c r="AX110" s="190" t="s">
        <v>72</v>
      </c>
      <c r="AY110" s="184"/>
    </row>
    <row r="111" spans="2:51">
      <c r="B111" s="198">
        <v>2183</v>
      </c>
      <c r="C111" s="199">
        <v>310649</v>
      </c>
      <c r="D111" s="198" t="s">
        <v>989</v>
      </c>
      <c r="E111" s="198" t="s">
        <v>2003</v>
      </c>
      <c r="F111" s="198" t="s">
        <v>2146</v>
      </c>
      <c r="G111" s="198"/>
      <c r="H111" s="198"/>
      <c r="I111" s="200">
        <v>1</v>
      </c>
      <c r="J111" s="198" t="s">
        <v>2147</v>
      </c>
      <c r="K111" s="200">
        <v>2000</v>
      </c>
      <c r="L111" s="198" t="s">
        <v>1308</v>
      </c>
      <c r="M111" s="198" t="s">
        <v>1120</v>
      </c>
      <c r="N111" s="198" t="s">
        <v>2183</v>
      </c>
      <c r="O111" s="198" t="s">
        <v>2184</v>
      </c>
      <c r="P111" s="198" t="s">
        <v>287</v>
      </c>
      <c r="Q111" s="198"/>
      <c r="R111" s="198"/>
      <c r="S111" s="201">
        <v>39755</v>
      </c>
      <c r="T111" s="201">
        <v>39755</v>
      </c>
      <c r="U111" s="198"/>
      <c r="V111" s="198">
        <v>300</v>
      </c>
      <c r="W111" s="198">
        <v>14040</v>
      </c>
      <c r="X111" s="202">
        <v>41500</v>
      </c>
      <c r="Y111" s="198">
        <v>14046</v>
      </c>
      <c r="Z111" s="202">
        <v>41500</v>
      </c>
      <c r="AA111" s="202">
        <v>0</v>
      </c>
      <c r="AB111" s="202">
        <v>0</v>
      </c>
      <c r="AC111" s="202">
        <v>0</v>
      </c>
      <c r="AD111" s="198">
        <v>51260</v>
      </c>
      <c r="AE111" s="202">
        <v>0</v>
      </c>
      <c r="AF111" s="202">
        <v>0</v>
      </c>
      <c r="AG111" s="202">
        <v>0</v>
      </c>
      <c r="AH111" s="198" t="s">
        <v>994</v>
      </c>
      <c r="AI111" s="198" t="s">
        <v>1050</v>
      </c>
      <c r="AJ111" s="198">
        <v>4021</v>
      </c>
      <c r="AK111" s="198" t="s">
        <v>2296</v>
      </c>
      <c r="AL111" s="198" t="s">
        <v>287</v>
      </c>
      <c r="AM111" s="198" t="s">
        <v>2297</v>
      </c>
      <c r="AN111" s="196">
        <f t="shared" si="40"/>
        <v>11</v>
      </c>
      <c r="AO111" s="196">
        <f t="shared" si="41"/>
        <v>2008</v>
      </c>
      <c r="AP111" s="195">
        <f t="shared" si="42"/>
        <v>2011</v>
      </c>
      <c r="AQ111" s="194">
        <f t="shared" si="43"/>
        <v>2011.9166666666667</v>
      </c>
      <c r="AR111" s="193">
        <f t="shared" si="44"/>
        <v>1152.7777777777778</v>
      </c>
      <c r="AS111" s="192">
        <f t="shared" si="45"/>
        <v>13833.333333333334</v>
      </c>
      <c r="AT111" s="192">
        <f t="shared" si="46"/>
        <v>0</v>
      </c>
      <c r="AU111" s="192">
        <f t="shared" si="47"/>
        <v>41500</v>
      </c>
      <c r="AV111" s="192">
        <f t="shared" si="48"/>
        <v>41500</v>
      </c>
      <c r="AW111" s="191">
        <f t="shared" si="49"/>
        <v>0</v>
      </c>
      <c r="AX111" s="190" t="s">
        <v>72</v>
      </c>
      <c r="AY111" s="184"/>
    </row>
    <row r="112" spans="2:51">
      <c r="B112" s="198">
        <v>2183</v>
      </c>
      <c r="C112" s="199">
        <v>310538</v>
      </c>
      <c r="D112" s="198" t="s">
        <v>989</v>
      </c>
      <c r="E112" s="198" t="s">
        <v>2003</v>
      </c>
      <c r="F112" s="198" t="s">
        <v>625</v>
      </c>
      <c r="G112" s="198"/>
      <c r="H112" s="198"/>
      <c r="I112" s="200">
        <v>8</v>
      </c>
      <c r="J112" s="198"/>
      <c r="K112" s="200">
        <v>0</v>
      </c>
      <c r="L112" s="198" t="s">
        <v>2106</v>
      </c>
      <c r="M112" s="198"/>
      <c r="N112" s="198" t="s">
        <v>2190</v>
      </c>
      <c r="O112" s="198" t="s">
        <v>2184</v>
      </c>
      <c r="P112" s="198"/>
      <c r="Q112" s="198" t="s">
        <v>2194</v>
      </c>
      <c r="R112" s="198" t="s">
        <v>2195</v>
      </c>
      <c r="S112" s="201">
        <v>45104</v>
      </c>
      <c r="T112" s="201">
        <v>45104</v>
      </c>
      <c r="U112" s="198" t="s">
        <v>2148</v>
      </c>
      <c r="V112" s="198">
        <v>1200</v>
      </c>
      <c r="W112" s="198">
        <v>14050</v>
      </c>
      <c r="X112" s="202">
        <v>12658.2</v>
      </c>
      <c r="Y112" s="198">
        <v>14056</v>
      </c>
      <c r="Z112" s="202">
        <v>879.03</v>
      </c>
      <c r="AA112" s="202">
        <v>0</v>
      </c>
      <c r="AB112" s="202">
        <v>11779.17</v>
      </c>
      <c r="AC112" s="202">
        <v>351.6</v>
      </c>
      <c r="AD112" s="198">
        <v>54260</v>
      </c>
      <c r="AE112" s="202">
        <v>87.9</v>
      </c>
      <c r="AF112" s="202">
        <v>0</v>
      </c>
      <c r="AG112" s="202">
        <v>87.9</v>
      </c>
      <c r="AH112" s="198" t="s">
        <v>989</v>
      </c>
      <c r="AI112" s="198"/>
      <c r="AJ112" s="198"/>
      <c r="AK112" s="198">
        <v>0</v>
      </c>
      <c r="AL112" s="198" t="s">
        <v>1854</v>
      </c>
      <c r="AM112" s="198" t="s">
        <v>2282</v>
      </c>
      <c r="AN112" s="196">
        <f t="shared" si="40"/>
        <v>6</v>
      </c>
      <c r="AO112" s="196">
        <f t="shared" si="41"/>
        <v>2023</v>
      </c>
      <c r="AP112" s="195">
        <f t="shared" si="42"/>
        <v>2035</v>
      </c>
      <c r="AQ112" s="194">
        <f t="shared" si="43"/>
        <v>2035.5</v>
      </c>
      <c r="AR112" s="193">
        <f t="shared" si="44"/>
        <v>87.904166666666683</v>
      </c>
      <c r="AS112" s="192">
        <f t="shared" si="45"/>
        <v>1054.8500000000001</v>
      </c>
      <c r="AT112" s="192">
        <f t="shared" si="46"/>
        <v>1054.8500000000001</v>
      </c>
      <c r="AU112" s="192">
        <f t="shared" si="47"/>
        <v>0</v>
      </c>
      <c r="AV112" s="192">
        <f t="shared" si="48"/>
        <v>1054.8500000000001</v>
      </c>
      <c r="AW112" s="191">
        <f t="shared" si="49"/>
        <v>11603.35</v>
      </c>
      <c r="AX112" s="190" t="s">
        <v>72</v>
      </c>
      <c r="AY112" s="184"/>
    </row>
    <row r="113" spans="2:51">
      <c r="B113" s="198">
        <v>2183</v>
      </c>
      <c r="C113" s="199">
        <v>310516</v>
      </c>
      <c r="D113" s="198" t="s">
        <v>989</v>
      </c>
      <c r="E113" s="198" t="s">
        <v>2003</v>
      </c>
      <c r="F113" s="198" t="s">
        <v>2149</v>
      </c>
      <c r="G113" s="198"/>
      <c r="H113" s="198"/>
      <c r="I113" s="200">
        <v>2</v>
      </c>
      <c r="J113" s="198"/>
      <c r="K113" s="200">
        <v>0</v>
      </c>
      <c r="L113" s="198" t="s">
        <v>2106</v>
      </c>
      <c r="M113" s="198"/>
      <c r="N113" s="198" t="s">
        <v>2190</v>
      </c>
      <c r="O113" s="198" t="s">
        <v>2184</v>
      </c>
      <c r="P113" s="198"/>
      <c r="Q113" s="198" t="s">
        <v>2191</v>
      </c>
      <c r="R113" s="198" t="s">
        <v>2192</v>
      </c>
      <c r="S113" s="201">
        <v>45078</v>
      </c>
      <c r="T113" s="201">
        <v>45078</v>
      </c>
      <c r="U113" s="198" t="s">
        <v>2122</v>
      </c>
      <c r="V113" s="198">
        <v>1200</v>
      </c>
      <c r="W113" s="198">
        <v>14050</v>
      </c>
      <c r="X113" s="202">
        <v>19960</v>
      </c>
      <c r="Y113" s="198">
        <v>14056</v>
      </c>
      <c r="Z113" s="202">
        <v>1524.71</v>
      </c>
      <c r="AA113" s="202">
        <v>0</v>
      </c>
      <c r="AB113" s="202">
        <v>18435.29</v>
      </c>
      <c r="AC113" s="202">
        <v>554.44000000000005</v>
      </c>
      <c r="AD113" s="198">
        <v>54260</v>
      </c>
      <c r="AE113" s="202">
        <v>138.61000000000001</v>
      </c>
      <c r="AF113" s="202">
        <v>0</v>
      </c>
      <c r="AG113" s="202">
        <v>138.61000000000001</v>
      </c>
      <c r="AH113" s="198" t="s">
        <v>989</v>
      </c>
      <c r="AI113" s="198"/>
      <c r="AJ113" s="198"/>
      <c r="AK113" s="198">
        <v>0</v>
      </c>
      <c r="AL113" s="198" t="s">
        <v>269</v>
      </c>
      <c r="AM113" s="198" t="s">
        <v>2282</v>
      </c>
      <c r="AN113" s="196">
        <f t="shared" si="40"/>
        <v>6</v>
      </c>
      <c r="AO113" s="196">
        <f t="shared" si="41"/>
        <v>2023</v>
      </c>
      <c r="AP113" s="195">
        <f t="shared" si="42"/>
        <v>2035</v>
      </c>
      <c r="AQ113" s="194">
        <f t="shared" si="43"/>
        <v>2035.5</v>
      </c>
      <c r="AR113" s="193">
        <f t="shared" si="44"/>
        <v>138.61111111111111</v>
      </c>
      <c r="AS113" s="192">
        <f t="shared" si="45"/>
        <v>1663.3333333333335</v>
      </c>
      <c r="AT113" s="192">
        <f t="shared" si="46"/>
        <v>1663.3333333333335</v>
      </c>
      <c r="AU113" s="192">
        <f t="shared" si="47"/>
        <v>0</v>
      </c>
      <c r="AV113" s="192">
        <f t="shared" si="48"/>
        <v>1663.3333333333335</v>
      </c>
      <c r="AW113" s="191">
        <f t="shared" si="49"/>
        <v>18296.666666666668</v>
      </c>
      <c r="AX113" s="190" t="s">
        <v>72</v>
      </c>
      <c r="AY113" s="184"/>
    </row>
    <row r="114" spans="2:51">
      <c r="B114" s="198">
        <v>2183</v>
      </c>
      <c r="C114" s="199">
        <v>310515</v>
      </c>
      <c r="D114" s="198" t="s">
        <v>989</v>
      </c>
      <c r="E114" s="198" t="s">
        <v>2003</v>
      </c>
      <c r="F114" s="198" t="s">
        <v>2150</v>
      </c>
      <c r="G114" s="198"/>
      <c r="H114" s="198"/>
      <c r="I114" s="200">
        <v>1</v>
      </c>
      <c r="J114" s="198"/>
      <c r="K114" s="200">
        <v>0</v>
      </c>
      <c r="L114" s="198" t="s">
        <v>2106</v>
      </c>
      <c r="M114" s="198"/>
      <c r="N114" s="198" t="s">
        <v>2190</v>
      </c>
      <c r="O114" s="198" t="s">
        <v>2184</v>
      </c>
      <c r="P114" s="198"/>
      <c r="Q114" s="198" t="s">
        <v>2191</v>
      </c>
      <c r="R114" s="198" t="s">
        <v>2192</v>
      </c>
      <c r="S114" s="201">
        <v>45078</v>
      </c>
      <c r="T114" s="201">
        <v>45078</v>
      </c>
      <c r="U114" s="198" t="s">
        <v>2122</v>
      </c>
      <c r="V114" s="198">
        <v>1200</v>
      </c>
      <c r="W114" s="198">
        <v>14050</v>
      </c>
      <c r="X114" s="202">
        <v>9980</v>
      </c>
      <c r="Y114" s="198">
        <v>14056</v>
      </c>
      <c r="Z114" s="202">
        <v>762.38</v>
      </c>
      <c r="AA114" s="202">
        <v>0</v>
      </c>
      <c r="AB114" s="202">
        <v>9217.6200000000008</v>
      </c>
      <c r="AC114" s="202">
        <v>277.24</v>
      </c>
      <c r="AD114" s="198">
        <v>54260</v>
      </c>
      <c r="AE114" s="202">
        <v>69.31</v>
      </c>
      <c r="AF114" s="202">
        <v>0</v>
      </c>
      <c r="AG114" s="202">
        <v>69.31</v>
      </c>
      <c r="AH114" s="198" t="s">
        <v>989</v>
      </c>
      <c r="AI114" s="198"/>
      <c r="AJ114" s="198"/>
      <c r="AK114" s="198">
        <v>0</v>
      </c>
      <c r="AL114" s="198" t="s">
        <v>269</v>
      </c>
      <c r="AM114" s="198" t="s">
        <v>2282</v>
      </c>
      <c r="AN114" s="196">
        <f t="shared" si="40"/>
        <v>6</v>
      </c>
      <c r="AO114" s="196">
        <f t="shared" si="41"/>
        <v>2023</v>
      </c>
      <c r="AP114" s="195">
        <f t="shared" si="42"/>
        <v>2035</v>
      </c>
      <c r="AQ114" s="194">
        <f t="shared" si="43"/>
        <v>2035.5</v>
      </c>
      <c r="AR114" s="193">
        <f t="shared" si="44"/>
        <v>69.305555555555557</v>
      </c>
      <c r="AS114" s="192">
        <f t="shared" si="45"/>
        <v>831.66666666666674</v>
      </c>
      <c r="AT114" s="192">
        <f t="shared" si="46"/>
        <v>831.66666666666674</v>
      </c>
      <c r="AU114" s="192">
        <f t="shared" si="47"/>
        <v>0</v>
      </c>
      <c r="AV114" s="192">
        <f t="shared" si="48"/>
        <v>831.66666666666674</v>
      </c>
      <c r="AW114" s="191">
        <f t="shared" si="49"/>
        <v>9148.3333333333339</v>
      </c>
      <c r="AX114" s="190" t="s">
        <v>72</v>
      </c>
      <c r="AY114" s="184"/>
    </row>
    <row r="115" spans="2:51">
      <c r="B115" s="198">
        <v>2183</v>
      </c>
      <c r="C115" s="199">
        <v>310513</v>
      </c>
      <c r="D115" s="198" t="s">
        <v>989</v>
      </c>
      <c r="E115" s="198" t="s">
        <v>2003</v>
      </c>
      <c r="F115" s="198" t="s">
        <v>2150</v>
      </c>
      <c r="G115" s="198"/>
      <c r="H115" s="198"/>
      <c r="I115" s="200">
        <v>2</v>
      </c>
      <c r="J115" s="198"/>
      <c r="K115" s="200">
        <v>0</v>
      </c>
      <c r="L115" s="198" t="s">
        <v>2106</v>
      </c>
      <c r="M115" s="198"/>
      <c r="N115" s="198" t="s">
        <v>2190</v>
      </c>
      <c r="O115" s="198" t="s">
        <v>2184</v>
      </c>
      <c r="P115" s="198"/>
      <c r="Q115" s="198" t="s">
        <v>2191</v>
      </c>
      <c r="R115" s="198" t="s">
        <v>2192</v>
      </c>
      <c r="S115" s="201">
        <v>45078</v>
      </c>
      <c r="T115" s="201">
        <v>45078</v>
      </c>
      <c r="U115" s="198" t="s">
        <v>2122</v>
      </c>
      <c r="V115" s="198">
        <v>1200</v>
      </c>
      <c r="W115" s="198">
        <v>14050</v>
      </c>
      <c r="X115" s="202">
        <v>19960</v>
      </c>
      <c r="Y115" s="198">
        <v>14056</v>
      </c>
      <c r="Z115" s="202">
        <v>1524.71</v>
      </c>
      <c r="AA115" s="202">
        <v>0</v>
      </c>
      <c r="AB115" s="202">
        <v>18435.29</v>
      </c>
      <c r="AC115" s="202">
        <v>554.44000000000005</v>
      </c>
      <c r="AD115" s="198">
        <v>54260</v>
      </c>
      <c r="AE115" s="202">
        <v>138.61000000000001</v>
      </c>
      <c r="AF115" s="202">
        <v>0</v>
      </c>
      <c r="AG115" s="202">
        <v>138.61000000000001</v>
      </c>
      <c r="AH115" s="198" t="s">
        <v>989</v>
      </c>
      <c r="AI115" s="198"/>
      <c r="AJ115" s="198"/>
      <c r="AK115" s="198">
        <v>0</v>
      </c>
      <c r="AL115" s="198" t="s">
        <v>269</v>
      </c>
      <c r="AM115" s="198" t="s">
        <v>2282</v>
      </c>
      <c r="AN115" s="196">
        <f t="shared" si="40"/>
        <v>6</v>
      </c>
      <c r="AO115" s="196">
        <f t="shared" si="41"/>
        <v>2023</v>
      </c>
      <c r="AP115" s="195">
        <f t="shared" si="42"/>
        <v>2035</v>
      </c>
      <c r="AQ115" s="194">
        <f t="shared" si="43"/>
        <v>2035.5</v>
      </c>
      <c r="AR115" s="193">
        <f t="shared" si="44"/>
        <v>138.61111111111111</v>
      </c>
      <c r="AS115" s="192">
        <f t="shared" si="45"/>
        <v>1663.3333333333335</v>
      </c>
      <c r="AT115" s="192">
        <f t="shared" si="46"/>
        <v>1663.3333333333335</v>
      </c>
      <c r="AU115" s="192">
        <f t="shared" si="47"/>
        <v>0</v>
      </c>
      <c r="AV115" s="192">
        <f t="shared" si="48"/>
        <v>1663.3333333333335</v>
      </c>
      <c r="AW115" s="191">
        <f t="shared" si="49"/>
        <v>18296.666666666668</v>
      </c>
      <c r="AX115" s="190" t="s">
        <v>72</v>
      </c>
      <c r="AY115" s="184"/>
    </row>
    <row r="116" spans="2:51">
      <c r="B116" s="198">
        <v>2183</v>
      </c>
      <c r="C116" s="199">
        <v>310502</v>
      </c>
      <c r="D116" s="198" t="s">
        <v>989</v>
      </c>
      <c r="E116" s="198" t="s">
        <v>2003</v>
      </c>
      <c r="F116" s="198" t="s">
        <v>2151</v>
      </c>
      <c r="G116" s="198"/>
      <c r="H116" s="198"/>
      <c r="I116" s="200">
        <v>702</v>
      </c>
      <c r="J116" s="198"/>
      <c r="K116" s="200">
        <v>0</v>
      </c>
      <c r="L116" s="198" t="s">
        <v>2044</v>
      </c>
      <c r="M116" s="198"/>
      <c r="N116" s="198" t="s">
        <v>2190</v>
      </c>
      <c r="O116" s="198" t="s">
        <v>2184</v>
      </c>
      <c r="P116" s="198"/>
      <c r="Q116" s="198"/>
      <c r="R116" s="198"/>
      <c r="S116" s="201">
        <v>45110</v>
      </c>
      <c r="T116" s="201">
        <v>45110</v>
      </c>
      <c r="U116" s="198" t="s">
        <v>2152</v>
      </c>
      <c r="V116" s="198">
        <v>700</v>
      </c>
      <c r="W116" s="198">
        <v>14050</v>
      </c>
      <c r="X116" s="202">
        <v>44537.9</v>
      </c>
      <c r="Y116" s="198">
        <v>14056</v>
      </c>
      <c r="Z116" s="202">
        <v>5302.12</v>
      </c>
      <c r="AA116" s="202">
        <v>0</v>
      </c>
      <c r="AB116" s="202">
        <v>39235.78</v>
      </c>
      <c r="AC116" s="202">
        <v>2120.84</v>
      </c>
      <c r="AD116" s="198">
        <v>54260</v>
      </c>
      <c r="AE116" s="202">
        <v>530.21</v>
      </c>
      <c r="AF116" s="202">
        <v>0</v>
      </c>
      <c r="AG116" s="202">
        <v>530.21</v>
      </c>
      <c r="AH116" s="198" t="s">
        <v>989</v>
      </c>
      <c r="AI116" s="198"/>
      <c r="AJ116" s="198"/>
      <c r="AK116" s="198">
        <v>0</v>
      </c>
      <c r="AL116" s="198" t="s">
        <v>2301</v>
      </c>
      <c r="AM116" s="198" t="s">
        <v>933</v>
      </c>
      <c r="AN116" s="196">
        <f t="shared" si="40"/>
        <v>7</v>
      </c>
      <c r="AO116" s="196">
        <f t="shared" si="41"/>
        <v>2023</v>
      </c>
      <c r="AP116" s="195">
        <f t="shared" si="42"/>
        <v>2030</v>
      </c>
      <c r="AQ116" s="194">
        <f t="shared" si="43"/>
        <v>2030.5833333333333</v>
      </c>
      <c r="AR116" s="193">
        <f t="shared" si="44"/>
        <v>530.21309523809521</v>
      </c>
      <c r="AS116" s="192">
        <f t="shared" si="45"/>
        <v>6362.557142857142</v>
      </c>
      <c r="AT116" s="192">
        <f t="shared" si="46"/>
        <v>6362.557142857142</v>
      </c>
      <c r="AU116" s="192">
        <f t="shared" si="47"/>
        <v>0</v>
      </c>
      <c r="AV116" s="192">
        <f t="shared" si="48"/>
        <v>6362.557142857142</v>
      </c>
      <c r="AW116" s="191">
        <f t="shared" si="49"/>
        <v>38175.342857142859</v>
      </c>
      <c r="AX116" s="190" t="s">
        <v>72</v>
      </c>
      <c r="AY116" s="184"/>
    </row>
    <row r="117" spans="2:51">
      <c r="B117" s="198">
        <v>2183</v>
      </c>
      <c r="C117" s="199">
        <v>310501</v>
      </c>
      <c r="D117" s="198" t="s">
        <v>989</v>
      </c>
      <c r="E117" s="198" t="s">
        <v>2003</v>
      </c>
      <c r="F117" s="198" t="s">
        <v>2153</v>
      </c>
      <c r="G117" s="198"/>
      <c r="H117" s="198"/>
      <c r="I117" s="200">
        <v>702</v>
      </c>
      <c r="J117" s="198"/>
      <c r="K117" s="200">
        <v>0</v>
      </c>
      <c r="L117" s="198" t="s">
        <v>2044</v>
      </c>
      <c r="M117" s="198"/>
      <c r="N117" s="198" t="s">
        <v>2190</v>
      </c>
      <c r="O117" s="198" t="s">
        <v>2184</v>
      </c>
      <c r="P117" s="198"/>
      <c r="Q117" s="198"/>
      <c r="R117" s="198"/>
      <c r="S117" s="201">
        <v>45110</v>
      </c>
      <c r="T117" s="201">
        <v>45110</v>
      </c>
      <c r="U117" s="198" t="s">
        <v>2154</v>
      </c>
      <c r="V117" s="198">
        <v>700</v>
      </c>
      <c r="W117" s="198">
        <v>14050</v>
      </c>
      <c r="X117" s="202">
        <v>44537.9</v>
      </c>
      <c r="Y117" s="198">
        <v>14056</v>
      </c>
      <c r="Z117" s="202">
        <v>5302.12</v>
      </c>
      <c r="AA117" s="202">
        <v>0</v>
      </c>
      <c r="AB117" s="202">
        <v>39235.78</v>
      </c>
      <c r="AC117" s="202">
        <v>2120.84</v>
      </c>
      <c r="AD117" s="198">
        <v>54260</v>
      </c>
      <c r="AE117" s="202">
        <v>530.21</v>
      </c>
      <c r="AF117" s="202">
        <v>0</v>
      </c>
      <c r="AG117" s="202">
        <v>530.21</v>
      </c>
      <c r="AH117" s="198" t="s">
        <v>989</v>
      </c>
      <c r="AI117" s="198"/>
      <c r="AJ117" s="198"/>
      <c r="AK117" s="198">
        <v>0</v>
      </c>
      <c r="AL117" s="198" t="s">
        <v>424</v>
      </c>
      <c r="AM117" s="198" t="s">
        <v>424</v>
      </c>
      <c r="AN117" s="196">
        <f t="shared" si="40"/>
        <v>7</v>
      </c>
      <c r="AO117" s="196">
        <f t="shared" si="41"/>
        <v>2023</v>
      </c>
      <c r="AP117" s="195">
        <f t="shared" si="42"/>
        <v>2030</v>
      </c>
      <c r="AQ117" s="194">
        <f t="shared" si="43"/>
        <v>2030.5833333333333</v>
      </c>
      <c r="AR117" s="193">
        <f t="shared" si="44"/>
        <v>530.21309523809521</v>
      </c>
      <c r="AS117" s="192">
        <f t="shared" si="45"/>
        <v>6362.557142857142</v>
      </c>
      <c r="AT117" s="192">
        <f t="shared" si="46"/>
        <v>6362.557142857142</v>
      </c>
      <c r="AU117" s="192">
        <f t="shared" si="47"/>
        <v>0</v>
      </c>
      <c r="AV117" s="192">
        <f t="shared" si="48"/>
        <v>6362.557142857142</v>
      </c>
      <c r="AW117" s="191">
        <f t="shared" si="49"/>
        <v>38175.342857142859</v>
      </c>
      <c r="AX117" s="190" t="s">
        <v>72</v>
      </c>
      <c r="AY117" s="184"/>
    </row>
    <row r="118" spans="2:51">
      <c r="B118" s="198">
        <v>2183</v>
      </c>
      <c r="C118" s="199">
        <v>310500</v>
      </c>
      <c r="D118" s="198" t="s">
        <v>989</v>
      </c>
      <c r="E118" s="198" t="s">
        <v>2003</v>
      </c>
      <c r="F118" s="198" t="s">
        <v>2155</v>
      </c>
      <c r="G118" s="198"/>
      <c r="H118" s="198"/>
      <c r="I118" s="200">
        <v>702</v>
      </c>
      <c r="J118" s="198"/>
      <c r="K118" s="200">
        <v>0</v>
      </c>
      <c r="L118" s="198" t="s">
        <v>2044</v>
      </c>
      <c r="M118" s="198"/>
      <c r="N118" s="198" t="s">
        <v>2190</v>
      </c>
      <c r="O118" s="198" t="s">
        <v>2184</v>
      </c>
      <c r="P118" s="198"/>
      <c r="Q118" s="198"/>
      <c r="R118" s="198"/>
      <c r="S118" s="201">
        <v>45076</v>
      </c>
      <c r="T118" s="201">
        <v>45076</v>
      </c>
      <c r="U118" s="198" t="s">
        <v>2156</v>
      </c>
      <c r="V118" s="198">
        <v>700</v>
      </c>
      <c r="W118" s="198">
        <v>14050</v>
      </c>
      <c r="X118" s="202">
        <v>43415.61</v>
      </c>
      <c r="Y118" s="198">
        <v>14056</v>
      </c>
      <c r="Z118" s="202">
        <v>5685.37</v>
      </c>
      <c r="AA118" s="202">
        <v>0</v>
      </c>
      <c r="AB118" s="202">
        <v>37730.239999999998</v>
      </c>
      <c r="AC118" s="202">
        <v>2067.4</v>
      </c>
      <c r="AD118" s="198">
        <v>54260</v>
      </c>
      <c r="AE118" s="202">
        <v>516.85</v>
      </c>
      <c r="AF118" s="202">
        <v>0</v>
      </c>
      <c r="AG118" s="202">
        <v>516.85</v>
      </c>
      <c r="AH118" s="198" t="s">
        <v>989</v>
      </c>
      <c r="AI118" s="198"/>
      <c r="AJ118" s="198"/>
      <c r="AK118" s="198">
        <v>0</v>
      </c>
      <c r="AL118" s="198" t="s">
        <v>2301</v>
      </c>
      <c r="AM118" s="198" t="s">
        <v>933</v>
      </c>
      <c r="AN118" s="196">
        <f t="shared" si="40"/>
        <v>5</v>
      </c>
      <c r="AO118" s="196">
        <f t="shared" si="41"/>
        <v>2023</v>
      </c>
      <c r="AP118" s="195">
        <f t="shared" si="42"/>
        <v>2030</v>
      </c>
      <c r="AQ118" s="194">
        <f t="shared" si="43"/>
        <v>2030.4166666666667</v>
      </c>
      <c r="AR118" s="193">
        <f t="shared" si="44"/>
        <v>516.85250000000008</v>
      </c>
      <c r="AS118" s="192">
        <f t="shared" si="45"/>
        <v>6202.2300000000014</v>
      </c>
      <c r="AT118" s="192">
        <f t="shared" si="46"/>
        <v>6202.2300000000014</v>
      </c>
      <c r="AU118" s="192">
        <f t="shared" si="47"/>
        <v>0</v>
      </c>
      <c r="AV118" s="192">
        <f t="shared" si="48"/>
        <v>6202.2300000000014</v>
      </c>
      <c r="AW118" s="191">
        <f t="shared" si="49"/>
        <v>37213.379999999997</v>
      </c>
      <c r="AX118" s="190" t="s">
        <v>72</v>
      </c>
      <c r="AY118" s="184"/>
    </row>
    <row r="119" spans="2:51">
      <c r="B119" s="198">
        <v>2183</v>
      </c>
      <c r="C119" s="199">
        <v>310488</v>
      </c>
      <c r="D119" s="198" t="s">
        <v>989</v>
      </c>
      <c r="E119" s="198" t="s">
        <v>2003</v>
      </c>
      <c r="F119" s="198" t="s">
        <v>1491</v>
      </c>
      <c r="G119" s="198"/>
      <c r="H119" s="198"/>
      <c r="I119" s="200">
        <v>10</v>
      </c>
      <c r="J119" s="198"/>
      <c r="K119" s="200">
        <v>0</v>
      </c>
      <c r="L119" s="198" t="s">
        <v>2106</v>
      </c>
      <c r="M119" s="198"/>
      <c r="N119" s="198" t="s">
        <v>2190</v>
      </c>
      <c r="O119" s="198" t="s">
        <v>2184</v>
      </c>
      <c r="P119" s="198"/>
      <c r="Q119" s="198" t="s">
        <v>2208</v>
      </c>
      <c r="R119" s="198" t="s">
        <v>2195</v>
      </c>
      <c r="S119" s="201">
        <v>45077</v>
      </c>
      <c r="T119" s="201">
        <v>45077</v>
      </c>
      <c r="U119" s="198" t="s">
        <v>2157</v>
      </c>
      <c r="V119" s="198">
        <v>1200</v>
      </c>
      <c r="W119" s="198">
        <v>14050</v>
      </c>
      <c r="X119" s="202">
        <v>8705.25</v>
      </c>
      <c r="Y119" s="198">
        <v>14056</v>
      </c>
      <c r="Z119" s="202">
        <v>664.97</v>
      </c>
      <c r="AA119" s="202">
        <v>0</v>
      </c>
      <c r="AB119" s="202">
        <v>8040.28</v>
      </c>
      <c r="AC119" s="202">
        <v>241.8</v>
      </c>
      <c r="AD119" s="198">
        <v>54260</v>
      </c>
      <c r="AE119" s="202">
        <v>60.45</v>
      </c>
      <c r="AF119" s="202">
        <v>0</v>
      </c>
      <c r="AG119" s="202">
        <v>60.45</v>
      </c>
      <c r="AH119" s="198" t="s">
        <v>989</v>
      </c>
      <c r="AI119" s="198"/>
      <c r="AJ119" s="198"/>
      <c r="AK119" s="198">
        <v>0</v>
      </c>
      <c r="AL119" s="198" t="s">
        <v>1854</v>
      </c>
      <c r="AM119" s="198" t="s">
        <v>2282</v>
      </c>
      <c r="AN119" s="196">
        <f t="shared" si="40"/>
        <v>5</v>
      </c>
      <c r="AO119" s="196">
        <f t="shared" si="41"/>
        <v>2023</v>
      </c>
      <c r="AP119" s="195">
        <f t="shared" si="42"/>
        <v>2035</v>
      </c>
      <c r="AQ119" s="194">
        <f t="shared" si="43"/>
        <v>2035.4166666666667</v>
      </c>
      <c r="AR119" s="193">
        <f t="shared" si="44"/>
        <v>60.453125</v>
      </c>
      <c r="AS119" s="192">
        <f t="shared" si="45"/>
        <v>725.4375</v>
      </c>
      <c r="AT119" s="192">
        <f t="shared" si="46"/>
        <v>725.4375</v>
      </c>
      <c r="AU119" s="192">
        <f t="shared" si="47"/>
        <v>0</v>
      </c>
      <c r="AV119" s="192">
        <f t="shared" si="48"/>
        <v>725.4375</v>
      </c>
      <c r="AW119" s="191">
        <f t="shared" si="49"/>
        <v>7979.8125</v>
      </c>
      <c r="AX119" s="190" t="s">
        <v>72</v>
      </c>
      <c r="AY119" s="184"/>
    </row>
    <row r="120" spans="2:51">
      <c r="B120" s="198">
        <v>2183</v>
      </c>
      <c r="C120" s="199">
        <v>309087</v>
      </c>
      <c r="D120" s="198" t="s">
        <v>989</v>
      </c>
      <c r="E120" s="198" t="s">
        <v>2003</v>
      </c>
      <c r="F120" s="198" t="s">
        <v>2158</v>
      </c>
      <c r="G120" s="198"/>
      <c r="H120" s="198"/>
      <c r="I120" s="200">
        <v>1</v>
      </c>
      <c r="J120" s="198" t="s">
        <v>2159</v>
      </c>
      <c r="K120" s="200">
        <v>2009</v>
      </c>
      <c r="L120" s="198" t="s">
        <v>1847</v>
      </c>
      <c r="M120" s="198"/>
      <c r="N120" s="198" t="s">
        <v>2183</v>
      </c>
      <c r="O120" s="198" t="s">
        <v>2184</v>
      </c>
      <c r="P120" s="198" t="s">
        <v>2185</v>
      </c>
      <c r="Q120" s="198"/>
      <c r="R120" s="198"/>
      <c r="S120" s="201">
        <v>42219</v>
      </c>
      <c r="T120" s="201">
        <v>42219</v>
      </c>
      <c r="U120" s="198" t="s">
        <v>2160</v>
      </c>
      <c r="V120" s="198">
        <v>300</v>
      </c>
      <c r="W120" s="198">
        <v>14040</v>
      </c>
      <c r="X120" s="202">
        <v>23345.11</v>
      </c>
      <c r="Y120" s="198">
        <v>14046</v>
      </c>
      <c r="Z120" s="202">
        <v>23345.11</v>
      </c>
      <c r="AA120" s="202">
        <v>0</v>
      </c>
      <c r="AB120" s="202">
        <v>0</v>
      </c>
      <c r="AC120" s="202">
        <v>0</v>
      </c>
      <c r="AD120" s="198">
        <v>51260</v>
      </c>
      <c r="AE120" s="202">
        <v>0</v>
      </c>
      <c r="AF120" s="202">
        <v>0</v>
      </c>
      <c r="AG120" s="202">
        <v>0</v>
      </c>
      <c r="AH120" s="198" t="s">
        <v>989</v>
      </c>
      <c r="AI120" s="198"/>
      <c r="AJ120" s="198">
        <v>6053</v>
      </c>
      <c r="AK120" s="198">
        <v>6053</v>
      </c>
      <c r="AL120" s="198" t="s">
        <v>274</v>
      </c>
      <c r="AM120" s="198" t="s">
        <v>932</v>
      </c>
      <c r="AN120" s="196">
        <f t="shared" si="40"/>
        <v>8</v>
      </c>
      <c r="AO120" s="196">
        <f t="shared" si="41"/>
        <v>2015</v>
      </c>
      <c r="AP120" s="195">
        <f t="shared" si="42"/>
        <v>2018</v>
      </c>
      <c r="AQ120" s="194">
        <f t="shared" si="43"/>
        <v>2018.6666666666667</v>
      </c>
      <c r="AR120" s="193">
        <f t="shared" si="44"/>
        <v>648.47527777777782</v>
      </c>
      <c r="AS120" s="192">
        <f t="shared" si="45"/>
        <v>7781.7033333333338</v>
      </c>
      <c r="AT120" s="192">
        <f t="shared" si="46"/>
        <v>0</v>
      </c>
      <c r="AU120" s="192">
        <f t="shared" si="47"/>
        <v>23345.11</v>
      </c>
      <c r="AV120" s="192">
        <f t="shared" si="48"/>
        <v>23345.11</v>
      </c>
      <c r="AW120" s="191">
        <f t="shared" si="49"/>
        <v>0</v>
      </c>
      <c r="AX120" s="190" t="s">
        <v>72</v>
      </c>
      <c r="AY120" s="184"/>
    </row>
    <row r="121" spans="2:51">
      <c r="B121" s="198">
        <v>2183</v>
      </c>
      <c r="C121" s="199">
        <v>309051</v>
      </c>
      <c r="D121" s="198" t="s">
        <v>989</v>
      </c>
      <c r="E121" s="198" t="s">
        <v>2003</v>
      </c>
      <c r="F121" s="198" t="s">
        <v>2161</v>
      </c>
      <c r="G121" s="198"/>
      <c r="H121" s="198"/>
      <c r="I121" s="200">
        <v>702</v>
      </c>
      <c r="J121" s="198"/>
      <c r="K121" s="200">
        <v>0</v>
      </c>
      <c r="L121" s="198" t="s">
        <v>2044</v>
      </c>
      <c r="M121" s="198"/>
      <c r="N121" s="198" t="s">
        <v>2190</v>
      </c>
      <c r="O121" s="198" t="s">
        <v>2184</v>
      </c>
      <c r="P121" s="198"/>
      <c r="Q121" s="198"/>
      <c r="R121" s="198"/>
      <c r="S121" s="201">
        <v>45054</v>
      </c>
      <c r="T121" s="201">
        <v>45054</v>
      </c>
      <c r="U121" s="198" t="s">
        <v>2156</v>
      </c>
      <c r="V121" s="198">
        <v>700</v>
      </c>
      <c r="W121" s="198">
        <v>14050</v>
      </c>
      <c r="X121" s="202">
        <v>43415.61</v>
      </c>
      <c r="Y121" s="198">
        <v>14056</v>
      </c>
      <c r="Z121" s="202">
        <v>6202.22</v>
      </c>
      <c r="AA121" s="202">
        <v>0</v>
      </c>
      <c r="AB121" s="202">
        <v>37213.39</v>
      </c>
      <c r="AC121" s="202">
        <v>2067.4</v>
      </c>
      <c r="AD121" s="198">
        <v>54260</v>
      </c>
      <c r="AE121" s="202">
        <v>516.85</v>
      </c>
      <c r="AF121" s="202">
        <v>0</v>
      </c>
      <c r="AG121" s="202">
        <v>516.85</v>
      </c>
      <c r="AH121" s="198" t="s">
        <v>989</v>
      </c>
      <c r="AI121" s="198"/>
      <c r="AJ121" s="198"/>
      <c r="AK121" s="198">
        <v>0</v>
      </c>
      <c r="AL121" s="198" t="s">
        <v>423</v>
      </c>
      <c r="AM121" s="198" t="s">
        <v>929</v>
      </c>
      <c r="AN121" s="196">
        <f t="shared" si="40"/>
        <v>5</v>
      </c>
      <c r="AO121" s="196">
        <f t="shared" si="41"/>
        <v>2023</v>
      </c>
      <c r="AP121" s="195">
        <f t="shared" si="42"/>
        <v>2030</v>
      </c>
      <c r="AQ121" s="194">
        <f t="shared" si="43"/>
        <v>2030.4166666666667</v>
      </c>
      <c r="AR121" s="193">
        <f t="shared" si="44"/>
        <v>516.85250000000008</v>
      </c>
      <c r="AS121" s="192">
        <f t="shared" si="45"/>
        <v>6202.2300000000014</v>
      </c>
      <c r="AT121" s="192">
        <f t="shared" si="46"/>
        <v>6202.2300000000014</v>
      </c>
      <c r="AU121" s="192">
        <f t="shared" si="47"/>
        <v>0</v>
      </c>
      <c r="AV121" s="192">
        <f t="shared" si="48"/>
        <v>6202.2300000000014</v>
      </c>
      <c r="AW121" s="191">
        <f t="shared" si="49"/>
        <v>37213.379999999997</v>
      </c>
      <c r="AX121" s="190" t="s">
        <v>72</v>
      </c>
      <c r="AY121" s="184"/>
    </row>
    <row r="122" spans="2:51">
      <c r="B122" s="198">
        <v>2183</v>
      </c>
      <c r="C122" s="199">
        <v>309050</v>
      </c>
      <c r="D122" s="198" t="s">
        <v>989</v>
      </c>
      <c r="E122" s="198" t="s">
        <v>2003</v>
      </c>
      <c r="F122" s="198" t="s">
        <v>1581</v>
      </c>
      <c r="G122" s="198"/>
      <c r="H122" s="198"/>
      <c r="I122" s="200">
        <v>702</v>
      </c>
      <c r="J122" s="198"/>
      <c r="K122" s="200">
        <v>0</v>
      </c>
      <c r="L122" s="198" t="s">
        <v>2044</v>
      </c>
      <c r="M122" s="198"/>
      <c r="N122" s="198" t="s">
        <v>2190</v>
      </c>
      <c r="O122" s="198" t="s">
        <v>2184</v>
      </c>
      <c r="P122" s="198"/>
      <c r="Q122" s="198"/>
      <c r="R122" s="198"/>
      <c r="S122" s="201">
        <v>45054</v>
      </c>
      <c r="T122" s="201">
        <v>45054</v>
      </c>
      <c r="U122" s="198" t="s">
        <v>2156</v>
      </c>
      <c r="V122" s="198">
        <v>700</v>
      </c>
      <c r="W122" s="198">
        <v>14050</v>
      </c>
      <c r="X122" s="202">
        <v>43415.61</v>
      </c>
      <c r="Y122" s="198">
        <v>14056</v>
      </c>
      <c r="Z122" s="202">
        <v>6202.22</v>
      </c>
      <c r="AA122" s="202">
        <v>0</v>
      </c>
      <c r="AB122" s="202">
        <v>37213.39</v>
      </c>
      <c r="AC122" s="202">
        <v>2067.4</v>
      </c>
      <c r="AD122" s="198">
        <v>54260</v>
      </c>
      <c r="AE122" s="202">
        <v>516.85</v>
      </c>
      <c r="AF122" s="202">
        <v>0</v>
      </c>
      <c r="AG122" s="202">
        <v>516.85</v>
      </c>
      <c r="AH122" s="198" t="s">
        <v>989</v>
      </c>
      <c r="AI122" s="198"/>
      <c r="AJ122" s="198"/>
      <c r="AK122" s="198">
        <v>0</v>
      </c>
      <c r="AL122" s="198" t="s">
        <v>424</v>
      </c>
      <c r="AM122" s="198" t="s">
        <v>424</v>
      </c>
      <c r="AN122" s="196">
        <f t="shared" si="40"/>
        <v>5</v>
      </c>
      <c r="AO122" s="196">
        <f t="shared" si="41"/>
        <v>2023</v>
      </c>
      <c r="AP122" s="195">
        <f t="shared" si="42"/>
        <v>2030</v>
      </c>
      <c r="AQ122" s="194">
        <f t="shared" si="43"/>
        <v>2030.4166666666667</v>
      </c>
      <c r="AR122" s="193">
        <f t="shared" si="44"/>
        <v>516.85250000000008</v>
      </c>
      <c r="AS122" s="192">
        <f t="shared" si="45"/>
        <v>6202.2300000000014</v>
      </c>
      <c r="AT122" s="192">
        <f t="shared" si="46"/>
        <v>6202.2300000000014</v>
      </c>
      <c r="AU122" s="192">
        <f t="shared" si="47"/>
        <v>0</v>
      </c>
      <c r="AV122" s="192">
        <f t="shared" si="48"/>
        <v>6202.2300000000014</v>
      </c>
      <c r="AW122" s="191">
        <f t="shared" si="49"/>
        <v>37213.379999999997</v>
      </c>
      <c r="AX122" s="190" t="s">
        <v>72</v>
      </c>
      <c r="AY122" s="184"/>
    </row>
    <row r="123" spans="2:51">
      <c r="B123" s="198">
        <v>2183</v>
      </c>
      <c r="C123" s="199">
        <v>309043</v>
      </c>
      <c r="D123" s="198" t="s">
        <v>989</v>
      </c>
      <c r="E123" s="198" t="s">
        <v>2003</v>
      </c>
      <c r="F123" s="198" t="s">
        <v>2162</v>
      </c>
      <c r="G123" s="198"/>
      <c r="H123" s="198"/>
      <c r="I123" s="200">
        <v>936</v>
      </c>
      <c r="J123" s="198"/>
      <c r="K123" s="200">
        <v>0</v>
      </c>
      <c r="L123" s="198" t="s">
        <v>2044</v>
      </c>
      <c r="M123" s="198"/>
      <c r="N123" s="198" t="s">
        <v>2190</v>
      </c>
      <c r="O123" s="198" t="s">
        <v>2184</v>
      </c>
      <c r="P123" s="198"/>
      <c r="Q123" s="198"/>
      <c r="R123" s="198"/>
      <c r="S123" s="201">
        <v>45054</v>
      </c>
      <c r="T123" s="201">
        <v>45054</v>
      </c>
      <c r="U123" s="198" t="s">
        <v>2156</v>
      </c>
      <c r="V123" s="198">
        <v>700</v>
      </c>
      <c r="W123" s="198">
        <v>14050</v>
      </c>
      <c r="X123" s="202">
        <v>51471.49</v>
      </c>
      <c r="Y123" s="198">
        <v>14056</v>
      </c>
      <c r="Z123" s="202">
        <v>7353.09</v>
      </c>
      <c r="AA123" s="202">
        <v>0</v>
      </c>
      <c r="AB123" s="202">
        <v>44118.399999999994</v>
      </c>
      <c r="AC123" s="202">
        <v>2451.04</v>
      </c>
      <c r="AD123" s="198">
        <v>54260</v>
      </c>
      <c r="AE123" s="202">
        <v>612.76</v>
      </c>
      <c r="AF123" s="202">
        <v>0</v>
      </c>
      <c r="AG123" s="202">
        <v>612.76</v>
      </c>
      <c r="AH123" s="198" t="s">
        <v>989</v>
      </c>
      <c r="AI123" s="198"/>
      <c r="AJ123" s="198"/>
      <c r="AK123" s="198">
        <v>0</v>
      </c>
      <c r="AL123" s="198" t="s">
        <v>423</v>
      </c>
      <c r="AM123" s="198" t="s">
        <v>929</v>
      </c>
      <c r="AN123" s="196">
        <f t="shared" si="40"/>
        <v>5</v>
      </c>
      <c r="AO123" s="196">
        <f t="shared" si="41"/>
        <v>2023</v>
      </c>
      <c r="AP123" s="195">
        <f t="shared" si="42"/>
        <v>2030</v>
      </c>
      <c r="AQ123" s="194">
        <f t="shared" si="43"/>
        <v>2030.4166666666667</v>
      </c>
      <c r="AR123" s="193">
        <f t="shared" si="44"/>
        <v>612.75583333333327</v>
      </c>
      <c r="AS123" s="192">
        <f t="shared" si="45"/>
        <v>7353.07</v>
      </c>
      <c r="AT123" s="192">
        <f t="shared" si="46"/>
        <v>7353.07</v>
      </c>
      <c r="AU123" s="192">
        <f t="shared" si="47"/>
        <v>0</v>
      </c>
      <c r="AV123" s="192">
        <f t="shared" si="48"/>
        <v>7353.07</v>
      </c>
      <c r="AW123" s="191">
        <f t="shared" si="49"/>
        <v>44118.42</v>
      </c>
      <c r="AX123" s="190" t="s">
        <v>72</v>
      </c>
      <c r="AY123" s="184"/>
    </row>
    <row r="124" spans="2:51">
      <c r="B124" s="198">
        <v>2183</v>
      </c>
      <c r="C124" s="199">
        <v>308289</v>
      </c>
      <c r="D124" s="198" t="s">
        <v>989</v>
      </c>
      <c r="E124" s="198" t="s">
        <v>2003</v>
      </c>
      <c r="F124" s="198" t="s">
        <v>2163</v>
      </c>
      <c r="G124" s="198"/>
      <c r="H124" s="198"/>
      <c r="I124" s="200">
        <v>215</v>
      </c>
      <c r="J124" s="198"/>
      <c r="K124" s="200">
        <v>0</v>
      </c>
      <c r="L124" s="198"/>
      <c r="M124" s="198"/>
      <c r="N124" s="198" t="s">
        <v>2190</v>
      </c>
      <c r="O124" s="198" t="s">
        <v>2184</v>
      </c>
      <c r="P124" s="198"/>
      <c r="Q124" s="198"/>
      <c r="R124" s="198"/>
      <c r="S124" s="201">
        <v>39755</v>
      </c>
      <c r="T124" s="201">
        <v>39755</v>
      </c>
      <c r="U124" s="198"/>
      <c r="V124" s="198">
        <v>700</v>
      </c>
      <c r="W124" s="198">
        <v>14050</v>
      </c>
      <c r="X124" s="202">
        <v>435.42</v>
      </c>
      <c r="Y124" s="198">
        <v>14056</v>
      </c>
      <c r="Z124" s="202">
        <v>435.42</v>
      </c>
      <c r="AA124" s="202">
        <v>0</v>
      </c>
      <c r="AB124" s="202">
        <v>0</v>
      </c>
      <c r="AC124" s="202">
        <v>0</v>
      </c>
      <c r="AD124" s="198">
        <v>54260</v>
      </c>
      <c r="AE124" s="202">
        <v>0</v>
      </c>
      <c r="AF124" s="202">
        <v>0</v>
      </c>
      <c r="AG124" s="202">
        <v>0</v>
      </c>
      <c r="AH124" s="198" t="s">
        <v>994</v>
      </c>
      <c r="AI124" s="198" t="s">
        <v>1050</v>
      </c>
      <c r="AJ124" s="198" t="s">
        <v>1296</v>
      </c>
      <c r="AK124" s="198">
        <v>0</v>
      </c>
      <c r="AL124" s="198" t="s">
        <v>1854</v>
      </c>
      <c r="AM124" s="198" t="s">
        <v>2282</v>
      </c>
      <c r="AN124" s="196">
        <f t="shared" si="40"/>
        <v>11</v>
      </c>
      <c r="AO124" s="196">
        <f t="shared" si="41"/>
        <v>2008</v>
      </c>
      <c r="AP124" s="195">
        <f t="shared" si="42"/>
        <v>2015</v>
      </c>
      <c r="AQ124" s="194">
        <f t="shared" si="43"/>
        <v>2015.9166666666667</v>
      </c>
      <c r="AR124" s="193">
        <f t="shared" si="44"/>
        <v>5.1835714285714287</v>
      </c>
      <c r="AS124" s="192">
        <f t="shared" si="45"/>
        <v>62.202857142857141</v>
      </c>
      <c r="AT124" s="192">
        <f t="shared" si="46"/>
        <v>0</v>
      </c>
      <c r="AU124" s="192">
        <f t="shared" si="47"/>
        <v>435.42</v>
      </c>
      <c r="AV124" s="192">
        <f t="shared" si="48"/>
        <v>435.42</v>
      </c>
      <c r="AW124" s="191">
        <f t="shared" si="49"/>
        <v>0</v>
      </c>
      <c r="AX124" s="190" t="s">
        <v>72</v>
      </c>
      <c r="AY124" s="184"/>
    </row>
    <row r="125" spans="2:51">
      <c r="B125" s="198">
        <v>2183</v>
      </c>
      <c r="C125" s="199">
        <v>308288</v>
      </c>
      <c r="D125" s="198" t="s">
        <v>989</v>
      </c>
      <c r="E125" s="198" t="s">
        <v>2003</v>
      </c>
      <c r="F125" s="198" t="s">
        <v>2164</v>
      </c>
      <c r="G125" s="198"/>
      <c r="H125" s="198"/>
      <c r="I125" s="200">
        <v>23</v>
      </c>
      <c r="J125" s="198"/>
      <c r="K125" s="200">
        <v>0</v>
      </c>
      <c r="L125" s="198"/>
      <c r="M125" s="198"/>
      <c r="N125" s="198" t="s">
        <v>2190</v>
      </c>
      <c r="O125" s="198" t="s">
        <v>2184</v>
      </c>
      <c r="P125" s="198"/>
      <c r="Q125" s="198"/>
      <c r="R125" s="198"/>
      <c r="S125" s="201">
        <v>39755</v>
      </c>
      <c r="T125" s="201">
        <v>39755</v>
      </c>
      <c r="U125" s="198"/>
      <c r="V125" s="198">
        <v>700</v>
      </c>
      <c r="W125" s="198">
        <v>14050</v>
      </c>
      <c r="X125" s="202">
        <v>2002.94</v>
      </c>
      <c r="Y125" s="198">
        <v>14056</v>
      </c>
      <c r="Z125" s="202">
        <v>2002.94</v>
      </c>
      <c r="AA125" s="202">
        <v>0</v>
      </c>
      <c r="AB125" s="202">
        <v>0</v>
      </c>
      <c r="AC125" s="202">
        <v>0</v>
      </c>
      <c r="AD125" s="198">
        <v>54260</v>
      </c>
      <c r="AE125" s="202">
        <v>0</v>
      </c>
      <c r="AF125" s="202">
        <v>0</v>
      </c>
      <c r="AG125" s="202">
        <v>0</v>
      </c>
      <c r="AH125" s="198" t="s">
        <v>994</v>
      </c>
      <c r="AI125" s="198" t="s">
        <v>1050</v>
      </c>
      <c r="AJ125" s="198" t="s">
        <v>1296</v>
      </c>
      <c r="AK125" s="198">
        <v>0</v>
      </c>
      <c r="AL125" s="198" t="s">
        <v>1854</v>
      </c>
      <c r="AM125" s="198" t="s">
        <v>2282</v>
      </c>
      <c r="AN125" s="196">
        <f t="shared" si="40"/>
        <v>11</v>
      </c>
      <c r="AO125" s="196">
        <f t="shared" si="41"/>
        <v>2008</v>
      </c>
      <c r="AP125" s="195">
        <f t="shared" si="42"/>
        <v>2015</v>
      </c>
      <c r="AQ125" s="194">
        <f t="shared" si="43"/>
        <v>2015.9166666666667</v>
      </c>
      <c r="AR125" s="193">
        <f t="shared" si="44"/>
        <v>23.84452380952381</v>
      </c>
      <c r="AS125" s="192">
        <f t="shared" si="45"/>
        <v>286.13428571428574</v>
      </c>
      <c r="AT125" s="192">
        <f t="shared" si="46"/>
        <v>0</v>
      </c>
      <c r="AU125" s="192">
        <f t="shared" si="47"/>
        <v>2002.94</v>
      </c>
      <c r="AV125" s="192">
        <f t="shared" si="48"/>
        <v>2002.94</v>
      </c>
      <c r="AW125" s="191">
        <f t="shared" si="49"/>
        <v>0</v>
      </c>
      <c r="AX125" s="190" t="s">
        <v>72</v>
      </c>
      <c r="AY125" s="184"/>
    </row>
    <row r="126" spans="2:51">
      <c r="B126" s="198">
        <v>2183</v>
      </c>
      <c r="C126" s="199">
        <v>307559</v>
      </c>
      <c r="D126" s="198" t="s">
        <v>989</v>
      </c>
      <c r="E126" s="198" t="s">
        <v>2003</v>
      </c>
      <c r="F126" s="198" t="s">
        <v>1202</v>
      </c>
      <c r="G126" s="198"/>
      <c r="H126" s="198"/>
      <c r="I126" s="200">
        <v>8</v>
      </c>
      <c r="J126" s="198"/>
      <c r="K126" s="200">
        <v>0</v>
      </c>
      <c r="L126" s="198"/>
      <c r="M126" s="198"/>
      <c r="N126" s="198" t="s">
        <v>2190</v>
      </c>
      <c r="O126" s="198" t="s">
        <v>2184</v>
      </c>
      <c r="P126" s="198"/>
      <c r="Q126" s="198" t="s">
        <v>2203</v>
      </c>
      <c r="R126" s="198" t="s">
        <v>2195</v>
      </c>
      <c r="S126" s="201">
        <v>39755</v>
      </c>
      <c r="T126" s="201">
        <v>39755</v>
      </c>
      <c r="U126" s="198"/>
      <c r="V126" s="198">
        <v>1200</v>
      </c>
      <c r="W126" s="198">
        <v>14050</v>
      </c>
      <c r="X126" s="202">
        <v>1839.77</v>
      </c>
      <c r="Y126" s="198">
        <v>14056</v>
      </c>
      <c r="Z126" s="202">
        <v>1839.77</v>
      </c>
      <c r="AA126" s="202">
        <v>0</v>
      </c>
      <c r="AB126" s="202">
        <v>0</v>
      </c>
      <c r="AC126" s="202">
        <v>0</v>
      </c>
      <c r="AD126" s="198">
        <v>54260</v>
      </c>
      <c r="AE126" s="202">
        <v>0</v>
      </c>
      <c r="AF126" s="202">
        <v>0</v>
      </c>
      <c r="AG126" s="202">
        <v>0</v>
      </c>
      <c r="AH126" s="198" t="s">
        <v>994</v>
      </c>
      <c r="AI126" s="198" t="s">
        <v>1050</v>
      </c>
      <c r="AJ126" s="198" t="s">
        <v>1296</v>
      </c>
      <c r="AK126" s="198">
        <v>0</v>
      </c>
      <c r="AL126" s="198" t="s">
        <v>1854</v>
      </c>
      <c r="AM126" s="198" t="s">
        <v>2282</v>
      </c>
      <c r="AN126" s="196">
        <f t="shared" si="40"/>
        <v>11</v>
      </c>
      <c r="AO126" s="196">
        <f t="shared" si="41"/>
        <v>2008</v>
      </c>
      <c r="AP126" s="195">
        <f t="shared" si="42"/>
        <v>2020</v>
      </c>
      <c r="AQ126" s="194">
        <f t="shared" si="43"/>
        <v>2020.9166666666667</v>
      </c>
      <c r="AR126" s="193">
        <f t="shared" si="44"/>
        <v>12.776180555555555</v>
      </c>
      <c r="AS126" s="192">
        <f t="shared" si="45"/>
        <v>153.31416666666667</v>
      </c>
      <c r="AT126" s="192">
        <f t="shared" si="46"/>
        <v>0</v>
      </c>
      <c r="AU126" s="192">
        <f t="shared" si="47"/>
        <v>1839.77</v>
      </c>
      <c r="AV126" s="192">
        <f t="shared" si="48"/>
        <v>1839.77</v>
      </c>
      <c r="AW126" s="191">
        <f t="shared" si="49"/>
        <v>0</v>
      </c>
      <c r="AX126" s="190" t="s">
        <v>72</v>
      </c>
      <c r="AY126" s="184"/>
    </row>
    <row r="127" spans="2:51">
      <c r="B127" s="198">
        <v>2183</v>
      </c>
      <c r="C127" s="199">
        <v>306825</v>
      </c>
      <c r="D127" s="198" t="s">
        <v>989</v>
      </c>
      <c r="E127" s="198" t="s">
        <v>2003</v>
      </c>
      <c r="F127" s="198" t="s">
        <v>906</v>
      </c>
      <c r="G127" s="198"/>
      <c r="H127" s="198"/>
      <c r="I127" s="200">
        <v>2</v>
      </c>
      <c r="J127" s="198"/>
      <c r="K127" s="200">
        <v>0</v>
      </c>
      <c r="L127" s="198"/>
      <c r="M127" s="198"/>
      <c r="N127" s="198" t="s">
        <v>2190</v>
      </c>
      <c r="O127" s="198" t="s">
        <v>2184</v>
      </c>
      <c r="P127" s="198"/>
      <c r="Q127" s="198" t="s">
        <v>2191</v>
      </c>
      <c r="R127" s="198" t="s">
        <v>2192</v>
      </c>
      <c r="S127" s="201">
        <v>39755</v>
      </c>
      <c r="T127" s="201">
        <v>39755</v>
      </c>
      <c r="U127" s="198"/>
      <c r="V127" s="198">
        <v>700</v>
      </c>
      <c r="W127" s="198">
        <v>14050</v>
      </c>
      <c r="X127" s="202">
        <v>30500</v>
      </c>
      <c r="Y127" s="198">
        <v>14056</v>
      </c>
      <c r="Z127" s="202">
        <v>30500</v>
      </c>
      <c r="AA127" s="202">
        <v>0</v>
      </c>
      <c r="AB127" s="202">
        <v>0</v>
      </c>
      <c r="AC127" s="202">
        <v>0</v>
      </c>
      <c r="AD127" s="198">
        <v>54260</v>
      </c>
      <c r="AE127" s="202">
        <v>0</v>
      </c>
      <c r="AF127" s="202">
        <v>0</v>
      </c>
      <c r="AG127" s="202">
        <v>0</v>
      </c>
      <c r="AH127" s="198" t="s">
        <v>994</v>
      </c>
      <c r="AI127" s="198" t="s">
        <v>1050</v>
      </c>
      <c r="AJ127" s="198" t="s">
        <v>1296</v>
      </c>
      <c r="AK127" s="198">
        <v>0</v>
      </c>
      <c r="AL127" s="198" t="s">
        <v>269</v>
      </c>
      <c r="AM127" s="198" t="s">
        <v>269</v>
      </c>
      <c r="AN127" s="196">
        <f t="shared" si="40"/>
        <v>11</v>
      </c>
      <c r="AO127" s="196">
        <f t="shared" si="41"/>
        <v>2008</v>
      </c>
      <c r="AP127" s="195">
        <f t="shared" si="42"/>
        <v>2015</v>
      </c>
      <c r="AQ127" s="194">
        <f t="shared" si="43"/>
        <v>2015.9166666666667</v>
      </c>
      <c r="AR127" s="193">
        <f t="shared" si="44"/>
        <v>363.09523809523807</v>
      </c>
      <c r="AS127" s="192">
        <f t="shared" si="45"/>
        <v>4357.1428571428569</v>
      </c>
      <c r="AT127" s="192">
        <f t="shared" si="46"/>
        <v>0</v>
      </c>
      <c r="AU127" s="192">
        <f t="shared" si="47"/>
        <v>30500</v>
      </c>
      <c r="AV127" s="192">
        <f t="shared" si="48"/>
        <v>30500</v>
      </c>
      <c r="AW127" s="191">
        <f t="shared" si="49"/>
        <v>0</v>
      </c>
      <c r="AX127" s="190" t="s">
        <v>72</v>
      </c>
      <c r="AY127" s="184"/>
    </row>
    <row r="128" spans="2:51">
      <c r="B128" s="198">
        <v>2183</v>
      </c>
      <c r="C128" s="199">
        <v>305971</v>
      </c>
      <c r="D128" s="198" t="s">
        <v>989</v>
      </c>
      <c r="E128" s="198" t="s">
        <v>2003</v>
      </c>
      <c r="F128" s="198" t="s">
        <v>2165</v>
      </c>
      <c r="G128" s="198"/>
      <c r="H128" s="198"/>
      <c r="I128" s="200">
        <v>1</v>
      </c>
      <c r="J128" s="198"/>
      <c r="K128" s="200">
        <v>0</v>
      </c>
      <c r="L128" s="198" t="s">
        <v>2106</v>
      </c>
      <c r="M128" s="198"/>
      <c r="N128" s="198" t="s">
        <v>2190</v>
      </c>
      <c r="O128" s="198" t="s">
        <v>2184</v>
      </c>
      <c r="P128" s="198"/>
      <c r="Q128" s="198" t="s">
        <v>2218</v>
      </c>
      <c r="R128" s="198" t="s">
        <v>2192</v>
      </c>
      <c r="S128" s="201">
        <v>45063</v>
      </c>
      <c r="T128" s="201">
        <v>45063</v>
      </c>
      <c r="U128" s="198" t="s">
        <v>2122</v>
      </c>
      <c r="V128" s="198">
        <v>1200</v>
      </c>
      <c r="W128" s="198">
        <v>14050</v>
      </c>
      <c r="X128" s="202">
        <v>8815</v>
      </c>
      <c r="Y128" s="198">
        <v>14056</v>
      </c>
      <c r="Z128" s="202">
        <v>673.39</v>
      </c>
      <c r="AA128" s="202">
        <v>0</v>
      </c>
      <c r="AB128" s="202">
        <v>8141.61</v>
      </c>
      <c r="AC128" s="202">
        <v>244.88</v>
      </c>
      <c r="AD128" s="198">
        <v>54260</v>
      </c>
      <c r="AE128" s="202">
        <v>61.22</v>
      </c>
      <c r="AF128" s="202">
        <v>0</v>
      </c>
      <c r="AG128" s="202">
        <v>61.22</v>
      </c>
      <c r="AH128" s="198" t="s">
        <v>989</v>
      </c>
      <c r="AI128" s="198"/>
      <c r="AJ128" s="198"/>
      <c r="AK128" s="198">
        <v>0</v>
      </c>
      <c r="AL128" s="198" t="s">
        <v>269</v>
      </c>
      <c r="AM128" s="198" t="s">
        <v>269</v>
      </c>
      <c r="AN128" s="196">
        <f t="shared" si="40"/>
        <v>5</v>
      </c>
      <c r="AO128" s="196">
        <f t="shared" si="41"/>
        <v>2023</v>
      </c>
      <c r="AP128" s="195">
        <f t="shared" si="42"/>
        <v>2035</v>
      </c>
      <c r="AQ128" s="194">
        <f t="shared" si="43"/>
        <v>2035.4166666666667</v>
      </c>
      <c r="AR128" s="193">
        <f t="shared" si="44"/>
        <v>61.215277777777779</v>
      </c>
      <c r="AS128" s="192">
        <f t="shared" si="45"/>
        <v>734.58333333333337</v>
      </c>
      <c r="AT128" s="192">
        <f t="shared" si="46"/>
        <v>734.58333333333337</v>
      </c>
      <c r="AU128" s="192">
        <f t="shared" si="47"/>
        <v>0</v>
      </c>
      <c r="AV128" s="192">
        <f t="shared" si="48"/>
        <v>734.58333333333337</v>
      </c>
      <c r="AW128" s="191">
        <f t="shared" si="49"/>
        <v>8080.416666666667</v>
      </c>
      <c r="AX128" s="190" t="s">
        <v>72</v>
      </c>
      <c r="AY128" s="184"/>
    </row>
    <row r="129" spans="2:51">
      <c r="B129" s="198">
        <v>2183</v>
      </c>
      <c r="C129" s="199">
        <v>305970</v>
      </c>
      <c r="D129" s="198" t="s">
        <v>989</v>
      </c>
      <c r="E129" s="198" t="s">
        <v>2003</v>
      </c>
      <c r="F129" s="198" t="s">
        <v>2165</v>
      </c>
      <c r="G129" s="198"/>
      <c r="H129" s="198"/>
      <c r="I129" s="200">
        <v>2</v>
      </c>
      <c r="J129" s="198"/>
      <c r="K129" s="200">
        <v>0</v>
      </c>
      <c r="L129" s="198" t="s">
        <v>2106</v>
      </c>
      <c r="M129" s="198"/>
      <c r="N129" s="198" t="s">
        <v>2190</v>
      </c>
      <c r="O129" s="198" t="s">
        <v>2184</v>
      </c>
      <c r="P129" s="198"/>
      <c r="Q129" s="198" t="s">
        <v>2218</v>
      </c>
      <c r="R129" s="198" t="s">
        <v>2192</v>
      </c>
      <c r="S129" s="201">
        <v>45063</v>
      </c>
      <c r="T129" s="201">
        <v>45063</v>
      </c>
      <c r="U129" s="198" t="s">
        <v>2122</v>
      </c>
      <c r="V129" s="198">
        <v>1200</v>
      </c>
      <c r="W129" s="198">
        <v>14050</v>
      </c>
      <c r="X129" s="202">
        <v>17630</v>
      </c>
      <c r="Y129" s="198">
        <v>14056</v>
      </c>
      <c r="Z129" s="202">
        <v>1346.73</v>
      </c>
      <c r="AA129" s="202">
        <v>0</v>
      </c>
      <c r="AB129" s="202">
        <v>16283.27</v>
      </c>
      <c r="AC129" s="202">
        <v>489.72</v>
      </c>
      <c r="AD129" s="198">
        <v>54260</v>
      </c>
      <c r="AE129" s="202">
        <v>122.43</v>
      </c>
      <c r="AF129" s="202">
        <v>0</v>
      </c>
      <c r="AG129" s="202">
        <v>122.43</v>
      </c>
      <c r="AH129" s="198" t="s">
        <v>989</v>
      </c>
      <c r="AI129" s="198"/>
      <c r="AJ129" s="198"/>
      <c r="AK129" s="198">
        <v>0</v>
      </c>
      <c r="AL129" s="198" t="s">
        <v>269</v>
      </c>
      <c r="AM129" s="198" t="s">
        <v>269</v>
      </c>
      <c r="AN129" s="196">
        <f t="shared" si="40"/>
        <v>5</v>
      </c>
      <c r="AO129" s="196">
        <f t="shared" si="41"/>
        <v>2023</v>
      </c>
      <c r="AP129" s="195">
        <f t="shared" si="42"/>
        <v>2035</v>
      </c>
      <c r="AQ129" s="194">
        <f t="shared" si="43"/>
        <v>2035.4166666666667</v>
      </c>
      <c r="AR129" s="193">
        <f t="shared" si="44"/>
        <v>122.43055555555556</v>
      </c>
      <c r="AS129" s="192">
        <f t="shared" si="45"/>
        <v>1469.1666666666667</v>
      </c>
      <c r="AT129" s="192">
        <f t="shared" si="46"/>
        <v>1469.1666666666667</v>
      </c>
      <c r="AU129" s="192">
        <f t="shared" si="47"/>
        <v>0</v>
      </c>
      <c r="AV129" s="192">
        <f t="shared" si="48"/>
        <v>1469.1666666666667</v>
      </c>
      <c r="AW129" s="191">
        <f t="shared" si="49"/>
        <v>16160.833333333334</v>
      </c>
      <c r="AX129" s="190" t="s">
        <v>72</v>
      </c>
      <c r="AY129" s="184"/>
    </row>
    <row r="130" spans="2:51">
      <c r="B130" s="198">
        <v>2183</v>
      </c>
      <c r="C130" s="199">
        <v>301036</v>
      </c>
      <c r="D130" s="198" t="s">
        <v>989</v>
      </c>
      <c r="E130" s="198" t="s">
        <v>2003</v>
      </c>
      <c r="F130" s="198" t="s">
        <v>2166</v>
      </c>
      <c r="G130" s="198"/>
      <c r="H130" s="198"/>
      <c r="I130" s="200">
        <v>5</v>
      </c>
      <c r="J130" s="198"/>
      <c r="K130" s="200">
        <v>0</v>
      </c>
      <c r="L130" s="198" t="s">
        <v>1059</v>
      </c>
      <c r="M130" s="198"/>
      <c r="N130" s="198" t="s">
        <v>2190</v>
      </c>
      <c r="O130" s="198" t="s">
        <v>2184</v>
      </c>
      <c r="P130" s="198"/>
      <c r="Q130" s="198" t="s">
        <v>2193</v>
      </c>
      <c r="R130" s="198" t="s">
        <v>2192</v>
      </c>
      <c r="S130" s="201">
        <v>44994</v>
      </c>
      <c r="T130" s="201">
        <v>44994</v>
      </c>
      <c r="U130" s="198" t="s">
        <v>2122</v>
      </c>
      <c r="V130" s="198">
        <v>1200</v>
      </c>
      <c r="W130" s="198">
        <v>14050</v>
      </c>
      <c r="X130" s="202">
        <v>54850</v>
      </c>
      <c r="Y130" s="198">
        <v>14056</v>
      </c>
      <c r="Z130" s="202">
        <v>5332.63</v>
      </c>
      <c r="AA130" s="202">
        <v>0</v>
      </c>
      <c r="AB130" s="202">
        <v>49517.37</v>
      </c>
      <c r="AC130" s="202">
        <v>1523.6</v>
      </c>
      <c r="AD130" s="198">
        <v>54260</v>
      </c>
      <c r="AE130" s="202">
        <v>380.9</v>
      </c>
      <c r="AF130" s="202">
        <v>0</v>
      </c>
      <c r="AG130" s="202">
        <v>380.9</v>
      </c>
      <c r="AH130" s="198" t="s">
        <v>989</v>
      </c>
      <c r="AI130" s="198"/>
      <c r="AJ130" s="198"/>
      <c r="AK130" s="198">
        <v>0</v>
      </c>
      <c r="AL130" s="198" t="s">
        <v>269</v>
      </c>
      <c r="AM130" s="198" t="s">
        <v>269</v>
      </c>
      <c r="AN130" s="196">
        <f t="shared" si="40"/>
        <v>3</v>
      </c>
      <c r="AO130" s="196">
        <f t="shared" si="41"/>
        <v>2023</v>
      </c>
      <c r="AP130" s="195">
        <f t="shared" si="42"/>
        <v>2035</v>
      </c>
      <c r="AQ130" s="194">
        <f t="shared" si="43"/>
        <v>2035.25</v>
      </c>
      <c r="AR130" s="193">
        <f t="shared" si="44"/>
        <v>380.90277777777777</v>
      </c>
      <c r="AS130" s="192">
        <f t="shared" si="45"/>
        <v>4570.833333333333</v>
      </c>
      <c r="AT130" s="192">
        <f t="shared" si="46"/>
        <v>4570.833333333333</v>
      </c>
      <c r="AU130" s="192">
        <f t="shared" si="47"/>
        <v>761.80555555590399</v>
      </c>
      <c r="AV130" s="192">
        <f t="shared" si="48"/>
        <v>5332.638888889237</v>
      </c>
      <c r="AW130" s="191">
        <f t="shared" si="49"/>
        <v>49517.36111111076</v>
      </c>
      <c r="AX130" s="190" t="s">
        <v>72</v>
      </c>
      <c r="AY130" s="184"/>
    </row>
    <row r="131" spans="2:51">
      <c r="B131" s="198">
        <v>2183</v>
      </c>
      <c r="C131" s="199">
        <v>300991</v>
      </c>
      <c r="D131" s="198" t="s">
        <v>989</v>
      </c>
      <c r="E131" s="198" t="s">
        <v>2003</v>
      </c>
      <c r="F131" s="198" t="s">
        <v>1060</v>
      </c>
      <c r="G131" s="198"/>
      <c r="H131" s="198"/>
      <c r="I131" s="200">
        <v>30</v>
      </c>
      <c r="J131" s="198"/>
      <c r="K131" s="200">
        <v>0</v>
      </c>
      <c r="L131" s="198" t="s">
        <v>1018</v>
      </c>
      <c r="M131" s="198"/>
      <c r="N131" s="198" t="s">
        <v>2190</v>
      </c>
      <c r="O131" s="198" t="s">
        <v>2184</v>
      </c>
      <c r="P131" s="198"/>
      <c r="Q131" s="198" t="s">
        <v>2208</v>
      </c>
      <c r="R131" s="198" t="s">
        <v>2195</v>
      </c>
      <c r="S131" s="201">
        <v>44978</v>
      </c>
      <c r="T131" s="201">
        <v>44978</v>
      </c>
      <c r="U131" s="198" t="s">
        <v>2167</v>
      </c>
      <c r="V131" s="198">
        <v>1200</v>
      </c>
      <c r="W131" s="198">
        <v>14050</v>
      </c>
      <c r="X131" s="202">
        <v>25089.05</v>
      </c>
      <c r="Y131" s="198">
        <v>14056</v>
      </c>
      <c r="Z131" s="202">
        <v>2439.2199999999998</v>
      </c>
      <c r="AA131" s="202">
        <v>0</v>
      </c>
      <c r="AB131" s="202">
        <v>22649.829999999998</v>
      </c>
      <c r="AC131" s="202">
        <v>696.92</v>
      </c>
      <c r="AD131" s="198">
        <v>54260</v>
      </c>
      <c r="AE131" s="202">
        <v>174.23</v>
      </c>
      <c r="AF131" s="202">
        <v>0</v>
      </c>
      <c r="AG131" s="202">
        <v>174.23</v>
      </c>
      <c r="AH131" s="198" t="s">
        <v>989</v>
      </c>
      <c r="AI131" s="198"/>
      <c r="AJ131" s="198"/>
      <c r="AK131" s="198">
        <v>0</v>
      </c>
      <c r="AL131" s="198" t="s">
        <v>1854</v>
      </c>
      <c r="AM131" s="198" t="s">
        <v>2282</v>
      </c>
      <c r="AN131" s="196">
        <f t="shared" si="40"/>
        <v>2</v>
      </c>
      <c r="AO131" s="196">
        <f t="shared" si="41"/>
        <v>2023</v>
      </c>
      <c r="AP131" s="195">
        <f t="shared" si="42"/>
        <v>2035</v>
      </c>
      <c r="AQ131" s="194">
        <f t="shared" si="43"/>
        <v>2035.1666666666667</v>
      </c>
      <c r="AR131" s="193">
        <f t="shared" si="44"/>
        <v>174.22951388888887</v>
      </c>
      <c r="AS131" s="192">
        <f t="shared" si="45"/>
        <v>2090.7541666666666</v>
      </c>
      <c r="AT131" s="192">
        <f t="shared" si="46"/>
        <v>2090.7541666666666</v>
      </c>
      <c r="AU131" s="192">
        <f t="shared" si="47"/>
        <v>522.68854166666642</v>
      </c>
      <c r="AV131" s="192">
        <f t="shared" si="48"/>
        <v>2613.442708333333</v>
      </c>
      <c r="AW131" s="191">
        <f t="shared" si="49"/>
        <v>22475.607291666667</v>
      </c>
      <c r="AX131" s="190" t="s">
        <v>72</v>
      </c>
      <c r="AY131" s="184"/>
    </row>
    <row r="132" spans="2:51">
      <c r="B132" s="198">
        <v>2183</v>
      </c>
      <c r="C132" s="199">
        <v>300978</v>
      </c>
      <c r="D132" s="198" t="s">
        <v>989</v>
      </c>
      <c r="E132" s="198" t="s">
        <v>2003</v>
      </c>
      <c r="F132" s="198" t="s">
        <v>1492</v>
      </c>
      <c r="G132" s="198"/>
      <c r="H132" s="198"/>
      <c r="I132" s="200">
        <v>15</v>
      </c>
      <c r="J132" s="198"/>
      <c r="K132" s="200">
        <v>0</v>
      </c>
      <c r="L132" s="198" t="s">
        <v>1018</v>
      </c>
      <c r="M132" s="198"/>
      <c r="N132" s="198" t="s">
        <v>2190</v>
      </c>
      <c r="O132" s="198" t="s">
        <v>2184</v>
      </c>
      <c r="P132" s="198"/>
      <c r="Q132" s="198" t="s">
        <v>2200</v>
      </c>
      <c r="R132" s="198" t="s">
        <v>2195</v>
      </c>
      <c r="S132" s="201">
        <v>44978</v>
      </c>
      <c r="T132" s="201">
        <v>44978</v>
      </c>
      <c r="U132" s="198" t="s">
        <v>2167</v>
      </c>
      <c r="V132" s="198">
        <v>1200</v>
      </c>
      <c r="W132" s="198">
        <v>14050</v>
      </c>
      <c r="X132" s="202">
        <v>10967.72</v>
      </c>
      <c r="Y132" s="198">
        <v>14056</v>
      </c>
      <c r="Z132" s="202">
        <v>1066.29</v>
      </c>
      <c r="AA132" s="202">
        <v>0</v>
      </c>
      <c r="AB132" s="202">
        <v>9901.43</v>
      </c>
      <c r="AC132" s="202">
        <v>304.64</v>
      </c>
      <c r="AD132" s="198">
        <v>54260</v>
      </c>
      <c r="AE132" s="202">
        <v>76.16</v>
      </c>
      <c r="AF132" s="202">
        <v>0</v>
      </c>
      <c r="AG132" s="202">
        <v>76.16</v>
      </c>
      <c r="AH132" s="198" t="s">
        <v>989</v>
      </c>
      <c r="AI132" s="198"/>
      <c r="AJ132" s="198"/>
      <c r="AK132" s="198">
        <v>0</v>
      </c>
      <c r="AL132" s="198" t="s">
        <v>1854</v>
      </c>
      <c r="AM132" s="198" t="s">
        <v>2282</v>
      </c>
      <c r="AN132" s="196">
        <f t="shared" si="40"/>
        <v>2</v>
      </c>
      <c r="AO132" s="196">
        <f t="shared" si="41"/>
        <v>2023</v>
      </c>
      <c r="AP132" s="195">
        <f t="shared" si="42"/>
        <v>2035</v>
      </c>
      <c r="AQ132" s="194">
        <f t="shared" si="43"/>
        <v>2035.1666666666667</v>
      </c>
      <c r="AR132" s="193">
        <f t="shared" si="44"/>
        <v>76.16472222222221</v>
      </c>
      <c r="AS132" s="192">
        <f t="shared" si="45"/>
        <v>913.97666666666646</v>
      </c>
      <c r="AT132" s="192">
        <f t="shared" si="46"/>
        <v>913.97666666666646</v>
      </c>
      <c r="AU132" s="192">
        <f t="shared" si="47"/>
        <v>228.4941666666673</v>
      </c>
      <c r="AV132" s="192">
        <f t="shared" si="48"/>
        <v>1142.4708333333338</v>
      </c>
      <c r="AW132" s="191">
        <f t="shared" si="49"/>
        <v>9825.2491666666647</v>
      </c>
      <c r="AX132" s="190" t="s">
        <v>72</v>
      </c>
      <c r="AY132" s="184"/>
    </row>
    <row r="133" spans="2:51">
      <c r="B133" s="198">
        <v>2183</v>
      </c>
      <c r="C133" s="199">
        <v>300963</v>
      </c>
      <c r="D133" s="198" t="s">
        <v>989</v>
      </c>
      <c r="E133" s="198" t="s">
        <v>2003</v>
      </c>
      <c r="F133" s="198" t="s">
        <v>1490</v>
      </c>
      <c r="G133" s="198"/>
      <c r="H133" s="198"/>
      <c r="I133" s="200">
        <v>15</v>
      </c>
      <c r="J133" s="198"/>
      <c r="K133" s="200">
        <v>0</v>
      </c>
      <c r="L133" s="198" t="s">
        <v>1018</v>
      </c>
      <c r="M133" s="198"/>
      <c r="N133" s="198" t="s">
        <v>2190</v>
      </c>
      <c r="O133" s="198" t="s">
        <v>2184</v>
      </c>
      <c r="P133" s="198"/>
      <c r="Q133" s="198" t="s">
        <v>2209</v>
      </c>
      <c r="R133" s="198" t="s">
        <v>2195</v>
      </c>
      <c r="S133" s="201">
        <v>44978</v>
      </c>
      <c r="T133" s="201">
        <v>44978</v>
      </c>
      <c r="U133" s="198" t="s">
        <v>2167</v>
      </c>
      <c r="V133" s="198">
        <v>1200</v>
      </c>
      <c r="W133" s="198">
        <v>14050</v>
      </c>
      <c r="X133" s="202">
        <v>10474.969999999999</v>
      </c>
      <c r="Y133" s="198">
        <v>14056</v>
      </c>
      <c r="Z133" s="202">
        <v>1018.39</v>
      </c>
      <c r="AA133" s="202">
        <v>0</v>
      </c>
      <c r="AB133" s="202">
        <v>9456.58</v>
      </c>
      <c r="AC133" s="202">
        <v>290.95999999999998</v>
      </c>
      <c r="AD133" s="198">
        <v>54260</v>
      </c>
      <c r="AE133" s="202">
        <v>72.739999999999995</v>
      </c>
      <c r="AF133" s="202">
        <v>0</v>
      </c>
      <c r="AG133" s="202">
        <v>72.739999999999995</v>
      </c>
      <c r="AH133" s="198" t="s">
        <v>989</v>
      </c>
      <c r="AI133" s="198"/>
      <c r="AJ133" s="198"/>
      <c r="AK133" s="198">
        <v>0</v>
      </c>
      <c r="AL133" s="198" t="s">
        <v>1854</v>
      </c>
      <c r="AM133" s="198" t="s">
        <v>2282</v>
      </c>
      <c r="AN133" s="196">
        <f t="shared" si="40"/>
        <v>2</v>
      </c>
      <c r="AO133" s="196">
        <f t="shared" si="41"/>
        <v>2023</v>
      </c>
      <c r="AP133" s="195">
        <f t="shared" si="42"/>
        <v>2035</v>
      </c>
      <c r="AQ133" s="194">
        <f t="shared" si="43"/>
        <v>2035.1666666666667</v>
      </c>
      <c r="AR133" s="193">
        <f t="shared" si="44"/>
        <v>72.74284722222221</v>
      </c>
      <c r="AS133" s="192">
        <f t="shared" si="45"/>
        <v>872.91416666666646</v>
      </c>
      <c r="AT133" s="192">
        <f t="shared" si="46"/>
        <v>872.91416666666646</v>
      </c>
      <c r="AU133" s="192">
        <f t="shared" si="47"/>
        <v>218.2285416666673</v>
      </c>
      <c r="AV133" s="192">
        <f t="shared" si="48"/>
        <v>1091.1427083333338</v>
      </c>
      <c r="AW133" s="191">
        <f t="shared" si="49"/>
        <v>9383.8272916666647</v>
      </c>
      <c r="AX133" s="190" t="s">
        <v>72</v>
      </c>
      <c r="AY133" s="184"/>
    </row>
    <row r="134" spans="2:51" hidden="1">
      <c r="B134" s="198">
        <v>2183</v>
      </c>
      <c r="C134" s="199">
        <v>299371</v>
      </c>
      <c r="D134" s="198">
        <v>293412</v>
      </c>
      <c r="E134" s="198" t="s">
        <v>2003</v>
      </c>
      <c r="F134" s="198" t="s">
        <v>2168</v>
      </c>
      <c r="G134" s="198"/>
      <c r="H134" s="198"/>
      <c r="I134" s="200">
        <v>1</v>
      </c>
      <c r="J134" s="198"/>
      <c r="K134" s="200">
        <v>0</v>
      </c>
      <c r="L134" s="198"/>
      <c r="M134" s="198"/>
      <c r="N134" s="198" t="s">
        <v>2199</v>
      </c>
      <c r="O134" s="198" t="s">
        <v>2184</v>
      </c>
      <c r="P134" s="198"/>
      <c r="Q134" s="198"/>
      <c r="R134" s="198"/>
      <c r="S134" s="201">
        <v>44928</v>
      </c>
      <c r="T134" s="201">
        <v>44928</v>
      </c>
      <c r="U134" s="198" t="s">
        <v>1968</v>
      </c>
      <c r="V134" s="198">
        <v>300</v>
      </c>
      <c r="W134" s="198">
        <v>14110</v>
      </c>
      <c r="X134" s="202">
        <v>1314</v>
      </c>
      <c r="Y134" s="198">
        <v>14116</v>
      </c>
      <c r="Z134" s="202">
        <v>584</v>
      </c>
      <c r="AA134" s="202">
        <v>0</v>
      </c>
      <c r="AB134" s="202">
        <v>730</v>
      </c>
      <c r="AC134" s="202">
        <v>146</v>
      </c>
      <c r="AD134" s="198">
        <v>70260</v>
      </c>
      <c r="AE134" s="202">
        <v>36.5</v>
      </c>
      <c r="AF134" s="202">
        <v>0</v>
      </c>
      <c r="AG134" s="202">
        <v>36.5</v>
      </c>
      <c r="AH134" s="198" t="s">
        <v>989</v>
      </c>
      <c r="AI134" s="198"/>
      <c r="AJ134" s="198"/>
      <c r="AK134" s="198">
        <v>0</v>
      </c>
      <c r="AL134" s="198" t="s">
        <v>85</v>
      </c>
      <c r="AM134" s="198" t="s">
        <v>2298</v>
      </c>
      <c r="AN134" s="196">
        <f t="shared" si="40"/>
        <v>1</v>
      </c>
      <c r="AO134" s="196">
        <f t="shared" si="41"/>
        <v>2023</v>
      </c>
      <c r="AP134" s="195">
        <f t="shared" si="42"/>
        <v>2026</v>
      </c>
      <c r="AQ134" s="194">
        <f t="shared" si="43"/>
        <v>2026.0833333333333</v>
      </c>
      <c r="AR134" s="193">
        <f t="shared" si="44"/>
        <v>36.5</v>
      </c>
      <c r="AS134" s="192">
        <f t="shared" si="45"/>
        <v>438</v>
      </c>
      <c r="AT134" s="192">
        <f t="shared" si="46"/>
        <v>438</v>
      </c>
      <c r="AU134" s="192">
        <f t="shared" si="47"/>
        <v>146.00000000006639</v>
      </c>
      <c r="AV134" s="192">
        <f t="shared" si="48"/>
        <v>584.00000000006639</v>
      </c>
      <c r="AW134" s="191">
        <f t="shared" si="49"/>
        <v>729.99999999993361</v>
      </c>
      <c r="AX134" s="190" t="s">
        <v>72</v>
      </c>
      <c r="AY134" s="184"/>
    </row>
    <row r="135" spans="2:51">
      <c r="B135" s="198">
        <v>2183</v>
      </c>
      <c r="C135" s="199">
        <v>299358</v>
      </c>
      <c r="D135" s="198" t="s">
        <v>989</v>
      </c>
      <c r="E135" s="198" t="s">
        <v>2003</v>
      </c>
      <c r="F135" s="198" t="s">
        <v>1936</v>
      </c>
      <c r="G135" s="198"/>
      <c r="H135" s="198"/>
      <c r="I135" s="200">
        <v>1</v>
      </c>
      <c r="J135" s="198" t="s">
        <v>2169</v>
      </c>
      <c r="K135" s="200">
        <v>2023</v>
      </c>
      <c r="L135" s="198" t="s">
        <v>1097</v>
      </c>
      <c r="M135" s="198" t="s">
        <v>1110</v>
      </c>
      <c r="N135" s="198" t="s">
        <v>2183</v>
      </c>
      <c r="O135" s="198" t="s">
        <v>2184</v>
      </c>
      <c r="P135" s="198" t="s">
        <v>2187</v>
      </c>
      <c r="Q135" s="198"/>
      <c r="R135" s="198"/>
      <c r="S135" s="201">
        <v>44928</v>
      </c>
      <c r="T135" s="201">
        <v>44928</v>
      </c>
      <c r="U135" s="198" t="s">
        <v>2170</v>
      </c>
      <c r="V135" s="198">
        <v>1000</v>
      </c>
      <c r="W135" s="198">
        <v>14040</v>
      </c>
      <c r="X135" s="202">
        <v>404058.5</v>
      </c>
      <c r="Y135" s="198">
        <v>14046</v>
      </c>
      <c r="Z135" s="202">
        <v>53874.45</v>
      </c>
      <c r="AA135" s="202">
        <v>0</v>
      </c>
      <c r="AB135" s="202">
        <v>350184.05</v>
      </c>
      <c r="AC135" s="202">
        <v>13468.6</v>
      </c>
      <c r="AD135" s="198">
        <v>51260</v>
      </c>
      <c r="AE135" s="202">
        <v>3367.15</v>
      </c>
      <c r="AF135" s="202">
        <v>0</v>
      </c>
      <c r="AG135" s="202">
        <v>3367.15</v>
      </c>
      <c r="AH135" s="198" t="s">
        <v>989</v>
      </c>
      <c r="AI135" s="198"/>
      <c r="AJ135" s="198">
        <v>3728</v>
      </c>
      <c r="AK135" s="198" t="s">
        <v>2285</v>
      </c>
      <c r="AL135" s="198" t="s">
        <v>147</v>
      </c>
      <c r="AM135" s="198" t="s">
        <v>1857</v>
      </c>
      <c r="AN135" s="196">
        <f t="shared" si="40"/>
        <v>1</v>
      </c>
      <c r="AO135" s="196">
        <f t="shared" si="41"/>
        <v>2023</v>
      </c>
      <c r="AP135" s="195">
        <f t="shared" si="42"/>
        <v>2033</v>
      </c>
      <c r="AQ135" s="194">
        <f t="shared" si="43"/>
        <v>2033.0833333333333</v>
      </c>
      <c r="AR135" s="193">
        <f t="shared" si="44"/>
        <v>3367.1541666666667</v>
      </c>
      <c r="AS135" s="192">
        <f t="shared" si="45"/>
        <v>40405.85</v>
      </c>
      <c r="AT135" s="192">
        <f t="shared" si="46"/>
        <v>40405.85</v>
      </c>
      <c r="AU135" s="192">
        <f t="shared" si="47"/>
        <v>13468.61666667281</v>
      </c>
      <c r="AV135" s="192">
        <f t="shared" si="48"/>
        <v>53874.466666672808</v>
      </c>
      <c r="AW135" s="191">
        <f t="shared" si="49"/>
        <v>350184.03333332721</v>
      </c>
      <c r="AX135" s="190" t="s">
        <v>72</v>
      </c>
      <c r="AY135" s="184"/>
    </row>
    <row r="136" spans="2:51">
      <c r="B136" s="198">
        <v>2183</v>
      </c>
      <c r="C136" s="199">
        <v>299340</v>
      </c>
      <c r="D136" s="198" t="s">
        <v>989</v>
      </c>
      <c r="E136" s="198" t="s">
        <v>2003</v>
      </c>
      <c r="F136" s="198" t="s">
        <v>2171</v>
      </c>
      <c r="G136" s="198"/>
      <c r="H136" s="198"/>
      <c r="I136" s="200">
        <v>1</v>
      </c>
      <c r="J136" s="198"/>
      <c r="K136" s="200">
        <v>0</v>
      </c>
      <c r="L136" s="198" t="s">
        <v>1005</v>
      </c>
      <c r="M136" s="198"/>
      <c r="N136" s="198" t="s">
        <v>2196</v>
      </c>
      <c r="O136" s="198" t="s">
        <v>2184</v>
      </c>
      <c r="P136" s="198"/>
      <c r="Q136" s="198"/>
      <c r="R136" s="198"/>
      <c r="S136" s="201">
        <v>44928</v>
      </c>
      <c r="T136" s="201">
        <v>44928</v>
      </c>
      <c r="U136" s="198" t="s">
        <v>2172</v>
      </c>
      <c r="V136" s="198">
        <v>1000</v>
      </c>
      <c r="W136" s="198">
        <v>14080</v>
      </c>
      <c r="X136" s="202">
        <v>8406</v>
      </c>
      <c r="Y136" s="198">
        <v>14086</v>
      </c>
      <c r="Z136" s="202">
        <v>1120.8</v>
      </c>
      <c r="AA136" s="202">
        <v>0</v>
      </c>
      <c r="AB136" s="202">
        <v>7285.2</v>
      </c>
      <c r="AC136" s="202">
        <v>280.2</v>
      </c>
      <c r="AD136" s="198">
        <v>57260</v>
      </c>
      <c r="AE136" s="202">
        <v>70.05</v>
      </c>
      <c r="AF136" s="202">
        <v>0</v>
      </c>
      <c r="AG136" s="202">
        <v>70.05</v>
      </c>
      <c r="AH136" s="198" t="s">
        <v>989</v>
      </c>
      <c r="AI136" s="198"/>
      <c r="AJ136" s="198"/>
      <c r="AK136" s="198">
        <v>0</v>
      </c>
      <c r="AL136" s="198" t="s">
        <v>913</v>
      </c>
      <c r="AM136" s="198" t="s">
        <v>138</v>
      </c>
      <c r="AN136" s="196">
        <f t="shared" si="40"/>
        <v>1</v>
      </c>
      <c r="AO136" s="196">
        <f t="shared" si="41"/>
        <v>2023</v>
      </c>
      <c r="AP136" s="195">
        <f t="shared" si="42"/>
        <v>2033</v>
      </c>
      <c r="AQ136" s="194">
        <f t="shared" si="43"/>
        <v>2033.0833333333333</v>
      </c>
      <c r="AR136" s="193">
        <f t="shared" si="44"/>
        <v>70.05</v>
      </c>
      <c r="AS136" s="192">
        <f t="shared" si="45"/>
        <v>840.59999999999991</v>
      </c>
      <c r="AT136" s="192">
        <f t="shared" si="46"/>
        <v>840.59999999999991</v>
      </c>
      <c r="AU136" s="192">
        <f t="shared" si="47"/>
        <v>280.20000000012806</v>
      </c>
      <c r="AV136" s="192">
        <f t="shared" si="48"/>
        <v>1120.800000000128</v>
      </c>
      <c r="AW136" s="191">
        <f t="shared" si="49"/>
        <v>7285.1999999998716</v>
      </c>
      <c r="AX136" s="190" t="s">
        <v>72</v>
      </c>
      <c r="AY136" s="184"/>
    </row>
    <row r="137" spans="2:51" hidden="1">
      <c r="B137" s="198">
        <v>2183</v>
      </c>
      <c r="C137" s="199">
        <v>298877</v>
      </c>
      <c r="D137" s="198">
        <v>294886</v>
      </c>
      <c r="E137" s="198" t="s">
        <v>2003</v>
      </c>
      <c r="F137" s="198" t="s">
        <v>2173</v>
      </c>
      <c r="G137" s="198"/>
      <c r="H137" s="198"/>
      <c r="I137" s="200">
        <v>1</v>
      </c>
      <c r="J137" s="198"/>
      <c r="K137" s="200">
        <v>2023</v>
      </c>
      <c r="L137" s="198" t="s">
        <v>1112</v>
      </c>
      <c r="M137" s="198"/>
      <c r="N137" s="198" t="s">
        <v>2183</v>
      </c>
      <c r="O137" s="198" t="s">
        <v>2184</v>
      </c>
      <c r="P137" s="198" t="s">
        <v>1028</v>
      </c>
      <c r="Q137" s="198"/>
      <c r="R137" s="198"/>
      <c r="S137" s="201">
        <v>44928</v>
      </c>
      <c r="T137" s="201">
        <v>44928</v>
      </c>
      <c r="U137" s="198" t="s">
        <v>1978</v>
      </c>
      <c r="V137" s="198">
        <v>1000</v>
      </c>
      <c r="W137" s="198">
        <v>14040</v>
      </c>
      <c r="X137" s="202">
        <v>996.27</v>
      </c>
      <c r="Y137" s="198">
        <v>14046</v>
      </c>
      <c r="Z137" s="202">
        <v>132.82</v>
      </c>
      <c r="AA137" s="202">
        <v>0</v>
      </c>
      <c r="AB137" s="202">
        <v>863.45</v>
      </c>
      <c r="AC137" s="202">
        <v>33.200000000000003</v>
      </c>
      <c r="AD137" s="198">
        <v>51260</v>
      </c>
      <c r="AE137" s="202">
        <v>8.3000000000000007</v>
      </c>
      <c r="AF137" s="202">
        <v>0</v>
      </c>
      <c r="AG137" s="202">
        <v>8.3000000000000007</v>
      </c>
      <c r="AH137" s="198" t="s">
        <v>989</v>
      </c>
      <c r="AI137" s="198"/>
      <c r="AJ137" s="198"/>
      <c r="AK137" s="198">
        <v>1095</v>
      </c>
      <c r="AL137" s="198" t="s">
        <v>147</v>
      </c>
      <c r="AM137" s="198" t="s">
        <v>1852</v>
      </c>
      <c r="AN137" s="196">
        <f t="shared" si="40"/>
        <v>1</v>
      </c>
      <c r="AO137" s="196">
        <f t="shared" si="41"/>
        <v>2023</v>
      </c>
      <c r="AP137" s="195">
        <f t="shared" si="42"/>
        <v>2033</v>
      </c>
      <c r="AQ137" s="194">
        <f t="shared" si="43"/>
        <v>2033.0833333333333</v>
      </c>
      <c r="AR137" s="193">
        <f t="shared" si="44"/>
        <v>8.302249999999999</v>
      </c>
      <c r="AS137" s="192">
        <f t="shared" si="45"/>
        <v>99.626999999999981</v>
      </c>
      <c r="AT137" s="192">
        <f t="shared" si="46"/>
        <v>99.626999999999981</v>
      </c>
      <c r="AU137" s="192">
        <f t="shared" si="47"/>
        <v>33.20900000001518</v>
      </c>
      <c r="AV137" s="192">
        <f t="shared" si="48"/>
        <v>132.83600000001516</v>
      </c>
      <c r="AW137" s="191">
        <f t="shared" si="49"/>
        <v>863.43399999998485</v>
      </c>
      <c r="AX137" s="190" t="s">
        <v>72</v>
      </c>
      <c r="AY137" s="184"/>
    </row>
    <row r="138" spans="2:51">
      <c r="B138" s="198">
        <v>2183</v>
      </c>
      <c r="C138" s="199">
        <v>298860</v>
      </c>
      <c r="D138" s="198" t="s">
        <v>989</v>
      </c>
      <c r="E138" s="198" t="s">
        <v>2003</v>
      </c>
      <c r="F138" s="198" t="s">
        <v>2174</v>
      </c>
      <c r="G138" s="198"/>
      <c r="H138" s="198"/>
      <c r="I138" s="200">
        <v>1</v>
      </c>
      <c r="J138" s="198"/>
      <c r="K138" s="200">
        <v>0</v>
      </c>
      <c r="L138" s="198" t="s">
        <v>2175</v>
      </c>
      <c r="M138" s="198"/>
      <c r="N138" s="198" t="s">
        <v>2196</v>
      </c>
      <c r="O138" s="198" t="s">
        <v>2184</v>
      </c>
      <c r="P138" s="198"/>
      <c r="Q138" s="198"/>
      <c r="R138" s="198"/>
      <c r="S138" s="201">
        <v>44928</v>
      </c>
      <c r="T138" s="201">
        <v>44928</v>
      </c>
      <c r="U138" s="198" t="s">
        <v>2176</v>
      </c>
      <c r="V138" s="198">
        <v>1000</v>
      </c>
      <c r="W138" s="198">
        <v>14080</v>
      </c>
      <c r="X138" s="202">
        <v>16844.39</v>
      </c>
      <c r="Y138" s="198">
        <v>14086</v>
      </c>
      <c r="Z138" s="202">
        <v>2245.92</v>
      </c>
      <c r="AA138" s="202">
        <v>0</v>
      </c>
      <c r="AB138" s="202">
        <v>14598.47</v>
      </c>
      <c r="AC138" s="202">
        <v>561.48</v>
      </c>
      <c r="AD138" s="198">
        <v>57260</v>
      </c>
      <c r="AE138" s="202">
        <v>140.37</v>
      </c>
      <c r="AF138" s="202">
        <v>0</v>
      </c>
      <c r="AG138" s="202">
        <v>140.37</v>
      </c>
      <c r="AH138" s="198" t="s">
        <v>989</v>
      </c>
      <c r="AI138" s="198"/>
      <c r="AJ138" s="198"/>
      <c r="AK138" s="198">
        <v>0</v>
      </c>
      <c r="AL138" s="198" t="s">
        <v>913</v>
      </c>
      <c r="AM138" s="198" t="s">
        <v>138</v>
      </c>
      <c r="AN138" s="196">
        <f t="shared" si="40"/>
        <v>1</v>
      </c>
      <c r="AO138" s="196">
        <f t="shared" si="41"/>
        <v>2023</v>
      </c>
      <c r="AP138" s="195">
        <f t="shared" si="42"/>
        <v>2033</v>
      </c>
      <c r="AQ138" s="194">
        <f t="shared" si="43"/>
        <v>2033.0833333333333</v>
      </c>
      <c r="AR138" s="193">
        <f t="shared" si="44"/>
        <v>140.36991666666665</v>
      </c>
      <c r="AS138" s="192">
        <f t="shared" si="45"/>
        <v>1684.4389999999999</v>
      </c>
      <c r="AT138" s="192">
        <f t="shared" si="46"/>
        <v>1684.4389999999999</v>
      </c>
      <c r="AU138" s="192">
        <f t="shared" si="47"/>
        <v>561.47966666692264</v>
      </c>
      <c r="AV138" s="192">
        <f t="shared" si="48"/>
        <v>2245.9186666669225</v>
      </c>
      <c r="AW138" s="191">
        <f t="shared" si="49"/>
        <v>14598.471333333076</v>
      </c>
      <c r="AX138" s="190" t="s">
        <v>72</v>
      </c>
      <c r="AY138" s="184"/>
    </row>
    <row r="139" spans="2:51" hidden="1">
      <c r="B139" s="198">
        <v>2183</v>
      </c>
      <c r="C139" s="199">
        <v>298245</v>
      </c>
      <c r="D139" s="198">
        <v>294886</v>
      </c>
      <c r="E139" s="198" t="s">
        <v>2003</v>
      </c>
      <c r="F139" s="198" t="s">
        <v>2177</v>
      </c>
      <c r="G139" s="198"/>
      <c r="H139" s="198"/>
      <c r="I139" s="200">
        <v>1</v>
      </c>
      <c r="J139" s="198" t="s">
        <v>1979</v>
      </c>
      <c r="K139" s="200">
        <v>2023</v>
      </c>
      <c r="L139" s="198"/>
      <c r="M139" s="198"/>
      <c r="N139" s="198" t="s">
        <v>2183</v>
      </c>
      <c r="O139" s="198" t="s">
        <v>2184</v>
      </c>
      <c r="P139" s="198" t="s">
        <v>1028</v>
      </c>
      <c r="Q139" s="198"/>
      <c r="R139" s="198"/>
      <c r="S139" s="201">
        <v>44928</v>
      </c>
      <c r="T139" s="201">
        <v>44928</v>
      </c>
      <c r="U139" s="198" t="s">
        <v>2178</v>
      </c>
      <c r="V139" s="198">
        <v>1000</v>
      </c>
      <c r="W139" s="198">
        <v>14040</v>
      </c>
      <c r="X139" s="202">
        <v>739.15</v>
      </c>
      <c r="Y139" s="198">
        <v>14046</v>
      </c>
      <c r="Z139" s="202">
        <v>98.56</v>
      </c>
      <c r="AA139" s="202">
        <v>0</v>
      </c>
      <c r="AB139" s="202">
        <v>640.58999999999992</v>
      </c>
      <c r="AC139" s="202">
        <v>24.64</v>
      </c>
      <c r="AD139" s="198">
        <v>51260</v>
      </c>
      <c r="AE139" s="202">
        <v>6.16</v>
      </c>
      <c r="AF139" s="202">
        <v>0</v>
      </c>
      <c r="AG139" s="202">
        <v>6.16</v>
      </c>
      <c r="AH139" s="198" t="s">
        <v>989</v>
      </c>
      <c r="AI139" s="198"/>
      <c r="AJ139" s="198"/>
      <c r="AK139" s="198">
        <v>1095</v>
      </c>
      <c r="AL139" s="198" t="s">
        <v>1852</v>
      </c>
      <c r="AM139" s="198" t="s">
        <v>1852</v>
      </c>
      <c r="AN139" s="196">
        <f t="shared" si="40"/>
        <v>1</v>
      </c>
      <c r="AO139" s="196">
        <f t="shared" si="41"/>
        <v>2023</v>
      </c>
      <c r="AP139" s="195">
        <f t="shared" si="42"/>
        <v>2033</v>
      </c>
      <c r="AQ139" s="194">
        <f t="shared" si="43"/>
        <v>2033.0833333333333</v>
      </c>
      <c r="AR139" s="193">
        <f t="shared" si="44"/>
        <v>6.159583333333333</v>
      </c>
      <c r="AS139" s="192">
        <f t="shared" si="45"/>
        <v>73.914999999999992</v>
      </c>
      <c r="AT139" s="192">
        <f t="shared" si="46"/>
        <v>73.914999999999992</v>
      </c>
      <c r="AU139" s="192">
        <f t="shared" si="47"/>
        <v>24.638333333344576</v>
      </c>
      <c r="AV139" s="192">
        <f t="shared" si="48"/>
        <v>98.553333333344568</v>
      </c>
      <c r="AW139" s="191">
        <f t="shared" si="49"/>
        <v>640.59666666665544</v>
      </c>
      <c r="AX139" s="190" t="s">
        <v>72</v>
      </c>
      <c r="AY139" s="184"/>
    </row>
    <row r="140" spans="2:51" hidden="1">
      <c r="B140" s="198">
        <v>2183</v>
      </c>
      <c r="C140" s="199">
        <v>297178</v>
      </c>
      <c r="D140" s="198">
        <v>294887</v>
      </c>
      <c r="E140" s="198" t="s">
        <v>2003</v>
      </c>
      <c r="F140" s="198" t="s">
        <v>1983</v>
      </c>
      <c r="G140" s="198"/>
      <c r="H140" s="198"/>
      <c r="I140" s="200">
        <v>1</v>
      </c>
      <c r="J140" s="198"/>
      <c r="K140" s="200">
        <v>0</v>
      </c>
      <c r="L140" s="198" t="s">
        <v>1112</v>
      </c>
      <c r="M140" s="198"/>
      <c r="N140" s="198" t="s">
        <v>2183</v>
      </c>
      <c r="O140" s="198" t="s">
        <v>2184</v>
      </c>
      <c r="P140" s="198" t="s">
        <v>1028</v>
      </c>
      <c r="Q140" s="198"/>
      <c r="R140" s="198"/>
      <c r="S140" s="201">
        <v>44873</v>
      </c>
      <c r="T140" s="201">
        <v>44873</v>
      </c>
      <c r="U140" s="198" t="s">
        <v>1981</v>
      </c>
      <c r="V140" s="198">
        <v>1000</v>
      </c>
      <c r="W140" s="198">
        <v>14040</v>
      </c>
      <c r="X140" s="202">
        <v>1046.8900000000001</v>
      </c>
      <c r="Y140" s="198">
        <v>14046</v>
      </c>
      <c r="Z140" s="202">
        <v>157.01</v>
      </c>
      <c r="AA140" s="202">
        <v>0</v>
      </c>
      <c r="AB140" s="202">
        <v>889.88000000000011</v>
      </c>
      <c r="AC140" s="202">
        <v>34.880000000000003</v>
      </c>
      <c r="AD140" s="198">
        <v>51260</v>
      </c>
      <c r="AE140" s="202">
        <v>8.7200000000000006</v>
      </c>
      <c r="AF140" s="202">
        <v>0</v>
      </c>
      <c r="AG140" s="202">
        <v>8.7200000000000006</v>
      </c>
      <c r="AH140" s="198" t="s">
        <v>989</v>
      </c>
      <c r="AI140" s="198"/>
      <c r="AJ140" s="198"/>
      <c r="AK140" s="198">
        <v>1094</v>
      </c>
      <c r="AL140" s="198" t="s">
        <v>1852</v>
      </c>
      <c r="AM140" s="198" t="s">
        <v>1852</v>
      </c>
      <c r="AN140" s="196">
        <f t="shared" si="40"/>
        <v>11</v>
      </c>
      <c r="AO140" s="196">
        <f t="shared" si="41"/>
        <v>2022</v>
      </c>
      <c r="AP140" s="195">
        <f t="shared" si="42"/>
        <v>2032</v>
      </c>
      <c r="AQ140" s="194">
        <f t="shared" si="43"/>
        <v>2032.9166666666667</v>
      </c>
      <c r="AR140" s="193">
        <f t="shared" si="44"/>
        <v>8.7240833333333345</v>
      </c>
      <c r="AS140" s="192">
        <f t="shared" si="45"/>
        <v>104.68900000000002</v>
      </c>
      <c r="AT140" s="192">
        <f t="shared" si="46"/>
        <v>104.68900000000002</v>
      </c>
      <c r="AU140" s="192">
        <f t="shared" si="47"/>
        <v>52.344499999999925</v>
      </c>
      <c r="AV140" s="192">
        <f t="shared" si="48"/>
        <v>157.03349999999995</v>
      </c>
      <c r="AW140" s="191">
        <f t="shared" si="49"/>
        <v>889.8565000000001</v>
      </c>
      <c r="AX140" s="190" t="s">
        <v>72</v>
      </c>
      <c r="AY140" s="184"/>
    </row>
    <row r="141" spans="2:51">
      <c r="B141" s="198">
        <v>2183</v>
      </c>
      <c r="C141" s="199">
        <v>294887</v>
      </c>
      <c r="D141" s="198" t="s">
        <v>989</v>
      </c>
      <c r="E141" s="198" t="s">
        <v>2003</v>
      </c>
      <c r="F141" s="198" t="s">
        <v>1980</v>
      </c>
      <c r="G141" s="198"/>
      <c r="H141" s="198"/>
      <c r="I141" s="200">
        <v>1</v>
      </c>
      <c r="J141" s="198" t="s">
        <v>1982</v>
      </c>
      <c r="K141" s="200">
        <v>2023</v>
      </c>
      <c r="L141" s="198" t="s">
        <v>1097</v>
      </c>
      <c r="M141" s="198" t="s">
        <v>1098</v>
      </c>
      <c r="N141" s="198" t="s">
        <v>2183</v>
      </c>
      <c r="O141" s="198" t="s">
        <v>2184</v>
      </c>
      <c r="P141" s="198" t="s">
        <v>2186</v>
      </c>
      <c r="Q141" s="198"/>
      <c r="R141" s="198"/>
      <c r="S141" s="201">
        <v>44873</v>
      </c>
      <c r="T141" s="201">
        <v>44873</v>
      </c>
      <c r="U141" s="198" t="s">
        <v>1981</v>
      </c>
      <c r="V141" s="198">
        <v>1000</v>
      </c>
      <c r="W141" s="198">
        <v>14040</v>
      </c>
      <c r="X141" s="202">
        <v>331992.39</v>
      </c>
      <c r="Y141" s="198">
        <v>14046</v>
      </c>
      <c r="Z141" s="202">
        <v>49798.85</v>
      </c>
      <c r="AA141" s="202">
        <v>0</v>
      </c>
      <c r="AB141" s="202">
        <v>282193.54000000004</v>
      </c>
      <c r="AC141" s="202">
        <v>11066.4</v>
      </c>
      <c r="AD141" s="198">
        <v>51260</v>
      </c>
      <c r="AE141" s="202">
        <v>2766.6</v>
      </c>
      <c r="AF141" s="202">
        <v>0</v>
      </c>
      <c r="AG141" s="202">
        <v>2766.6</v>
      </c>
      <c r="AH141" s="198" t="s">
        <v>989</v>
      </c>
      <c r="AI141" s="198"/>
      <c r="AJ141" s="198">
        <v>1094</v>
      </c>
      <c r="AK141" s="198">
        <v>1094</v>
      </c>
      <c r="AL141" s="198" t="s">
        <v>1852</v>
      </c>
      <c r="AM141" s="198" t="s">
        <v>1852</v>
      </c>
      <c r="AN141" s="196">
        <f t="shared" si="40"/>
        <v>11</v>
      </c>
      <c r="AO141" s="196">
        <f t="shared" si="41"/>
        <v>2022</v>
      </c>
      <c r="AP141" s="195">
        <f t="shared" si="42"/>
        <v>2032</v>
      </c>
      <c r="AQ141" s="194">
        <f t="shared" si="43"/>
        <v>2032.9166666666667</v>
      </c>
      <c r="AR141" s="193">
        <f t="shared" si="44"/>
        <v>2766.6032500000001</v>
      </c>
      <c r="AS141" s="192">
        <f t="shared" si="45"/>
        <v>33199.239000000001</v>
      </c>
      <c r="AT141" s="192">
        <f t="shared" si="46"/>
        <v>33199.239000000001</v>
      </c>
      <c r="AU141" s="192">
        <f t="shared" si="47"/>
        <v>16599.61950000003</v>
      </c>
      <c r="AV141" s="192">
        <f t="shared" si="48"/>
        <v>49798.858500000031</v>
      </c>
      <c r="AW141" s="191">
        <f t="shared" si="49"/>
        <v>282193.53149999998</v>
      </c>
      <c r="AX141" s="190" t="s">
        <v>72</v>
      </c>
      <c r="AY141" s="184"/>
    </row>
    <row r="142" spans="2:51">
      <c r="B142" s="198">
        <v>2183</v>
      </c>
      <c r="C142" s="199">
        <v>294886</v>
      </c>
      <c r="D142" s="198" t="s">
        <v>989</v>
      </c>
      <c r="E142" s="198" t="s">
        <v>2003</v>
      </c>
      <c r="F142" s="198" t="s">
        <v>1980</v>
      </c>
      <c r="G142" s="198"/>
      <c r="H142" s="198"/>
      <c r="I142" s="200">
        <v>1</v>
      </c>
      <c r="J142" s="198" t="s">
        <v>1979</v>
      </c>
      <c r="K142" s="200">
        <v>2023</v>
      </c>
      <c r="L142" s="198" t="s">
        <v>1097</v>
      </c>
      <c r="M142" s="198" t="s">
        <v>1098</v>
      </c>
      <c r="N142" s="198" t="s">
        <v>2183</v>
      </c>
      <c r="O142" s="198" t="s">
        <v>2184</v>
      </c>
      <c r="P142" s="198" t="s">
        <v>2186</v>
      </c>
      <c r="Q142" s="198"/>
      <c r="R142" s="198"/>
      <c r="S142" s="201">
        <v>44896</v>
      </c>
      <c r="T142" s="201">
        <v>44896</v>
      </c>
      <c r="U142" s="198" t="s">
        <v>1978</v>
      </c>
      <c r="V142" s="198">
        <v>1000</v>
      </c>
      <c r="W142" s="198">
        <v>14040</v>
      </c>
      <c r="X142" s="202">
        <v>331424.83</v>
      </c>
      <c r="Y142" s="198">
        <v>14046</v>
      </c>
      <c r="Z142" s="202">
        <v>46951.83</v>
      </c>
      <c r="AA142" s="202">
        <v>0</v>
      </c>
      <c r="AB142" s="202">
        <v>284473</v>
      </c>
      <c r="AC142" s="202">
        <v>11047.48</v>
      </c>
      <c r="AD142" s="198">
        <v>51260</v>
      </c>
      <c r="AE142" s="202">
        <v>2761.87</v>
      </c>
      <c r="AF142" s="202">
        <v>0</v>
      </c>
      <c r="AG142" s="202">
        <v>2761.87</v>
      </c>
      <c r="AH142" s="198" t="s">
        <v>989</v>
      </c>
      <c r="AI142" s="198"/>
      <c r="AJ142" s="198">
        <v>1095</v>
      </c>
      <c r="AK142" s="198">
        <v>1095</v>
      </c>
      <c r="AL142" s="198" t="s">
        <v>1852</v>
      </c>
      <c r="AM142" s="198" t="s">
        <v>1852</v>
      </c>
      <c r="AN142" s="196">
        <f t="shared" si="40"/>
        <v>12</v>
      </c>
      <c r="AO142" s="196">
        <f t="shared" si="41"/>
        <v>2022</v>
      </c>
      <c r="AP142" s="195">
        <f t="shared" si="42"/>
        <v>2032</v>
      </c>
      <c r="AQ142" s="194">
        <f t="shared" si="43"/>
        <v>2033</v>
      </c>
      <c r="AR142" s="193">
        <f t="shared" si="44"/>
        <v>2761.8735833333335</v>
      </c>
      <c r="AS142" s="192">
        <f t="shared" si="45"/>
        <v>33142.483</v>
      </c>
      <c r="AT142" s="192">
        <f t="shared" si="46"/>
        <v>33142.483</v>
      </c>
      <c r="AU142" s="192">
        <f t="shared" si="47"/>
        <v>13809.367916669173</v>
      </c>
      <c r="AV142" s="192">
        <f t="shared" si="48"/>
        <v>46951.850916669173</v>
      </c>
      <c r="AW142" s="191">
        <f t="shared" si="49"/>
        <v>284472.97908333084</v>
      </c>
      <c r="AX142" s="190" t="s">
        <v>72</v>
      </c>
      <c r="AY142" s="184"/>
    </row>
    <row r="143" spans="2:51">
      <c r="B143" s="198">
        <v>2183</v>
      </c>
      <c r="C143" s="199">
        <v>294320</v>
      </c>
      <c r="D143" s="198" t="s">
        <v>989</v>
      </c>
      <c r="E143" s="198" t="s">
        <v>2003</v>
      </c>
      <c r="F143" s="198" t="s">
        <v>615</v>
      </c>
      <c r="G143" s="198"/>
      <c r="H143" s="198"/>
      <c r="I143" s="200">
        <v>1080</v>
      </c>
      <c r="J143" s="198"/>
      <c r="K143" s="200">
        <v>0</v>
      </c>
      <c r="L143" s="198" t="s">
        <v>1001</v>
      </c>
      <c r="M143" s="198"/>
      <c r="N143" s="198" t="s">
        <v>2190</v>
      </c>
      <c r="O143" s="198" t="s">
        <v>2184</v>
      </c>
      <c r="P143" s="198"/>
      <c r="Q143" s="198"/>
      <c r="R143" s="198"/>
      <c r="S143" s="201">
        <v>44900</v>
      </c>
      <c r="T143" s="201">
        <v>44900</v>
      </c>
      <c r="U143" s="198" t="s">
        <v>1945</v>
      </c>
      <c r="V143" s="198">
        <v>700</v>
      </c>
      <c r="W143" s="198">
        <v>14050</v>
      </c>
      <c r="X143" s="202">
        <v>55180.12</v>
      </c>
      <c r="Y143" s="198">
        <v>14056</v>
      </c>
      <c r="Z143" s="202">
        <v>11167.43</v>
      </c>
      <c r="AA143" s="202">
        <v>0</v>
      </c>
      <c r="AB143" s="202">
        <v>44012.69</v>
      </c>
      <c r="AC143" s="202">
        <v>2627.64</v>
      </c>
      <c r="AD143" s="198">
        <v>54260</v>
      </c>
      <c r="AE143" s="202">
        <v>656.91</v>
      </c>
      <c r="AF143" s="202">
        <v>0</v>
      </c>
      <c r="AG143" s="202">
        <v>656.91</v>
      </c>
      <c r="AH143" s="198" t="s">
        <v>989</v>
      </c>
      <c r="AI143" s="198"/>
      <c r="AJ143" s="198"/>
      <c r="AK143" s="198">
        <v>0</v>
      </c>
      <c r="AL143" s="198" t="s">
        <v>929</v>
      </c>
      <c r="AM143" s="198" t="s">
        <v>929</v>
      </c>
      <c r="AN143" s="196">
        <f t="shared" si="40"/>
        <v>12</v>
      </c>
      <c r="AO143" s="196">
        <f t="shared" si="41"/>
        <v>2022</v>
      </c>
      <c r="AP143" s="195">
        <f t="shared" si="42"/>
        <v>2029</v>
      </c>
      <c r="AQ143" s="194">
        <f t="shared" si="43"/>
        <v>2030</v>
      </c>
      <c r="AR143" s="193">
        <f t="shared" si="44"/>
        <v>656.90619047619055</v>
      </c>
      <c r="AS143" s="192">
        <f t="shared" si="45"/>
        <v>7882.8742857142861</v>
      </c>
      <c r="AT143" s="192">
        <f t="shared" si="46"/>
        <v>7882.8742857142861</v>
      </c>
      <c r="AU143" s="192">
        <f t="shared" si="47"/>
        <v>3284.5309523815449</v>
      </c>
      <c r="AV143" s="192">
        <f t="shared" si="48"/>
        <v>11167.405238095831</v>
      </c>
      <c r="AW143" s="191">
        <f t="shared" si="49"/>
        <v>44012.714761904172</v>
      </c>
      <c r="AX143" s="190" t="s">
        <v>72</v>
      </c>
      <c r="AY143" s="184"/>
    </row>
    <row r="144" spans="2:51">
      <c r="B144" s="198">
        <v>2183</v>
      </c>
      <c r="C144" s="199">
        <v>294319</v>
      </c>
      <c r="D144" s="198" t="s">
        <v>989</v>
      </c>
      <c r="E144" s="198" t="s">
        <v>2003</v>
      </c>
      <c r="F144" s="198" t="s">
        <v>1583</v>
      </c>
      <c r="G144" s="198"/>
      <c r="H144" s="198"/>
      <c r="I144" s="200">
        <v>702</v>
      </c>
      <c r="J144" s="198"/>
      <c r="K144" s="200">
        <v>0</v>
      </c>
      <c r="L144" s="198" t="s">
        <v>1001</v>
      </c>
      <c r="M144" s="198"/>
      <c r="N144" s="198" t="s">
        <v>2190</v>
      </c>
      <c r="O144" s="198" t="s">
        <v>2184</v>
      </c>
      <c r="P144" s="198"/>
      <c r="Q144" s="198"/>
      <c r="R144" s="198"/>
      <c r="S144" s="201">
        <v>44879</v>
      </c>
      <c r="T144" s="201">
        <v>44879</v>
      </c>
      <c r="U144" s="198" t="s">
        <v>1945</v>
      </c>
      <c r="V144" s="198">
        <v>700</v>
      </c>
      <c r="W144" s="198">
        <v>14050</v>
      </c>
      <c r="X144" s="202">
        <v>47981.63</v>
      </c>
      <c r="Y144" s="198">
        <v>14056</v>
      </c>
      <c r="Z144" s="202">
        <v>10281.780000000001</v>
      </c>
      <c r="AA144" s="202">
        <v>0</v>
      </c>
      <c r="AB144" s="202">
        <v>37699.85</v>
      </c>
      <c r="AC144" s="202">
        <v>2284.84</v>
      </c>
      <c r="AD144" s="198">
        <v>54260</v>
      </c>
      <c r="AE144" s="202">
        <v>571.21</v>
      </c>
      <c r="AF144" s="202">
        <v>0</v>
      </c>
      <c r="AG144" s="202">
        <v>571.21</v>
      </c>
      <c r="AH144" s="198" t="s">
        <v>989</v>
      </c>
      <c r="AI144" s="198"/>
      <c r="AJ144" s="198"/>
      <c r="AK144" s="198">
        <v>0</v>
      </c>
      <c r="AL144" s="198" t="s">
        <v>424</v>
      </c>
      <c r="AM144" s="198" t="s">
        <v>424</v>
      </c>
      <c r="AN144" s="196">
        <f t="shared" si="40"/>
        <v>11</v>
      </c>
      <c r="AO144" s="196">
        <f t="shared" si="41"/>
        <v>2022</v>
      </c>
      <c r="AP144" s="195">
        <f t="shared" si="42"/>
        <v>2029</v>
      </c>
      <c r="AQ144" s="194">
        <f t="shared" si="43"/>
        <v>2029.9166666666667</v>
      </c>
      <c r="AR144" s="193">
        <f t="shared" si="44"/>
        <v>571.2098809523809</v>
      </c>
      <c r="AS144" s="192">
        <f t="shared" si="45"/>
        <v>6854.5185714285708</v>
      </c>
      <c r="AT144" s="192">
        <f t="shared" si="46"/>
        <v>6854.5185714285708</v>
      </c>
      <c r="AU144" s="192">
        <f t="shared" si="47"/>
        <v>3427.2592857142881</v>
      </c>
      <c r="AV144" s="192">
        <f t="shared" si="48"/>
        <v>10281.777857142859</v>
      </c>
      <c r="AW144" s="191">
        <f t="shared" si="49"/>
        <v>37699.85214285714</v>
      </c>
      <c r="AX144" s="190" t="s">
        <v>72</v>
      </c>
      <c r="AY144" s="184"/>
    </row>
    <row r="145" spans="2:51">
      <c r="B145" s="198">
        <v>2183</v>
      </c>
      <c r="C145" s="199">
        <v>293699</v>
      </c>
      <c r="D145" s="198" t="s">
        <v>989</v>
      </c>
      <c r="E145" s="198" t="s">
        <v>2003</v>
      </c>
      <c r="F145" s="198" t="s">
        <v>1977</v>
      </c>
      <c r="G145" s="198"/>
      <c r="H145" s="198"/>
      <c r="I145" s="200">
        <v>1</v>
      </c>
      <c r="J145" s="198"/>
      <c r="K145" s="200">
        <v>0</v>
      </c>
      <c r="L145" s="198" t="s">
        <v>1899</v>
      </c>
      <c r="M145" s="198"/>
      <c r="N145" s="198" t="s">
        <v>2199</v>
      </c>
      <c r="O145" s="198" t="s">
        <v>2184</v>
      </c>
      <c r="P145" s="198"/>
      <c r="Q145" s="198"/>
      <c r="R145" s="198"/>
      <c r="S145" s="201">
        <v>44880</v>
      </c>
      <c r="T145" s="201">
        <v>44880</v>
      </c>
      <c r="U145" s="198" t="s">
        <v>1976</v>
      </c>
      <c r="V145" s="198">
        <v>300</v>
      </c>
      <c r="W145" s="198">
        <v>14110</v>
      </c>
      <c r="X145" s="202">
        <v>1157.4100000000001</v>
      </c>
      <c r="Y145" s="198">
        <v>14116</v>
      </c>
      <c r="Z145" s="202">
        <v>578.70000000000005</v>
      </c>
      <c r="AA145" s="202">
        <v>0</v>
      </c>
      <c r="AB145" s="202">
        <v>578.71</v>
      </c>
      <c r="AC145" s="202">
        <v>128.6</v>
      </c>
      <c r="AD145" s="198">
        <v>70260</v>
      </c>
      <c r="AE145" s="202">
        <v>32.15</v>
      </c>
      <c r="AF145" s="202">
        <v>0</v>
      </c>
      <c r="AG145" s="202">
        <v>32.15</v>
      </c>
      <c r="AH145" s="198" t="s">
        <v>989</v>
      </c>
      <c r="AI145" s="198"/>
      <c r="AJ145" s="198"/>
      <c r="AK145" s="198">
        <v>0</v>
      </c>
      <c r="AL145" s="198" t="s">
        <v>932</v>
      </c>
      <c r="AM145" s="198" t="s">
        <v>932</v>
      </c>
      <c r="AN145" s="196">
        <f t="shared" ref="AN145:AN208" si="50">MONTH($S145)</f>
        <v>11</v>
      </c>
      <c r="AO145" s="196">
        <f t="shared" ref="AO145:AO208" si="51">YEAR($S145)</f>
        <v>2022</v>
      </c>
      <c r="AP145" s="195">
        <f t="shared" ref="AP145:AP208" si="52">$AO145+($V145/100)</f>
        <v>2025</v>
      </c>
      <c r="AQ145" s="194">
        <f t="shared" ref="AQ145:AQ208" si="53">$AP145+($AN145/12)</f>
        <v>2025.9166666666667</v>
      </c>
      <c r="AR145" s="193">
        <f t="shared" ref="AR145:AR208" si="54">IFERROR($X145/($V145/100)/12,0)</f>
        <v>32.150277777777781</v>
      </c>
      <c r="AS145" s="192">
        <f t="shared" ref="AS145:AS208" si="55">$AR145*12</f>
        <v>385.8033333333334</v>
      </c>
      <c r="AT145" s="192">
        <f t="shared" ref="AT145:AT208" si="56">IF(AQ145&lt;$AK$12,0,AS145)</f>
        <v>385.8033333333334</v>
      </c>
      <c r="AU145" s="192">
        <f t="shared" ref="AU145:AU208" si="57">IF(AQ145&lt;=$AK$13,X145,IF(((AO145+AN145/12))&gt;=$AK$13,0,((X145-((AQ145-$AK$13)*12)*AR145))))</f>
        <v>192.90166666666664</v>
      </c>
      <c r="AV145" s="192">
        <f t="shared" ref="AV145:AV208" si="58">IF(AQ145&lt;$AK$12,X145,AT145+AU145)</f>
        <v>578.70500000000004</v>
      </c>
      <c r="AW145" s="191">
        <f t="shared" ref="AW145:AW208" si="59">+X145-AV145</f>
        <v>578.70500000000004</v>
      </c>
      <c r="AX145" s="190" t="s">
        <v>72</v>
      </c>
      <c r="AY145" s="184"/>
    </row>
    <row r="146" spans="2:51" hidden="1">
      <c r="B146" s="198">
        <v>2183</v>
      </c>
      <c r="C146" s="199">
        <v>293675</v>
      </c>
      <c r="D146" s="198">
        <v>293412</v>
      </c>
      <c r="E146" s="198" t="s">
        <v>2003</v>
      </c>
      <c r="F146" s="198" t="s">
        <v>1975</v>
      </c>
      <c r="G146" s="198"/>
      <c r="H146" s="198"/>
      <c r="I146" s="200">
        <v>1</v>
      </c>
      <c r="J146" s="198"/>
      <c r="K146" s="200">
        <v>0</v>
      </c>
      <c r="L146" s="198" t="s">
        <v>1974</v>
      </c>
      <c r="M146" s="198"/>
      <c r="N146" s="198" t="s">
        <v>2198</v>
      </c>
      <c r="O146" s="198" t="s">
        <v>2184</v>
      </c>
      <c r="P146" s="198"/>
      <c r="Q146" s="198"/>
      <c r="R146" s="198"/>
      <c r="S146" s="201">
        <v>44880</v>
      </c>
      <c r="T146" s="201">
        <v>44880</v>
      </c>
      <c r="U146" s="198" t="s">
        <v>1968</v>
      </c>
      <c r="V146" s="198">
        <v>500</v>
      </c>
      <c r="W146" s="198">
        <v>14070</v>
      </c>
      <c r="X146" s="202">
        <v>394.18</v>
      </c>
      <c r="Y146" s="198">
        <v>14076</v>
      </c>
      <c r="Z146" s="202">
        <v>118.26</v>
      </c>
      <c r="AA146" s="202">
        <v>0</v>
      </c>
      <c r="AB146" s="202">
        <v>275.92</v>
      </c>
      <c r="AC146" s="202">
        <v>26.28</v>
      </c>
      <c r="AD146" s="198">
        <v>51260</v>
      </c>
      <c r="AE146" s="202">
        <v>6.57</v>
      </c>
      <c r="AF146" s="202">
        <v>0</v>
      </c>
      <c r="AG146" s="202">
        <v>6.57</v>
      </c>
      <c r="AH146" s="198" t="s">
        <v>989</v>
      </c>
      <c r="AI146" s="198"/>
      <c r="AJ146" s="198"/>
      <c r="AK146" s="198">
        <v>0</v>
      </c>
      <c r="AL146" s="198" t="s">
        <v>932</v>
      </c>
      <c r="AM146" s="198" t="s">
        <v>932</v>
      </c>
      <c r="AN146" s="196">
        <f t="shared" si="50"/>
        <v>11</v>
      </c>
      <c r="AO146" s="196">
        <f t="shared" si="51"/>
        <v>2022</v>
      </c>
      <c r="AP146" s="195">
        <f t="shared" si="52"/>
        <v>2027</v>
      </c>
      <c r="AQ146" s="194">
        <f t="shared" si="53"/>
        <v>2027.9166666666667</v>
      </c>
      <c r="AR146" s="193">
        <f t="shared" si="54"/>
        <v>6.5696666666666665</v>
      </c>
      <c r="AS146" s="192">
        <f t="shared" si="55"/>
        <v>78.835999999999999</v>
      </c>
      <c r="AT146" s="192">
        <f t="shared" si="56"/>
        <v>78.835999999999999</v>
      </c>
      <c r="AU146" s="192">
        <f t="shared" si="57"/>
        <v>39.418000000000006</v>
      </c>
      <c r="AV146" s="192">
        <f t="shared" si="58"/>
        <v>118.254</v>
      </c>
      <c r="AW146" s="191">
        <f t="shared" si="59"/>
        <v>275.92599999999999</v>
      </c>
      <c r="AX146" s="190" t="s">
        <v>72</v>
      </c>
      <c r="AY146" s="184"/>
    </row>
    <row r="147" spans="2:51" hidden="1">
      <c r="B147" s="198">
        <v>2183</v>
      </c>
      <c r="C147" s="199">
        <v>293640</v>
      </c>
      <c r="D147" s="198">
        <v>292497</v>
      </c>
      <c r="E147" s="198" t="s">
        <v>2003</v>
      </c>
      <c r="F147" s="198" t="s">
        <v>1973</v>
      </c>
      <c r="G147" s="198"/>
      <c r="H147" s="198"/>
      <c r="I147" s="200">
        <v>1</v>
      </c>
      <c r="J147" s="198"/>
      <c r="K147" s="200">
        <v>0</v>
      </c>
      <c r="L147" s="198" t="s">
        <v>1972</v>
      </c>
      <c r="M147" s="198"/>
      <c r="N147" s="198" t="s">
        <v>2183</v>
      </c>
      <c r="O147" s="198" t="s">
        <v>2184</v>
      </c>
      <c r="P147" s="198" t="s">
        <v>1028</v>
      </c>
      <c r="Q147" s="198"/>
      <c r="R147" s="198"/>
      <c r="S147" s="201">
        <v>44862</v>
      </c>
      <c r="T147" s="201">
        <v>44862</v>
      </c>
      <c r="U147" s="198" t="s">
        <v>1965</v>
      </c>
      <c r="V147" s="198">
        <v>500</v>
      </c>
      <c r="W147" s="198">
        <v>14040</v>
      </c>
      <c r="X147" s="202">
        <v>771.44</v>
      </c>
      <c r="Y147" s="198">
        <v>14046</v>
      </c>
      <c r="Z147" s="202">
        <v>231.45</v>
      </c>
      <c r="AA147" s="202">
        <v>0</v>
      </c>
      <c r="AB147" s="202">
        <v>539.99</v>
      </c>
      <c r="AC147" s="202">
        <v>51.44</v>
      </c>
      <c r="AD147" s="198">
        <v>51260</v>
      </c>
      <c r="AE147" s="202">
        <v>12.86</v>
      </c>
      <c r="AF147" s="202">
        <v>0</v>
      </c>
      <c r="AG147" s="202">
        <v>12.86</v>
      </c>
      <c r="AH147" s="198" t="s">
        <v>989</v>
      </c>
      <c r="AI147" s="198"/>
      <c r="AJ147" s="198"/>
      <c r="AK147" s="198">
        <v>3727</v>
      </c>
      <c r="AL147" s="198" t="s">
        <v>1857</v>
      </c>
      <c r="AM147" s="198" t="s">
        <v>1857</v>
      </c>
      <c r="AN147" s="196">
        <f t="shared" si="50"/>
        <v>10</v>
      </c>
      <c r="AO147" s="196">
        <f t="shared" si="51"/>
        <v>2022</v>
      </c>
      <c r="AP147" s="195">
        <f t="shared" si="52"/>
        <v>2027</v>
      </c>
      <c r="AQ147" s="194">
        <f t="shared" si="53"/>
        <v>2027.8333333333333</v>
      </c>
      <c r="AR147" s="193">
        <f t="shared" si="54"/>
        <v>12.857333333333335</v>
      </c>
      <c r="AS147" s="192">
        <f t="shared" si="55"/>
        <v>154.28800000000001</v>
      </c>
      <c r="AT147" s="192">
        <f t="shared" si="56"/>
        <v>154.28800000000001</v>
      </c>
      <c r="AU147" s="192">
        <f t="shared" si="57"/>
        <v>90.001333333356683</v>
      </c>
      <c r="AV147" s="192">
        <f t="shared" si="58"/>
        <v>244.28933333335669</v>
      </c>
      <c r="AW147" s="191">
        <f t="shared" si="59"/>
        <v>527.15066666664336</v>
      </c>
      <c r="AX147" s="190" t="s">
        <v>72</v>
      </c>
      <c r="AY147" s="184"/>
    </row>
    <row r="148" spans="2:51" hidden="1">
      <c r="B148" s="198">
        <v>2183</v>
      </c>
      <c r="C148" s="199">
        <v>293517</v>
      </c>
      <c r="D148" s="198">
        <v>292497</v>
      </c>
      <c r="E148" s="198" t="s">
        <v>2003</v>
      </c>
      <c r="F148" s="198" t="s">
        <v>1971</v>
      </c>
      <c r="G148" s="198"/>
      <c r="H148" s="198"/>
      <c r="I148" s="200">
        <v>1</v>
      </c>
      <c r="J148" s="198"/>
      <c r="K148" s="200">
        <v>0</v>
      </c>
      <c r="L148" s="198" t="s">
        <v>1112</v>
      </c>
      <c r="M148" s="198"/>
      <c r="N148" s="198" t="s">
        <v>2183</v>
      </c>
      <c r="O148" s="198" t="s">
        <v>2184</v>
      </c>
      <c r="P148" s="198" t="s">
        <v>1028</v>
      </c>
      <c r="Q148" s="198"/>
      <c r="R148" s="198"/>
      <c r="S148" s="201">
        <v>44862</v>
      </c>
      <c r="T148" s="201">
        <v>44862</v>
      </c>
      <c r="U148" s="198" t="s">
        <v>1965</v>
      </c>
      <c r="V148" s="198">
        <v>1000</v>
      </c>
      <c r="W148" s="198">
        <v>14040</v>
      </c>
      <c r="X148" s="202">
        <v>1281.04</v>
      </c>
      <c r="Y148" s="198">
        <v>14046</v>
      </c>
      <c r="Z148" s="202">
        <v>192.17</v>
      </c>
      <c r="AA148" s="202">
        <v>0</v>
      </c>
      <c r="AB148" s="202">
        <v>1088.8699999999999</v>
      </c>
      <c r="AC148" s="202">
        <v>42.72</v>
      </c>
      <c r="AD148" s="198">
        <v>51260</v>
      </c>
      <c r="AE148" s="202">
        <v>10.68</v>
      </c>
      <c r="AF148" s="202">
        <v>0</v>
      </c>
      <c r="AG148" s="202">
        <v>10.68</v>
      </c>
      <c r="AH148" s="198" t="s">
        <v>989</v>
      </c>
      <c r="AI148" s="198"/>
      <c r="AJ148" s="198"/>
      <c r="AK148" s="198">
        <v>3727</v>
      </c>
      <c r="AL148" s="198" t="s">
        <v>1857</v>
      </c>
      <c r="AM148" s="198" t="s">
        <v>1857</v>
      </c>
      <c r="AN148" s="196">
        <f t="shared" si="50"/>
        <v>10</v>
      </c>
      <c r="AO148" s="196">
        <f t="shared" si="51"/>
        <v>2022</v>
      </c>
      <c r="AP148" s="195">
        <f t="shared" si="52"/>
        <v>2032</v>
      </c>
      <c r="AQ148" s="194">
        <f t="shared" si="53"/>
        <v>2032.8333333333333</v>
      </c>
      <c r="AR148" s="193">
        <f t="shared" si="54"/>
        <v>10.675333333333333</v>
      </c>
      <c r="AS148" s="192">
        <f t="shared" si="55"/>
        <v>128.10399999999998</v>
      </c>
      <c r="AT148" s="192">
        <f t="shared" si="56"/>
        <v>128.10399999999998</v>
      </c>
      <c r="AU148" s="192">
        <f t="shared" si="57"/>
        <v>74.727333333352817</v>
      </c>
      <c r="AV148" s="192">
        <f t="shared" si="58"/>
        <v>202.8313333333528</v>
      </c>
      <c r="AW148" s="191">
        <f t="shared" si="59"/>
        <v>1078.2086666666471</v>
      </c>
      <c r="AX148" s="190" t="s">
        <v>72</v>
      </c>
      <c r="AY148" s="184"/>
    </row>
    <row r="149" spans="2:51" hidden="1">
      <c r="B149" s="198">
        <v>2183</v>
      </c>
      <c r="C149" s="199">
        <v>293516</v>
      </c>
      <c r="D149" s="198">
        <v>292497</v>
      </c>
      <c r="E149" s="198" t="s">
        <v>2003</v>
      </c>
      <c r="F149" s="198" t="s">
        <v>1970</v>
      </c>
      <c r="G149" s="198"/>
      <c r="H149" s="198"/>
      <c r="I149" s="200">
        <v>1</v>
      </c>
      <c r="J149" s="198"/>
      <c r="K149" s="200">
        <v>0</v>
      </c>
      <c r="L149" s="198" t="s">
        <v>1151</v>
      </c>
      <c r="M149" s="198"/>
      <c r="N149" s="198" t="s">
        <v>2183</v>
      </c>
      <c r="O149" s="198" t="s">
        <v>2184</v>
      </c>
      <c r="P149" s="198" t="s">
        <v>1028</v>
      </c>
      <c r="Q149" s="198"/>
      <c r="R149" s="198"/>
      <c r="S149" s="201">
        <v>44854</v>
      </c>
      <c r="T149" s="201">
        <v>44854</v>
      </c>
      <c r="U149" s="198" t="s">
        <v>1965</v>
      </c>
      <c r="V149" s="198">
        <v>1000</v>
      </c>
      <c r="W149" s="198">
        <v>14040</v>
      </c>
      <c r="X149" s="202">
        <v>958.13</v>
      </c>
      <c r="Y149" s="198">
        <v>14046</v>
      </c>
      <c r="Z149" s="202">
        <v>143.69999999999999</v>
      </c>
      <c r="AA149" s="202">
        <v>0</v>
      </c>
      <c r="AB149" s="202">
        <v>814.43000000000006</v>
      </c>
      <c r="AC149" s="202">
        <v>31.92</v>
      </c>
      <c r="AD149" s="198">
        <v>51260</v>
      </c>
      <c r="AE149" s="202">
        <v>7.98</v>
      </c>
      <c r="AF149" s="202">
        <v>0</v>
      </c>
      <c r="AG149" s="202">
        <v>7.98</v>
      </c>
      <c r="AH149" s="198" t="s">
        <v>989</v>
      </c>
      <c r="AI149" s="198"/>
      <c r="AJ149" s="198"/>
      <c r="AK149" s="198">
        <v>3727</v>
      </c>
      <c r="AL149" s="198" t="s">
        <v>1857</v>
      </c>
      <c r="AM149" s="198" t="s">
        <v>1857</v>
      </c>
      <c r="AN149" s="196">
        <f t="shared" si="50"/>
        <v>10</v>
      </c>
      <c r="AO149" s="196">
        <f t="shared" si="51"/>
        <v>2022</v>
      </c>
      <c r="AP149" s="195">
        <f t="shared" si="52"/>
        <v>2032</v>
      </c>
      <c r="AQ149" s="194">
        <f t="shared" si="53"/>
        <v>2032.8333333333333</v>
      </c>
      <c r="AR149" s="193">
        <f t="shared" si="54"/>
        <v>7.9844166666666672</v>
      </c>
      <c r="AS149" s="192">
        <f t="shared" si="55"/>
        <v>95.813000000000002</v>
      </c>
      <c r="AT149" s="192">
        <f t="shared" si="56"/>
        <v>95.813000000000002</v>
      </c>
      <c r="AU149" s="192">
        <f t="shared" si="57"/>
        <v>55.890916666681164</v>
      </c>
      <c r="AV149" s="192">
        <f t="shared" si="58"/>
        <v>151.70391666668115</v>
      </c>
      <c r="AW149" s="191">
        <f t="shared" si="59"/>
        <v>806.42608333331884</v>
      </c>
      <c r="AX149" s="190" t="s">
        <v>72</v>
      </c>
      <c r="AY149" s="184"/>
    </row>
    <row r="150" spans="2:51">
      <c r="B150" s="198">
        <v>2183</v>
      </c>
      <c r="C150" s="199">
        <v>293412</v>
      </c>
      <c r="D150" s="198" t="s">
        <v>989</v>
      </c>
      <c r="E150" s="198" t="s">
        <v>2003</v>
      </c>
      <c r="F150" s="198" t="s">
        <v>1969</v>
      </c>
      <c r="G150" s="198"/>
      <c r="H150" s="198"/>
      <c r="I150" s="200">
        <v>1</v>
      </c>
      <c r="J150" s="198"/>
      <c r="K150" s="200">
        <v>0</v>
      </c>
      <c r="L150" s="198"/>
      <c r="M150" s="198"/>
      <c r="N150" s="198" t="s">
        <v>2199</v>
      </c>
      <c r="O150" s="198" t="s">
        <v>2184</v>
      </c>
      <c r="P150" s="198"/>
      <c r="Q150" s="198"/>
      <c r="R150" s="198"/>
      <c r="S150" s="201">
        <v>44880</v>
      </c>
      <c r="T150" s="201">
        <v>44880</v>
      </c>
      <c r="U150" s="198" t="s">
        <v>1968</v>
      </c>
      <c r="V150" s="198">
        <v>200</v>
      </c>
      <c r="W150" s="198">
        <v>14110</v>
      </c>
      <c r="X150" s="202">
        <v>6600.99</v>
      </c>
      <c r="Y150" s="198">
        <v>14116</v>
      </c>
      <c r="Z150" s="202">
        <v>4950.74</v>
      </c>
      <c r="AA150" s="202">
        <v>0</v>
      </c>
      <c r="AB150" s="202">
        <v>1650.25</v>
      </c>
      <c r="AC150" s="202">
        <v>1100.1600000000001</v>
      </c>
      <c r="AD150" s="198">
        <v>70260</v>
      </c>
      <c r="AE150" s="202">
        <v>275.04000000000002</v>
      </c>
      <c r="AF150" s="202">
        <v>0</v>
      </c>
      <c r="AG150" s="202">
        <v>275.04000000000002</v>
      </c>
      <c r="AH150" s="198" t="s">
        <v>989</v>
      </c>
      <c r="AI150" s="198"/>
      <c r="AJ150" s="198"/>
      <c r="AK150" s="198">
        <v>0</v>
      </c>
      <c r="AL150" s="198" t="s">
        <v>932</v>
      </c>
      <c r="AM150" s="198" t="s">
        <v>932</v>
      </c>
      <c r="AN150" s="196">
        <f t="shared" si="50"/>
        <v>11</v>
      </c>
      <c r="AO150" s="196">
        <f t="shared" si="51"/>
        <v>2022</v>
      </c>
      <c r="AP150" s="195">
        <f t="shared" si="52"/>
        <v>2024</v>
      </c>
      <c r="AQ150" s="194">
        <f t="shared" si="53"/>
        <v>2024.9166666666667</v>
      </c>
      <c r="AR150" s="193">
        <f t="shared" si="54"/>
        <v>275.04124999999999</v>
      </c>
      <c r="AS150" s="192">
        <f t="shared" si="55"/>
        <v>3300.4949999999999</v>
      </c>
      <c r="AT150" s="192">
        <f t="shared" si="56"/>
        <v>3300.4949999999999</v>
      </c>
      <c r="AU150" s="192">
        <f t="shared" si="57"/>
        <v>1650.2474999999995</v>
      </c>
      <c r="AV150" s="192">
        <f t="shared" si="58"/>
        <v>4950.7424999999994</v>
      </c>
      <c r="AW150" s="191">
        <f t="shared" si="59"/>
        <v>1650.2475000000004</v>
      </c>
      <c r="AX150" s="190" t="s">
        <v>72</v>
      </c>
      <c r="AY150" s="184"/>
    </row>
    <row r="151" spans="2:51">
      <c r="B151" s="198">
        <v>2183</v>
      </c>
      <c r="C151" s="199">
        <v>293313</v>
      </c>
      <c r="D151" s="198" t="s">
        <v>989</v>
      </c>
      <c r="E151" s="198" t="s">
        <v>2003</v>
      </c>
      <c r="F151" s="198" t="s">
        <v>1967</v>
      </c>
      <c r="G151" s="198"/>
      <c r="H151" s="198"/>
      <c r="I151" s="200">
        <v>702</v>
      </c>
      <c r="J151" s="198"/>
      <c r="K151" s="200">
        <v>0</v>
      </c>
      <c r="L151" s="198" t="s">
        <v>1001</v>
      </c>
      <c r="M151" s="198"/>
      <c r="N151" s="198" t="s">
        <v>2190</v>
      </c>
      <c r="O151" s="198" t="s">
        <v>2184</v>
      </c>
      <c r="P151" s="198"/>
      <c r="Q151" s="198"/>
      <c r="R151" s="198"/>
      <c r="S151" s="201">
        <v>44879</v>
      </c>
      <c r="T151" s="201">
        <v>44879</v>
      </c>
      <c r="U151" s="198" t="s">
        <v>1945</v>
      </c>
      <c r="V151" s="198">
        <v>700</v>
      </c>
      <c r="W151" s="198">
        <v>14050</v>
      </c>
      <c r="X151" s="202">
        <v>47981.64</v>
      </c>
      <c r="Y151" s="198">
        <v>14056</v>
      </c>
      <c r="Z151" s="202">
        <v>10281.780000000001</v>
      </c>
      <c r="AA151" s="202">
        <v>0</v>
      </c>
      <c r="AB151" s="202">
        <v>37699.86</v>
      </c>
      <c r="AC151" s="202">
        <v>2284.84</v>
      </c>
      <c r="AD151" s="198">
        <v>54260</v>
      </c>
      <c r="AE151" s="202">
        <v>571.21</v>
      </c>
      <c r="AF151" s="202">
        <v>0</v>
      </c>
      <c r="AG151" s="202">
        <v>571.21</v>
      </c>
      <c r="AH151" s="198" t="s">
        <v>989</v>
      </c>
      <c r="AI151" s="198"/>
      <c r="AJ151" s="198"/>
      <c r="AK151" s="198">
        <v>0</v>
      </c>
      <c r="AL151" s="198" t="s">
        <v>2301</v>
      </c>
      <c r="AM151" s="198" t="s">
        <v>933</v>
      </c>
      <c r="AN151" s="196">
        <f t="shared" si="50"/>
        <v>11</v>
      </c>
      <c r="AO151" s="196">
        <f t="shared" si="51"/>
        <v>2022</v>
      </c>
      <c r="AP151" s="195">
        <f t="shared" si="52"/>
        <v>2029</v>
      </c>
      <c r="AQ151" s="194">
        <f t="shared" si="53"/>
        <v>2029.9166666666667</v>
      </c>
      <c r="AR151" s="193">
        <f t="shared" si="54"/>
        <v>571.20999999999992</v>
      </c>
      <c r="AS151" s="192">
        <f t="shared" si="55"/>
        <v>6854.5199999999986</v>
      </c>
      <c r="AT151" s="192">
        <f t="shared" si="56"/>
        <v>6854.5199999999986</v>
      </c>
      <c r="AU151" s="192">
        <f t="shared" si="57"/>
        <v>3427.260000000002</v>
      </c>
      <c r="AV151" s="192">
        <f t="shared" si="58"/>
        <v>10281.780000000001</v>
      </c>
      <c r="AW151" s="191">
        <f t="shared" si="59"/>
        <v>37699.86</v>
      </c>
      <c r="AX151" s="190" t="s">
        <v>72</v>
      </c>
      <c r="AY151" s="184"/>
    </row>
    <row r="152" spans="2:51">
      <c r="B152" s="198">
        <v>2183</v>
      </c>
      <c r="C152" s="199">
        <v>292899</v>
      </c>
      <c r="D152" s="198" t="s">
        <v>989</v>
      </c>
      <c r="E152" s="198" t="s">
        <v>2003</v>
      </c>
      <c r="F152" s="198" t="s">
        <v>880</v>
      </c>
      <c r="G152" s="198"/>
      <c r="H152" s="198"/>
      <c r="I152" s="200">
        <v>702</v>
      </c>
      <c r="J152" s="198"/>
      <c r="K152" s="200">
        <v>0</v>
      </c>
      <c r="L152" s="198" t="s">
        <v>1001</v>
      </c>
      <c r="M152" s="198"/>
      <c r="N152" s="198" t="s">
        <v>2190</v>
      </c>
      <c r="O152" s="198" t="s">
        <v>2184</v>
      </c>
      <c r="P152" s="198"/>
      <c r="Q152" s="198"/>
      <c r="R152" s="198"/>
      <c r="S152" s="201">
        <v>44830</v>
      </c>
      <c r="T152" s="201">
        <v>44830</v>
      </c>
      <c r="U152" s="198" t="s">
        <v>1945</v>
      </c>
      <c r="V152" s="198">
        <v>700</v>
      </c>
      <c r="W152" s="198">
        <v>14050</v>
      </c>
      <c r="X152" s="202">
        <v>47981.63</v>
      </c>
      <c r="Y152" s="198">
        <v>14056</v>
      </c>
      <c r="Z152" s="202">
        <v>10852.99</v>
      </c>
      <c r="AA152" s="202">
        <v>0</v>
      </c>
      <c r="AB152" s="202">
        <v>37128.639999999999</v>
      </c>
      <c r="AC152" s="202">
        <v>2284.84</v>
      </c>
      <c r="AD152" s="198">
        <v>54260</v>
      </c>
      <c r="AE152" s="202">
        <v>571.21</v>
      </c>
      <c r="AF152" s="202">
        <v>0</v>
      </c>
      <c r="AG152" s="202">
        <v>571.21</v>
      </c>
      <c r="AH152" s="198" t="s">
        <v>989</v>
      </c>
      <c r="AI152" s="198"/>
      <c r="AJ152" s="198"/>
      <c r="AK152" s="198">
        <v>0</v>
      </c>
      <c r="AL152" s="198" t="s">
        <v>424</v>
      </c>
      <c r="AM152" s="198" t="s">
        <v>424</v>
      </c>
      <c r="AN152" s="196">
        <f t="shared" si="50"/>
        <v>9</v>
      </c>
      <c r="AO152" s="196">
        <f t="shared" si="51"/>
        <v>2022</v>
      </c>
      <c r="AP152" s="195">
        <f t="shared" si="52"/>
        <v>2029</v>
      </c>
      <c r="AQ152" s="194">
        <f t="shared" si="53"/>
        <v>2029.75</v>
      </c>
      <c r="AR152" s="193">
        <f t="shared" si="54"/>
        <v>571.2098809523809</v>
      </c>
      <c r="AS152" s="192">
        <f t="shared" si="55"/>
        <v>6854.5185714285708</v>
      </c>
      <c r="AT152" s="192">
        <f t="shared" si="56"/>
        <v>6854.5185714285708</v>
      </c>
      <c r="AU152" s="192">
        <f t="shared" si="57"/>
        <v>4569.6790476195674</v>
      </c>
      <c r="AV152" s="192">
        <f t="shared" si="58"/>
        <v>11424.197619048138</v>
      </c>
      <c r="AW152" s="191">
        <f t="shared" si="59"/>
        <v>36557.432380951861</v>
      </c>
      <c r="AX152" s="190" t="s">
        <v>72</v>
      </c>
      <c r="AY152" s="184"/>
    </row>
    <row r="153" spans="2:51">
      <c r="B153" s="198">
        <v>2183</v>
      </c>
      <c r="C153" s="199">
        <v>292497</v>
      </c>
      <c r="D153" s="198" t="s">
        <v>989</v>
      </c>
      <c r="E153" s="198" t="s">
        <v>2003</v>
      </c>
      <c r="F153" s="198" t="s">
        <v>1936</v>
      </c>
      <c r="G153" s="198"/>
      <c r="H153" s="198"/>
      <c r="I153" s="200">
        <v>1</v>
      </c>
      <c r="J153" s="198" t="s">
        <v>1966</v>
      </c>
      <c r="K153" s="200">
        <v>2023</v>
      </c>
      <c r="L153" s="198" t="s">
        <v>1097</v>
      </c>
      <c r="M153" s="198" t="s">
        <v>1110</v>
      </c>
      <c r="N153" s="198" t="s">
        <v>2183</v>
      </c>
      <c r="O153" s="198" t="s">
        <v>2184</v>
      </c>
      <c r="P153" s="198" t="s">
        <v>2187</v>
      </c>
      <c r="Q153" s="198"/>
      <c r="R153" s="198"/>
      <c r="S153" s="201">
        <v>44854</v>
      </c>
      <c r="T153" s="201">
        <v>44854</v>
      </c>
      <c r="U153" s="198" t="s">
        <v>1965</v>
      </c>
      <c r="V153" s="198">
        <v>1000</v>
      </c>
      <c r="W153" s="198">
        <v>14040</v>
      </c>
      <c r="X153" s="202">
        <v>393191.4</v>
      </c>
      <c r="Y153" s="198">
        <v>14046</v>
      </c>
      <c r="Z153" s="202">
        <v>58978.720000000001</v>
      </c>
      <c r="AA153" s="202">
        <v>0</v>
      </c>
      <c r="AB153" s="202">
        <v>334212.68000000005</v>
      </c>
      <c r="AC153" s="202">
        <v>13106.4</v>
      </c>
      <c r="AD153" s="198">
        <v>51260</v>
      </c>
      <c r="AE153" s="202">
        <v>3276.6</v>
      </c>
      <c r="AF153" s="202">
        <v>0</v>
      </c>
      <c r="AG153" s="202">
        <v>3276.6</v>
      </c>
      <c r="AH153" s="198" t="s">
        <v>989</v>
      </c>
      <c r="AI153" s="198"/>
      <c r="AJ153" s="198">
        <v>3727</v>
      </c>
      <c r="AK153" s="198">
        <v>3727</v>
      </c>
      <c r="AL153" s="198" t="s">
        <v>1857</v>
      </c>
      <c r="AM153" s="198" t="s">
        <v>1857</v>
      </c>
      <c r="AN153" s="196">
        <f t="shared" si="50"/>
        <v>10</v>
      </c>
      <c r="AO153" s="196">
        <f t="shared" si="51"/>
        <v>2022</v>
      </c>
      <c r="AP153" s="195">
        <f t="shared" si="52"/>
        <v>2032</v>
      </c>
      <c r="AQ153" s="194">
        <f t="shared" si="53"/>
        <v>2032.8333333333333</v>
      </c>
      <c r="AR153" s="193">
        <f t="shared" si="54"/>
        <v>3276.5949999999998</v>
      </c>
      <c r="AS153" s="192">
        <f t="shared" si="55"/>
        <v>39319.14</v>
      </c>
      <c r="AT153" s="192">
        <f t="shared" si="56"/>
        <v>39319.14</v>
      </c>
      <c r="AU153" s="192">
        <f t="shared" si="57"/>
        <v>22936.165000006033</v>
      </c>
      <c r="AV153" s="192">
        <f t="shared" si="58"/>
        <v>62255.305000006032</v>
      </c>
      <c r="AW153" s="191">
        <f t="shared" si="59"/>
        <v>330936.09499999398</v>
      </c>
      <c r="AX153" s="190" t="s">
        <v>72</v>
      </c>
      <c r="AY153" s="184"/>
    </row>
    <row r="154" spans="2:51" hidden="1">
      <c r="B154" s="198">
        <v>2183</v>
      </c>
      <c r="C154" s="199">
        <v>291873</v>
      </c>
      <c r="D154" s="198">
        <v>289659</v>
      </c>
      <c r="E154" s="198" t="s">
        <v>2003</v>
      </c>
      <c r="F154" s="198" t="s">
        <v>1964</v>
      </c>
      <c r="G154" s="198"/>
      <c r="H154" s="198"/>
      <c r="I154" s="200">
        <v>1</v>
      </c>
      <c r="J154" s="198"/>
      <c r="K154" s="200">
        <v>0</v>
      </c>
      <c r="L154" s="198" t="s">
        <v>1963</v>
      </c>
      <c r="M154" s="198"/>
      <c r="N154" s="198" t="s">
        <v>2199</v>
      </c>
      <c r="O154" s="198" t="s">
        <v>2184</v>
      </c>
      <c r="P154" s="198"/>
      <c r="Q154" s="198"/>
      <c r="R154" s="198"/>
      <c r="S154" s="201">
        <v>44826</v>
      </c>
      <c r="T154" s="201">
        <v>44826</v>
      </c>
      <c r="U154" s="198" t="s">
        <v>1959</v>
      </c>
      <c r="V154" s="198">
        <v>300</v>
      </c>
      <c r="W154" s="198">
        <v>14110</v>
      </c>
      <c r="X154" s="202">
        <v>139.47</v>
      </c>
      <c r="Y154" s="198">
        <v>14116</v>
      </c>
      <c r="Z154" s="202">
        <v>73.59</v>
      </c>
      <c r="AA154" s="202">
        <v>0</v>
      </c>
      <c r="AB154" s="202">
        <v>65.88</v>
      </c>
      <c r="AC154" s="202">
        <v>15.48</v>
      </c>
      <c r="AD154" s="198">
        <v>70260</v>
      </c>
      <c r="AE154" s="202">
        <v>3.87</v>
      </c>
      <c r="AF154" s="202">
        <v>0</v>
      </c>
      <c r="AG154" s="202">
        <v>3.87</v>
      </c>
      <c r="AH154" s="198" t="s">
        <v>989</v>
      </c>
      <c r="AI154" s="198"/>
      <c r="AJ154" s="198"/>
      <c r="AK154" s="198">
        <v>0</v>
      </c>
      <c r="AL154" s="198" t="s">
        <v>932</v>
      </c>
      <c r="AM154" s="198" t="s">
        <v>932</v>
      </c>
      <c r="AN154" s="196">
        <f t="shared" si="50"/>
        <v>9</v>
      </c>
      <c r="AO154" s="196">
        <f t="shared" si="51"/>
        <v>2022</v>
      </c>
      <c r="AP154" s="195">
        <f t="shared" si="52"/>
        <v>2025</v>
      </c>
      <c r="AQ154" s="194">
        <f t="shared" si="53"/>
        <v>2025.75</v>
      </c>
      <c r="AR154" s="193">
        <f t="shared" si="54"/>
        <v>3.874166666666667</v>
      </c>
      <c r="AS154" s="192">
        <f t="shared" si="55"/>
        <v>46.49</v>
      </c>
      <c r="AT154" s="192">
        <f t="shared" si="56"/>
        <v>46.49</v>
      </c>
      <c r="AU154" s="192">
        <f t="shared" si="57"/>
        <v>30.993333333336849</v>
      </c>
      <c r="AV154" s="192">
        <f t="shared" si="58"/>
        <v>77.483333333336844</v>
      </c>
      <c r="AW154" s="191">
        <f t="shared" si="59"/>
        <v>61.986666666663155</v>
      </c>
      <c r="AX154" s="190" t="s">
        <v>72</v>
      </c>
      <c r="AY154" s="184"/>
    </row>
    <row r="155" spans="2:51">
      <c r="B155" s="198">
        <v>2183</v>
      </c>
      <c r="C155" s="199">
        <v>291681</v>
      </c>
      <c r="D155" s="198" t="s">
        <v>989</v>
      </c>
      <c r="E155" s="198" t="s">
        <v>2003</v>
      </c>
      <c r="F155" s="198" t="s">
        <v>1895</v>
      </c>
      <c r="G155" s="198"/>
      <c r="H155" s="198"/>
      <c r="I155" s="200">
        <v>2</v>
      </c>
      <c r="J155" s="198"/>
      <c r="K155" s="200">
        <v>0</v>
      </c>
      <c r="L155" s="198" t="s">
        <v>1018</v>
      </c>
      <c r="M155" s="198"/>
      <c r="N155" s="198" t="s">
        <v>2190</v>
      </c>
      <c r="O155" s="198" t="s">
        <v>2184</v>
      </c>
      <c r="P155" s="198"/>
      <c r="Q155" s="198" t="s">
        <v>2194</v>
      </c>
      <c r="R155" s="198" t="s">
        <v>2195</v>
      </c>
      <c r="S155" s="201">
        <v>44841</v>
      </c>
      <c r="T155" s="201">
        <v>44841</v>
      </c>
      <c r="U155" s="198" t="s">
        <v>1961</v>
      </c>
      <c r="V155" s="198">
        <v>1200</v>
      </c>
      <c r="W155" s="198">
        <v>14050</v>
      </c>
      <c r="X155" s="202">
        <v>2658.15</v>
      </c>
      <c r="Y155" s="198">
        <v>14056</v>
      </c>
      <c r="Z155" s="202">
        <v>350.73</v>
      </c>
      <c r="AA155" s="202">
        <v>0</v>
      </c>
      <c r="AB155" s="202">
        <v>2307.42</v>
      </c>
      <c r="AC155" s="202">
        <v>73.84</v>
      </c>
      <c r="AD155" s="198">
        <v>54260</v>
      </c>
      <c r="AE155" s="202">
        <v>18.46</v>
      </c>
      <c r="AF155" s="202">
        <v>0</v>
      </c>
      <c r="AG155" s="202">
        <v>18.46</v>
      </c>
      <c r="AH155" s="198" t="s">
        <v>989</v>
      </c>
      <c r="AI155" s="198"/>
      <c r="AJ155" s="198"/>
      <c r="AK155" s="198">
        <v>0</v>
      </c>
      <c r="AL155" s="198" t="s">
        <v>930</v>
      </c>
      <c r="AM155" s="198" t="s">
        <v>930</v>
      </c>
      <c r="AN155" s="196">
        <f t="shared" si="50"/>
        <v>10</v>
      </c>
      <c r="AO155" s="196">
        <f t="shared" si="51"/>
        <v>2022</v>
      </c>
      <c r="AP155" s="195">
        <f t="shared" si="52"/>
        <v>2034</v>
      </c>
      <c r="AQ155" s="194">
        <f t="shared" si="53"/>
        <v>2034.8333333333333</v>
      </c>
      <c r="AR155" s="193">
        <f t="shared" si="54"/>
        <v>18.459375000000001</v>
      </c>
      <c r="AS155" s="192">
        <f t="shared" si="55"/>
        <v>221.51250000000002</v>
      </c>
      <c r="AT155" s="192">
        <f t="shared" si="56"/>
        <v>221.51250000000002</v>
      </c>
      <c r="AU155" s="192">
        <f t="shared" si="57"/>
        <v>129.21562500003347</v>
      </c>
      <c r="AV155" s="192">
        <f t="shared" si="58"/>
        <v>350.72812500003351</v>
      </c>
      <c r="AW155" s="191">
        <f t="shared" si="59"/>
        <v>2307.4218749999663</v>
      </c>
      <c r="AX155" s="190" t="s">
        <v>72</v>
      </c>
      <c r="AY155" s="184"/>
    </row>
    <row r="156" spans="2:51">
      <c r="B156" s="198">
        <v>2183</v>
      </c>
      <c r="C156" s="199">
        <v>291680</v>
      </c>
      <c r="D156" s="198" t="s">
        <v>989</v>
      </c>
      <c r="E156" s="198" t="s">
        <v>2003</v>
      </c>
      <c r="F156" s="198" t="s">
        <v>625</v>
      </c>
      <c r="G156" s="198"/>
      <c r="H156" s="198"/>
      <c r="I156" s="200">
        <v>13</v>
      </c>
      <c r="J156" s="198"/>
      <c r="K156" s="200">
        <v>0</v>
      </c>
      <c r="L156" s="198" t="s">
        <v>1018</v>
      </c>
      <c r="M156" s="198"/>
      <c r="N156" s="198" t="s">
        <v>2190</v>
      </c>
      <c r="O156" s="198" t="s">
        <v>2184</v>
      </c>
      <c r="P156" s="198"/>
      <c r="Q156" s="198" t="s">
        <v>2194</v>
      </c>
      <c r="R156" s="198" t="s">
        <v>2195</v>
      </c>
      <c r="S156" s="201">
        <v>44841</v>
      </c>
      <c r="T156" s="201">
        <v>44841</v>
      </c>
      <c r="U156" s="198" t="s">
        <v>1961</v>
      </c>
      <c r="V156" s="198">
        <v>1200</v>
      </c>
      <c r="W156" s="198">
        <v>14050</v>
      </c>
      <c r="X156" s="202">
        <v>18271.72</v>
      </c>
      <c r="Y156" s="198">
        <v>14056</v>
      </c>
      <c r="Z156" s="202">
        <v>2410.86</v>
      </c>
      <c r="AA156" s="202">
        <v>0</v>
      </c>
      <c r="AB156" s="202">
        <v>15860.86</v>
      </c>
      <c r="AC156" s="202">
        <v>507.56</v>
      </c>
      <c r="AD156" s="198">
        <v>54260</v>
      </c>
      <c r="AE156" s="202">
        <v>126.89</v>
      </c>
      <c r="AF156" s="202">
        <v>0</v>
      </c>
      <c r="AG156" s="202">
        <v>126.89</v>
      </c>
      <c r="AH156" s="198" t="s">
        <v>989</v>
      </c>
      <c r="AI156" s="198"/>
      <c r="AJ156" s="198"/>
      <c r="AK156" s="198">
        <v>0</v>
      </c>
      <c r="AL156" s="198" t="s">
        <v>930</v>
      </c>
      <c r="AM156" s="198" t="s">
        <v>930</v>
      </c>
      <c r="AN156" s="196">
        <f t="shared" si="50"/>
        <v>10</v>
      </c>
      <c r="AO156" s="196">
        <f t="shared" si="51"/>
        <v>2022</v>
      </c>
      <c r="AP156" s="195">
        <f t="shared" si="52"/>
        <v>2034</v>
      </c>
      <c r="AQ156" s="194">
        <f t="shared" si="53"/>
        <v>2034.8333333333333</v>
      </c>
      <c r="AR156" s="193">
        <f t="shared" si="54"/>
        <v>126.88694444444445</v>
      </c>
      <c r="AS156" s="192">
        <f t="shared" si="55"/>
        <v>1522.6433333333334</v>
      </c>
      <c r="AT156" s="192">
        <f t="shared" si="56"/>
        <v>1522.6433333333334</v>
      </c>
      <c r="AU156" s="192">
        <f t="shared" si="57"/>
        <v>888.20861111134218</v>
      </c>
      <c r="AV156" s="192">
        <f t="shared" si="58"/>
        <v>2410.8519444446756</v>
      </c>
      <c r="AW156" s="191">
        <f t="shared" si="59"/>
        <v>15860.868055555326</v>
      </c>
      <c r="AX156" s="190" t="s">
        <v>72</v>
      </c>
      <c r="AY156" s="184"/>
    </row>
    <row r="157" spans="2:51">
      <c r="B157" s="198">
        <v>2183</v>
      </c>
      <c r="C157" s="199">
        <v>291675</v>
      </c>
      <c r="D157" s="198" t="s">
        <v>989</v>
      </c>
      <c r="E157" s="198" t="s">
        <v>2003</v>
      </c>
      <c r="F157" s="198" t="s">
        <v>1962</v>
      </c>
      <c r="G157" s="198"/>
      <c r="H157" s="198"/>
      <c r="I157" s="200">
        <v>15</v>
      </c>
      <c r="J157" s="198"/>
      <c r="K157" s="200">
        <v>0</v>
      </c>
      <c r="L157" s="198" t="s">
        <v>1018</v>
      </c>
      <c r="M157" s="198"/>
      <c r="N157" s="198" t="s">
        <v>2190</v>
      </c>
      <c r="O157" s="198" t="s">
        <v>2184</v>
      </c>
      <c r="P157" s="198"/>
      <c r="Q157" s="198" t="s">
        <v>2203</v>
      </c>
      <c r="R157" s="198" t="s">
        <v>2195</v>
      </c>
      <c r="S157" s="201">
        <v>44841</v>
      </c>
      <c r="T157" s="201">
        <v>44841</v>
      </c>
      <c r="U157" s="198" t="s">
        <v>1961</v>
      </c>
      <c r="V157" s="198">
        <v>1200</v>
      </c>
      <c r="W157" s="198">
        <v>14050</v>
      </c>
      <c r="X157" s="202">
        <v>14696.53</v>
      </c>
      <c r="Y157" s="198">
        <v>14056</v>
      </c>
      <c r="Z157" s="202">
        <v>1939.13</v>
      </c>
      <c r="AA157" s="202">
        <v>0</v>
      </c>
      <c r="AB157" s="202">
        <v>12757.400000000001</v>
      </c>
      <c r="AC157" s="202">
        <v>408.24</v>
      </c>
      <c r="AD157" s="198">
        <v>54260</v>
      </c>
      <c r="AE157" s="202">
        <v>102.06</v>
      </c>
      <c r="AF157" s="202">
        <v>0</v>
      </c>
      <c r="AG157" s="202">
        <v>102.06</v>
      </c>
      <c r="AH157" s="198" t="s">
        <v>989</v>
      </c>
      <c r="AI157" s="198"/>
      <c r="AJ157" s="198"/>
      <c r="AK157" s="198">
        <v>0</v>
      </c>
      <c r="AL157" s="198" t="s">
        <v>930</v>
      </c>
      <c r="AM157" s="198" t="s">
        <v>930</v>
      </c>
      <c r="AN157" s="196">
        <f t="shared" si="50"/>
        <v>10</v>
      </c>
      <c r="AO157" s="196">
        <f t="shared" si="51"/>
        <v>2022</v>
      </c>
      <c r="AP157" s="195">
        <f t="shared" si="52"/>
        <v>2034</v>
      </c>
      <c r="AQ157" s="194">
        <f t="shared" si="53"/>
        <v>2034.8333333333333</v>
      </c>
      <c r="AR157" s="193">
        <f t="shared" si="54"/>
        <v>102.0592361111111</v>
      </c>
      <c r="AS157" s="192">
        <f t="shared" si="55"/>
        <v>1224.7108333333333</v>
      </c>
      <c r="AT157" s="192">
        <f t="shared" si="56"/>
        <v>1224.7108333333333</v>
      </c>
      <c r="AU157" s="192">
        <f t="shared" si="57"/>
        <v>714.41465277796487</v>
      </c>
      <c r="AV157" s="192">
        <f t="shared" si="58"/>
        <v>1939.1254861112982</v>
      </c>
      <c r="AW157" s="191">
        <f t="shared" si="59"/>
        <v>12757.404513888703</v>
      </c>
      <c r="AX157" s="190" t="s">
        <v>72</v>
      </c>
      <c r="AY157" s="184"/>
    </row>
    <row r="158" spans="2:51">
      <c r="B158" s="198">
        <v>2183</v>
      </c>
      <c r="C158" s="199">
        <v>291639</v>
      </c>
      <c r="D158" s="198" t="s">
        <v>989</v>
      </c>
      <c r="E158" s="198" t="s">
        <v>2003</v>
      </c>
      <c r="F158" s="198" t="s">
        <v>1486</v>
      </c>
      <c r="G158" s="198"/>
      <c r="H158" s="198"/>
      <c r="I158" s="200">
        <v>15</v>
      </c>
      <c r="J158" s="198"/>
      <c r="K158" s="200">
        <v>0</v>
      </c>
      <c r="L158" s="198" t="s">
        <v>1018</v>
      </c>
      <c r="M158" s="198"/>
      <c r="N158" s="198" t="s">
        <v>2190</v>
      </c>
      <c r="O158" s="198" t="s">
        <v>2184</v>
      </c>
      <c r="P158" s="198"/>
      <c r="Q158" s="198" t="s">
        <v>2208</v>
      </c>
      <c r="R158" s="198" t="s">
        <v>2195</v>
      </c>
      <c r="S158" s="201">
        <v>44841</v>
      </c>
      <c r="T158" s="201">
        <v>44841</v>
      </c>
      <c r="U158" s="198" t="s">
        <v>1961</v>
      </c>
      <c r="V158" s="198">
        <v>1200</v>
      </c>
      <c r="W158" s="198">
        <v>14050</v>
      </c>
      <c r="X158" s="202">
        <v>12117.8</v>
      </c>
      <c r="Y158" s="198">
        <v>14056</v>
      </c>
      <c r="Z158" s="202">
        <v>1598.88</v>
      </c>
      <c r="AA158" s="202">
        <v>0</v>
      </c>
      <c r="AB158" s="202">
        <v>10518.919999999998</v>
      </c>
      <c r="AC158" s="202">
        <v>336.6</v>
      </c>
      <c r="AD158" s="198">
        <v>54260</v>
      </c>
      <c r="AE158" s="202">
        <v>84.15</v>
      </c>
      <c r="AF158" s="202">
        <v>0</v>
      </c>
      <c r="AG158" s="202">
        <v>84.15</v>
      </c>
      <c r="AH158" s="198" t="s">
        <v>989</v>
      </c>
      <c r="AI158" s="198"/>
      <c r="AJ158" s="198"/>
      <c r="AK158" s="198">
        <v>0</v>
      </c>
      <c r="AL158" s="198" t="s">
        <v>930</v>
      </c>
      <c r="AM158" s="198" t="s">
        <v>930</v>
      </c>
      <c r="AN158" s="196">
        <f t="shared" si="50"/>
        <v>10</v>
      </c>
      <c r="AO158" s="196">
        <f t="shared" si="51"/>
        <v>2022</v>
      </c>
      <c r="AP158" s="195">
        <f t="shared" si="52"/>
        <v>2034</v>
      </c>
      <c r="AQ158" s="194">
        <f t="shared" si="53"/>
        <v>2034.8333333333333</v>
      </c>
      <c r="AR158" s="193">
        <f t="shared" si="54"/>
        <v>84.151388888888889</v>
      </c>
      <c r="AS158" s="192">
        <f t="shared" si="55"/>
        <v>1009.8166666666666</v>
      </c>
      <c r="AT158" s="192">
        <f t="shared" si="56"/>
        <v>1009.8166666666666</v>
      </c>
      <c r="AU158" s="192">
        <f t="shared" si="57"/>
        <v>589.05972222237506</v>
      </c>
      <c r="AV158" s="192">
        <f t="shared" si="58"/>
        <v>1598.8763888890417</v>
      </c>
      <c r="AW158" s="191">
        <f t="shared" si="59"/>
        <v>10518.923611110957</v>
      </c>
      <c r="AX158" s="190" t="s">
        <v>72</v>
      </c>
      <c r="AY158" s="184"/>
    </row>
    <row r="159" spans="2:51">
      <c r="B159" s="198">
        <v>2183</v>
      </c>
      <c r="C159" s="199">
        <v>289659</v>
      </c>
      <c r="D159" s="198" t="s">
        <v>989</v>
      </c>
      <c r="E159" s="198" t="s">
        <v>2003</v>
      </c>
      <c r="F159" s="198" t="s">
        <v>1960</v>
      </c>
      <c r="G159" s="198"/>
      <c r="H159" s="198"/>
      <c r="I159" s="200">
        <v>1</v>
      </c>
      <c r="J159" s="198"/>
      <c r="K159" s="200">
        <v>0</v>
      </c>
      <c r="L159" s="198" t="s">
        <v>1899</v>
      </c>
      <c r="M159" s="198"/>
      <c r="N159" s="198" t="s">
        <v>2199</v>
      </c>
      <c r="O159" s="198" t="s">
        <v>2184</v>
      </c>
      <c r="P159" s="198"/>
      <c r="Q159" s="198"/>
      <c r="R159" s="198"/>
      <c r="S159" s="201">
        <v>44826</v>
      </c>
      <c r="T159" s="201">
        <v>44826</v>
      </c>
      <c r="U159" s="198" t="s">
        <v>1959</v>
      </c>
      <c r="V159" s="198">
        <v>300</v>
      </c>
      <c r="W159" s="198">
        <v>14110</v>
      </c>
      <c r="X159" s="202">
        <v>1043.58</v>
      </c>
      <c r="Y159" s="198">
        <v>14116</v>
      </c>
      <c r="Z159" s="202">
        <v>550.79</v>
      </c>
      <c r="AA159" s="202">
        <v>0</v>
      </c>
      <c r="AB159" s="202">
        <v>492.78999999999996</v>
      </c>
      <c r="AC159" s="202">
        <v>115.96</v>
      </c>
      <c r="AD159" s="198">
        <v>70260</v>
      </c>
      <c r="AE159" s="202">
        <v>28.99</v>
      </c>
      <c r="AF159" s="202">
        <v>0</v>
      </c>
      <c r="AG159" s="202">
        <v>28.99</v>
      </c>
      <c r="AH159" s="198" t="s">
        <v>989</v>
      </c>
      <c r="AI159" s="198"/>
      <c r="AJ159" s="198"/>
      <c r="AK159" s="198">
        <v>0</v>
      </c>
      <c r="AL159" s="198" t="s">
        <v>932</v>
      </c>
      <c r="AM159" s="198" t="s">
        <v>932</v>
      </c>
      <c r="AN159" s="196">
        <f t="shared" si="50"/>
        <v>9</v>
      </c>
      <c r="AO159" s="196">
        <f t="shared" si="51"/>
        <v>2022</v>
      </c>
      <c r="AP159" s="195">
        <f t="shared" si="52"/>
        <v>2025</v>
      </c>
      <c r="AQ159" s="194">
        <f t="shared" si="53"/>
        <v>2025.75</v>
      </c>
      <c r="AR159" s="193">
        <f t="shared" si="54"/>
        <v>28.98833333333333</v>
      </c>
      <c r="AS159" s="192">
        <f t="shared" si="55"/>
        <v>347.85999999999996</v>
      </c>
      <c r="AT159" s="192">
        <f t="shared" si="56"/>
        <v>347.85999999999996</v>
      </c>
      <c r="AU159" s="192">
        <f t="shared" si="57"/>
        <v>231.90666666669301</v>
      </c>
      <c r="AV159" s="192">
        <f t="shared" si="58"/>
        <v>579.76666666669303</v>
      </c>
      <c r="AW159" s="191">
        <f t="shared" si="59"/>
        <v>463.8133333333069</v>
      </c>
      <c r="AX159" s="190" t="s">
        <v>72</v>
      </c>
      <c r="AY159" s="184"/>
    </row>
    <row r="160" spans="2:51">
      <c r="B160" s="198">
        <v>2183</v>
      </c>
      <c r="C160" s="199">
        <v>289033</v>
      </c>
      <c r="D160" s="198" t="s">
        <v>989</v>
      </c>
      <c r="E160" s="198" t="s">
        <v>2003</v>
      </c>
      <c r="F160" s="198" t="s">
        <v>1958</v>
      </c>
      <c r="G160" s="198"/>
      <c r="H160" s="198"/>
      <c r="I160" s="200">
        <v>15</v>
      </c>
      <c r="J160" s="198"/>
      <c r="K160" s="200">
        <v>0</v>
      </c>
      <c r="L160" s="198" t="s">
        <v>1018</v>
      </c>
      <c r="M160" s="198"/>
      <c r="N160" s="198" t="s">
        <v>2190</v>
      </c>
      <c r="O160" s="198" t="s">
        <v>2184</v>
      </c>
      <c r="P160" s="198"/>
      <c r="Q160" s="198" t="s">
        <v>2200</v>
      </c>
      <c r="R160" s="198" t="s">
        <v>2195</v>
      </c>
      <c r="S160" s="201">
        <v>44760</v>
      </c>
      <c r="T160" s="201">
        <v>44760</v>
      </c>
      <c r="U160" s="198" t="s">
        <v>1956</v>
      </c>
      <c r="V160" s="198">
        <v>1200</v>
      </c>
      <c r="W160" s="198">
        <v>14050</v>
      </c>
      <c r="X160" s="202">
        <v>10980.66</v>
      </c>
      <c r="Y160" s="198">
        <v>14056</v>
      </c>
      <c r="Z160" s="202">
        <v>1601.33</v>
      </c>
      <c r="AA160" s="202">
        <v>0</v>
      </c>
      <c r="AB160" s="202">
        <v>9379.33</v>
      </c>
      <c r="AC160" s="202">
        <v>305</v>
      </c>
      <c r="AD160" s="198">
        <v>54260</v>
      </c>
      <c r="AE160" s="202">
        <v>76.25</v>
      </c>
      <c r="AF160" s="202">
        <v>0</v>
      </c>
      <c r="AG160" s="202">
        <v>76.25</v>
      </c>
      <c r="AH160" s="198" t="s">
        <v>989</v>
      </c>
      <c r="AI160" s="198"/>
      <c r="AJ160" s="198"/>
      <c r="AK160" s="198">
        <v>0</v>
      </c>
      <c r="AL160" s="198" t="s">
        <v>930</v>
      </c>
      <c r="AM160" s="198" t="s">
        <v>930</v>
      </c>
      <c r="AN160" s="196">
        <f t="shared" si="50"/>
        <v>7</v>
      </c>
      <c r="AO160" s="196">
        <f t="shared" si="51"/>
        <v>2022</v>
      </c>
      <c r="AP160" s="195">
        <f t="shared" si="52"/>
        <v>2034</v>
      </c>
      <c r="AQ160" s="194">
        <f t="shared" si="53"/>
        <v>2034.5833333333333</v>
      </c>
      <c r="AR160" s="193">
        <f t="shared" si="54"/>
        <v>76.254583333333329</v>
      </c>
      <c r="AS160" s="192">
        <f t="shared" si="55"/>
        <v>915.05499999999995</v>
      </c>
      <c r="AT160" s="192">
        <f t="shared" si="56"/>
        <v>915.05499999999995</v>
      </c>
      <c r="AU160" s="192">
        <f t="shared" si="57"/>
        <v>762.54583333347182</v>
      </c>
      <c r="AV160" s="192">
        <f t="shared" si="58"/>
        <v>1677.6008333334717</v>
      </c>
      <c r="AW160" s="191">
        <f t="shared" si="59"/>
        <v>9303.0591666665277</v>
      </c>
      <c r="AX160" s="190" t="s">
        <v>72</v>
      </c>
      <c r="AY160" s="184"/>
    </row>
    <row r="161" spans="2:51">
      <c r="B161" s="198">
        <v>2183</v>
      </c>
      <c r="C161" s="199">
        <v>289032</v>
      </c>
      <c r="D161" s="198" t="s">
        <v>989</v>
      </c>
      <c r="E161" s="198" t="s">
        <v>2003</v>
      </c>
      <c r="F161" s="198" t="s">
        <v>1957</v>
      </c>
      <c r="G161" s="198"/>
      <c r="H161" s="198"/>
      <c r="I161" s="200">
        <v>15</v>
      </c>
      <c r="J161" s="198"/>
      <c r="K161" s="200">
        <v>0</v>
      </c>
      <c r="L161" s="198" t="s">
        <v>1018</v>
      </c>
      <c r="M161" s="198"/>
      <c r="N161" s="198" t="s">
        <v>2190</v>
      </c>
      <c r="O161" s="198" t="s">
        <v>2184</v>
      </c>
      <c r="P161" s="198"/>
      <c r="Q161" s="198" t="s">
        <v>2209</v>
      </c>
      <c r="R161" s="198" t="s">
        <v>2195</v>
      </c>
      <c r="S161" s="201">
        <v>44760</v>
      </c>
      <c r="T161" s="201">
        <v>44760</v>
      </c>
      <c r="U161" s="198" t="s">
        <v>1956</v>
      </c>
      <c r="V161" s="198">
        <v>1200</v>
      </c>
      <c r="W161" s="198">
        <v>14050</v>
      </c>
      <c r="X161" s="202">
        <v>10471.49</v>
      </c>
      <c r="Y161" s="198">
        <v>14056</v>
      </c>
      <c r="Z161" s="202">
        <v>1527.1</v>
      </c>
      <c r="AA161" s="202">
        <v>0</v>
      </c>
      <c r="AB161" s="202">
        <v>8944.39</v>
      </c>
      <c r="AC161" s="202">
        <v>290.88</v>
      </c>
      <c r="AD161" s="198">
        <v>54260</v>
      </c>
      <c r="AE161" s="202">
        <v>72.72</v>
      </c>
      <c r="AF161" s="202">
        <v>0</v>
      </c>
      <c r="AG161" s="202">
        <v>72.72</v>
      </c>
      <c r="AH161" s="198" t="s">
        <v>989</v>
      </c>
      <c r="AI161" s="198"/>
      <c r="AJ161" s="198"/>
      <c r="AK161" s="198">
        <v>0</v>
      </c>
      <c r="AL161" s="198" t="s">
        <v>930</v>
      </c>
      <c r="AM161" s="198" t="s">
        <v>930</v>
      </c>
      <c r="AN161" s="196">
        <f t="shared" si="50"/>
        <v>7</v>
      </c>
      <c r="AO161" s="196">
        <f t="shared" si="51"/>
        <v>2022</v>
      </c>
      <c r="AP161" s="195">
        <f t="shared" si="52"/>
        <v>2034</v>
      </c>
      <c r="AQ161" s="194">
        <f t="shared" si="53"/>
        <v>2034.5833333333333</v>
      </c>
      <c r="AR161" s="193">
        <f t="shared" si="54"/>
        <v>72.718680555555551</v>
      </c>
      <c r="AS161" s="192">
        <f t="shared" si="55"/>
        <v>872.62416666666661</v>
      </c>
      <c r="AT161" s="192">
        <f t="shared" si="56"/>
        <v>872.62416666666661</v>
      </c>
      <c r="AU161" s="192">
        <f t="shared" si="57"/>
        <v>727.1868055556879</v>
      </c>
      <c r="AV161" s="192">
        <f t="shared" si="58"/>
        <v>1599.8109722223544</v>
      </c>
      <c r="AW161" s="191">
        <f t="shared" si="59"/>
        <v>8871.6790277776454</v>
      </c>
      <c r="AX161" s="190" t="s">
        <v>72</v>
      </c>
      <c r="AY161" s="184"/>
    </row>
    <row r="162" spans="2:51">
      <c r="B162" s="198">
        <v>2183</v>
      </c>
      <c r="C162" s="199">
        <v>288325</v>
      </c>
      <c r="D162" s="198" t="s">
        <v>989</v>
      </c>
      <c r="E162" s="198" t="s">
        <v>2003</v>
      </c>
      <c r="F162" s="198" t="s">
        <v>1428</v>
      </c>
      <c r="G162" s="198"/>
      <c r="H162" s="198"/>
      <c r="I162" s="200">
        <v>20</v>
      </c>
      <c r="J162" s="198"/>
      <c r="K162" s="200">
        <v>0</v>
      </c>
      <c r="L162" s="198" t="s">
        <v>1018</v>
      </c>
      <c r="M162" s="198"/>
      <c r="N162" s="198" t="s">
        <v>2190</v>
      </c>
      <c r="O162" s="198" t="s">
        <v>2184</v>
      </c>
      <c r="P162" s="198"/>
      <c r="Q162" s="198" t="s">
        <v>2214</v>
      </c>
      <c r="R162" s="198" t="s">
        <v>2195</v>
      </c>
      <c r="S162" s="201">
        <v>44757</v>
      </c>
      <c r="T162" s="201">
        <v>44757</v>
      </c>
      <c r="U162" s="198" t="s">
        <v>1956</v>
      </c>
      <c r="V162" s="198">
        <v>1200</v>
      </c>
      <c r="W162" s="198">
        <v>14050</v>
      </c>
      <c r="X162" s="202">
        <v>15457.02</v>
      </c>
      <c r="Y162" s="198">
        <v>14056</v>
      </c>
      <c r="Z162" s="202">
        <v>2361.4699999999998</v>
      </c>
      <c r="AA162" s="202">
        <v>0</v>
      </c>
      <c r="AB162" s="202">
        <v>13095.550000000001</v>
      </c>
      <c r="AC162" s="202">
        <v>429.36</v>
      </c>
      <c r="AD162" s="198">
        <v>54260</v>
      </c>
      <c r="AE162" s="202">
        <v>107.34</v>
      </c>
      <c r="AF162" s="202">
        <v>0</v>
      </c>
      <c r="AG162" s="202">
        <v>107.34</v>
      </c>
      <c r="AH162" s="198" t="s">
        <v>989</v>
      </c>
      <c r="AI162" s="198"/>
      <c r="AJ162" s="198"/>
      <c r="AK162" s="198">
        <v>0</v>
      </c>
      <c r="AL162" s="198" t="s">
        <v>930</v>
      </c>
      <c r="AM162" s="198" t="s">
        <v>930</v>
      </c>
      <c r="AN162" s="196">
        <f t="shared" si="50"/>
        <v>7</v>
      </c>
      <c r="AO162" s="196">
        <f t="shared" si="51"/>
        <v>2022</v>
      </c>
      <c r="AP162" s="195">
        <f t="shared" si="52"/>
        <v>2034</v>
      </c>
      <c r="AQ162" s="194">
        <f t="shared" si="53"/>
        <v>2034.5833333333333</v>
      </c>
      <c r="AR162" s="193">
        <f t="shared" si="54"/>
        <v>107.34041666666667</v>
      </c>
      <c r="AS162" s="192">
        <f t="shared" si="55"/>
        <v>1288.085</v>
      </c>
      <c r="AT162" s="192">
        <f t="shared" si="56"/>
        <v>1288.085</v>
      </c>
      <c r="AU162" s="192">
        <f t="shared" si="57"/>
        <v>1073.4041666668618</v>
      </c>
      <c r="AV162" s="192">
        <f t="shared" si="58"/>
        <v>2361.4891666668618</v>
      </c>
      <c r="AW162" s="191">
        <f t="shared" si="59"/>
        <v>13095.530833333138</v>
      </c>
      <c r="AX162" s="190" t="s">
        <v>72</v>
      </c>
      <c r="AY162" s="184"/>
    </row>
    <row r="163" spans="2:51">
      <c r="B163" s="198">
        <v>2183</v>
      </c>
      <c r="C163" s="199">
        <v>288112</v>
      </c>
      <c r="D163" s="198" t="s">
        <v>989</v>
      </c>
      <c r="E163" s="198" t="s">
        <v>2003</v>
      </c>
      <c r="F163" s="198" t="s">
        <v>1054</v>
      </c>
      <c r="G163" s="198"/>
      <c r="H163" s="198"/>
      <c r="I163" s="200">
        <v>702</v>
      </c>
      <c r="J163" s="198"/>
      <c r="K163" s="200">
        <v>0</v>
      </c>
      <c r="L163" s="198" t="s">
        <v>1001</v>
      </c>
      <c r="M163" s="198"/>
      <c r="N163" s="198" t="s">
        <v>2190</v>
      </c>
      <c r="O163" s="198" t="s">
        <v>2184</v>
      </c>
      <c r="P163" s="198"/>
      <c r="Q163" s="198"/>
      <c r="R163" s="198"/>
      <c r="S163" s="201">
        <v>44800</v>
      </c>
      <c r="T163" s="201">
        <v>44800</v>
      </c>
      <c r="U163" s="198" t="s">
        <v>1945</v>
      </c>
      <c r="V163" s="198">
        <v>700</v>
      </c>
      <c r="W163" s="198">
        <v>14050</v>
      </c>
      <c r="X163" s="202">
        <v>47981.63</v>
      </c>
      <c r="Y163" s="198">
        <v>14056</v>
      </c>
      <c r="Z163" s="202">
        <v>11424.2</v>
      </c>
      <c r="AA163" s="202">
        <v>0</v>
      </c>
      <c r="AB163" s="202">
        <v>36557.429999999993</v>
      </c>
      <c r="AC163" s="202">
        <v>2284.84</v>
      </c>
      <c r="AD163" s="198">
        <v>54260</v>
      </c>
      <c r="AE163" s="202">
        <v>571.21</v>
      </c>
      <c r="AF163" s="202">
        <v>0</v>
      </c>
      <c r="AG163" s="202">
        <v>571.21</v>
      </c>
      <c r="AH163" s="198" t="s">
        <v>989</v>
      </c>
      <c r="AI163" s="198"/>
      <c r="AJ163" s="198"/>
      <c r="AK163" s="198">
        <v>0</v>
      </c>
      <c r="AL163" s="198" t="s">
        <v>929</v>
      </c>
      <c r="AM163" s="198" t="s">
        <v>929</v>
      </c>
      <c r="AN163" s="196">
        <f t="shared" si="50"/>
        <v>8</v>
      </c>
      <c r="AO163" s="196">
        <f t="shared" si="51"/>
        <v>2022</v>
      </c>
      <c r="AP163" s="195">
        <f t="shared" si="52"/>
        <v>2029</v>
      </c>
      <c r="AQ163" s="194">
        <f t="shared" si="53"/>
        <v>2029.6666666666667</v>
      </c>
      <c r="AR163" s="193">
        <f t="shared" si="54"/>
        <v>571.2098809523809</v>
      </c>
      <c r="AS163" s="192">
        <f t="shared" si="55"/>
        <v>6854.5185714285708</v>
      </c>
      <c r="AT163" s="192">
        <f t="shared" si="56"/>
        <v>6854.5185714285708</v>
      </c>
      <c r="AU163" s="192">
        <f t="shared" si="57"/>
        <v>5140.8889285714322</v>
      </c>
      <c r="AV163" s="192">
        <f t="shared" si="58"/>
        <v>11995.407500000003</v>
      </c>
      <c r="AW163" s="191">
        <f t="shared" si="59"/>
        <v>35986.222499999996</v>
      </c>
      <c r="AX163" s="190" t="s">
        <v>72</v>
      </c>
      <c r="AY163" s="184"/>
    </row>
    <row r="164" spans="2:51">
      <c r="B164" s="198">
        <v>2183</v>
      </c>
      <c r="C164" s="199">
        <v>288073</v>
      </c>
      <c r="D164" s="198" t="s">
        <v>989</v>
      </c>
      <c r="E164" s="198" t="s">
        <v>2003</v>
      </c>
      <c r="F164" s="198" t="s">
        <v>1015</v>
      </c>
      <c r="G164" s="198"/>
      <c r="H164" s="198"/>
      <c r="I164" s="200">
        <v>936</v>
      </c>
      <c r="J164" s="198"/>
      <c r="K164" s="200">
        <v>0</v>
      </c>
      <c r="L164" s="198" t="s">
        <v>1001</v>
      </c>
      <c r="M164" s="198"/>
      <c r="N164" s="198" t="s">
        <v>2190</v>
      </c>
      <c r="O164" s="198" t="s">
        <v>2184</v>
      </c>
      <c r="P164" s="198"/>
      <c r="Q164" s="198"/>
      <c r="R164" s="198"/>
      <c r="S164" s="201">
        <v>44797</v>
      </c>
      <c r="T164" s="201">
        <v>44797</v>
      </c>
      <c r="U164" s="198" t="s">
        <v>1945</v>
      </c>
      <c r="V164" s="198">
        <v>700</v>
      </c>
      <c r="W164" s="198">
        <v>14050</v>
      </c>
      <c r="X164" s="202">
        <v>55847.89</v>
      </c>
      <c r="Y164" s="198">
        <v>14056</v>
      </c>
      <c r="Z164" s="202">
        <v>13297.13</v>
      </c>
      <c r="AA164" s="202">
        <v>0</v>
      </c>
      <c r="AB164" s="202">
        <v>42550.76</v>
      </c>
      <c r="AC164" s="202">
        <v>2659.44</v>
      </c>
      <c r="AD164" s="198">
        <v>54260</v>
      </c>
      <c r="AE164" s="202">
        <v>664.86</v>
      </c>
      <c r="AF164" s="202">
        <v>0</v>
      </c>
      <c r="AG164" s="202">
        <v>664.86</v>
      </c>
      <c r="AH164" s="198" t="s">
        <v>989</v>
      </c>
      <c r="AI164" s="198"/>
      <c r="AJ164" s="198"/>
      <c r="AK164" s="198">
        <v>0</v>
      </c>
      <c r="AL164" s="198" t="s">
        <v>929</v>
      </c>
      <c r="AM164" s="198" t="s">
        <v>929</v>
      </c>
      <c r="AN164" s="196">
        <f t="shared" si="50"/>
        <v>8</v>
      </c>
      <c r="AO164" s="196">
        <f t="shared" si="51"/>
        <v>2022</v>
      </c>
      <c r="AP164" s="195">
        <f t="shared" si="52"/>
        <v>2029</v>
      </c>
      <c r="AQ164" s="194">
        <f t="shared" si="53"/>
        <v>2029.6666666666667</v>
      </c>
      <c r="AR164" s="193">
        <f t="shared" si="54"/>
        <v>664.85583333333329</v>
      </c>
      <c r="AS164" s="192">
        <f t="shared" si="55"/>
        <v>7978.2699999999995</v>
      </c>
      <c r="AT164" s="192">
        <f t="shared" si="56"/>
        <v>7978.2699999999995</v>
      </c>
      <c r="AU164" s="192">
        <f t="shared" si="57"/>
        <v>5983.7024999999994</v>
      </c>
      <c r="AV164" s="192">
        <f t="shared" si="58"/>
        <v>13961.9725</v>
      </c>
      <c r="AW164" s="191">
        <f t="shared" si="59"/>
        <v>41885.917499999996</v>
      </c>
      <c r="AX164" s="190" t="s">
        <v>72</v>
      </c>
      <c r="AY164" s="184"/>
    </row>
    <row r="165" spans="2:51" hidden="1">
      <c r="B165" s="198">
        <v>2183</v>
      </c>
      <c r="C165" s="199">
        <v>287231</v>
      </c>
      <c r="D165" s="198">
        <v>284971</v>
      </c>
      <c r="E165" s="198" t="s">
        <v>2003</v>
      </c>
      <c r="F165" s="198" t="s">
        <v>1955</v>
      </c>
      <c r="G165" s="198"/>
      <c r="H165" s="198"/>
      <c r="I165" s="200">
        <v>1</v>
      </c>
      <c r="J165" s="198"/>
      <c r="K165" s="200">
        <v>0</v>
      </c>
      <c r="L165" s="198" t="s">
        <v>1112</v>
      </c>
      <c r="M165" s="198"/>
      <c r="N165" s="198" t="s">
        <v>2183</v>
      </c>
      <c r="O165" s="198" t="s">
        <v>2184</v>
      </c>
      <c r="P165" s="198" t="s">
        <v>1028</v>
      </c>
      <c r="Q165" s="198"/>
      <c r="R165" s="198"/>
      <c r="S165" s="201">
        <v>44756</v>
      </c>
      <c r="T165" s="201">
        <v>44756</v>
      </c>
      <c r="U165" s="198" t="s">
        <v>1937</v>
      </c>
      <c r="V165" s="198">
        <v>1000</v>
      </c>
      <c r="W165" s="198">
        <v>14040</v>
      </c>
      <c r="X165" s="202">
        <v>471.23</v>
      </c>
      <c r="Y165" s="198">
        <v>14046</v>
      </c>
      <c r="Z165" s="202">
        <v>86.4</v>
      </c>
      <c r="AA165" s="202">
        <v>0</v>
      </c>
      <c r="AB165" s="202">
        <v>384.83000000000004</v>
      </c>
      <c r="AC165" s="202">
        <v>15.72</v>
      </c>
      <c r="AD165" s="198">
        <v>51260</v>
      </c>
      <c r="AE165" s="202">
        <v>3.93</v>
      </c>
      <c r="AF165" s="202">
        <v>0</v>
      </c>
      <c r="AG165" s="202">
        <v>3.93</v>
      </c>
      <c r="AH165" s="198" t="s">
        <v>989</v>
      </c>
      <c r="AI165" s="198"/>
      <c r="AJ165" s="198"/>
      <c r="AK165" s="198">
        <v>3724</v>
      </c>
      <c r="AL165" s="198" t="s">
        <v>1857</v>
      </c>
      <c r="AM165" s="198" t="s">
        <v>1857</v>
      </c>
      <c r="AN165" s="196">
        <f t="shared" si="50"/>
        <v>7</v>
      </c>
      <c r="AO165" s="196">
        <f t="shared" si="51"/>
        <v>2022</v>
      </c>
      <c r="AP165" s="195">
        <f t="shared" si="52"/>
        <v>2032</v>
      </c>
      <c r="AQ165" s="194">
        <f t="shared" si="53"/>
        <v>2032.5833333333333</v>
      </c>
      <c r="AR165" s="193">
        <f t="shared" si="54"/>
        <v>3.9269166666666671</v>
      </c>
      <c r="AS165" s="192">
        <f t="shared" si="55"/>
        <v>47.123000000000005</v>
      </c>
      <c r="AT165" s="192">
        <f t="shared" si="56"/>
        <v>47.123000000000005</v>
      </c>
      <c r="AU165" s="192">
        <f t="shared" si="57"/>
        <v>39.269166666673812</v>
      </c>
      <c r="AV165" s="192">
        <f t="shared" si="58"/>
        <v>86.392166666673816</v>
      </c>
      <c r="AW165" s="191">
        <f t="shared" si="59"/>
        <v>384.83783333332622</v>
      </c>
      <c r="AX165" s="190" t="s">
        <v>72</v>
      </c>
      <c r="AY165" s="184"/>
    </row>
    <row r="166" spans="2:51" hidden="1">
      <c r="B166" s="198">
        <v>2183</v>
      </c>
      <c r="C166" s="199">
        <v>287230</v>
      </c>
      <c r="D166" s="198">
        <v>284970</v>
      </c>
      <c r="E166" s="198" t="s">
        <v>2003</v>
      </c>
      <c r="F166" s="198" t="s">
        <v>1954</v>
      </c>
      <c r="G166" s="198"/>
      <c r="H166" s="198"/>
      <c r="I166" s="200">
        <v>1</v>
      </c>
      <c r="J166" s="198"/>
      <c r="K166" s="200">
        <v>0</v>
      </c>
      <c r="L166" s="198" t="s">
        <v>1112</v>
      </c>
      <c r="M166" s="198"/>
      <c r="N166" s="198" t="s">
        <v>2183</v>
      </c>
      <c r="O166" s="198" t="s">
        <v>2184</v>
      </c>
      <c r="P166" s="198" t="s">
        <v>1028</v>
      </c>
      <c r="Q166" s="198"/>
      <c r="R166" s="198"/>
      <c r="S166" s="201">
        <v>44756</v>
      </c>
      <c r="T166" s="201">
        <v>44756</v>
      </c>
      <c r="U166" s="198" t="s">
        <v>1934</v>
      </c>
      <c r="V166" s="198">
        <v>1000</v>
      </c>
      <c r="W166" s="198">
        <v>14040</v>
      </c>
      <c r="X166" s="202">
        <v>471.23</v>
      </c>
      <c r="Y166" s="198">
        <v>14046</v>
      </c>
      <c r="Z166" s="202">
        <v>86.4</v>
      </c>
      <c r="AA166" s="202">
        <v>0</v>
      </c>
      <c r="AB166" s="202">
        <v>384.83000000000004</v>
      </c>
      <c r="AC166" s="202">
        <v>15.72</v>
      </c>
      <c r="AD166" s="198">
        <v>51260</v>
      </c>
      <c r="AE166" s="202">
        <v>3.93</v>
      </c>
      <c r="AF166" s="202">
        <v>0</v>
      </c>
      <c r="AG166" s="202">
        <v>3.93</v>
      </c>
      <c r="AH166" s="198" t="s">
        <v>989</v>
      </c>
      <c r="AI166" s="198"/>
      <c r="AJ166" s="198"/>
      <c r="AK166" s="198">
        <v>3725</v>
      </c>
      <c r="AL166" s="198" t="s">
        <v>1857</v>
      </c>
      <c r="AM166" s="198" t="s">
        <v>1857</v>
      </c>
      <c r="AN166" s="196">
        <f t="shared" si="50"/>
        <v>7</v>
      </c>
      <c r="AO166" s="196">
        <f t="shared" si="51"/>
        <v>2022</v>
      </c>
      <c r="AP166" s="195">
        <f t="shared" si="52"/>
        <v>2032</v>
      </c>
      <c r="AQ166" s="194">
        <f t="shared" si="53"/>
        <v>2032.5833333333333</v>
      </c>
      <c r="AR166" s="193">
        <f t="shared" si="54"/>
        <v>3.9269166666666671</v>
      </c>
      <c r="AS166" s="192">
        <f t="shared" si="55"/>
        <v>47.123000000000005</v>
      </c>
      <c r="AT166" s="192">
        <f t="shared" si="56"/>
        <v>47.123000000000005</v>
      </c>
      <c r="AU166" s="192">
        <f t="shared" si="57"/>
        <v>39.269166666673812</v>
      </c>
      <c r="AV166" s="192">
        <f t="shared" si="58"/>
        <v>86.392166666673816</v>
      </c>
      <c r="AW166" s="191">
        <f t="shared" si="59"/>
        <v>384.83783333332622</v>
      </c>
      <c r="AX166" s="190" t="s">
        <v>72</v>
      </c>
      <c r="AY166" s="184"/>
    </row>
    <row r="167" spans="2:51" hidden="1">
      <c r="B167" s="198">
        <v>2183</v>
      </c>
      <c r="C167" s="199">
        <v>287229</v>
      </c>
      <c r="D167" s="198">
        <v>284969</v>
      </c>
      <c r="E167" s="198" t="s">
        <v>2003</v>
      </c>
      <c r="F167" s="198" t="s">
        <v>1953</v>
      </c>
      <c r="G167" s="198"/>
      <c r="H167" s="198"/>
      <c r="I167" s="200">
        <v>1</v>
      </c>
      <c r="J167" s="198"/>
      <c r="K167" s="200">
        <v>0</v>
      </c>
      <c r="L167" s="198" t="s">
        <v>1112</v>
      </c>
      <c r="M167" s="198"/>
      <c r="N167" s="198" t="s">
        <v>2183</v>
      </c>
      <c r="O167" s="198" t="s">
        <v>2184</v>
      </c>
      <c r="P167" s="198" t="s">
        <v>1028</v>
      </c>
      <c r="Q167" s="198"/>
      <c r="R167" s="198"/>
      <c r="S167" s="201">
        <v>44756</v>
      </c>
      <c r="T167" s="201">
        <v>44756</v>
      </c>
      <c r="U167" s="198" t="s">
        <v>1932</v>
      </c>
      <c r="V167" s="198">
        <v>1000</v>
      </c>
      <c r="W167" s="198">
        <v>14040</v>
      </c>
      <c r="X167" s="202">
        <v>471.22</v>
      </c>
      <c r="Y167" s="198">
        <v>14046</v>
      </c>
      <c r="Z167" s="202">
        <v>86.4</v>
      </c>
      <c r="AA167" s="202">
        <v>0</v>
      </c>
      <c r="AB167" s="202">
        <v>384.82000000000005</v>
      </c>
      <c r="AC167" s="202">
        <v>15.72</v>
      </c>
      <c r="AD167" s="198">
        <v>51260</v>
      </c>
      <c r="AE167" s="202">
        <v>3.93</v>
      </c>
      <c r="AF167" s="202">
        <v>0</v>
      </c>
      <c r="AG167" s="202">
        <v>3.93</v>
      </c>
      <c r="AH167" s="198" t="s">
        <v>989</v>
      </c>
      <c r="AI167" s="198"/>
      <c r="AJ167" s="198"/>
      <c r="AK167" s="198">
        <v>3726</v>
      </c>
      <c r="AL167" s="198" t="s">
        <v>1857</v>
      </c>
      <c r="AM167" s="198" t="s">
        <v>1857</v>
      </c>
      <c r="AN167" s="196">
        <f t="shared" si="50"/>
        <v>7</v>
      </c>
      <c r="AO167" s="196">
        <f t="shared" si="51"/>
        <v>2022</v>
      </c>
      <c r="AP167" s="195">
        <f t="shared" si="52"/>
        <v>2032</v>
      </c>
      <c r="AQ167" s="194">
        <f t="shared" si="53"/>
        <v>2032.5833333333333</v>
      </c>
      <c r="AR167" s="193">
        <f t="shared" si="54"/>
        <v>3.9268333333333332</v>
      </c>
      <c r="AS167" s="192">
        <f t="shared" si="55"/>
        <v>47.122</v>
      </c>
      <c r="AT167" s="192">
        <f t="shared" si="56"/>
        <v>47.122</v>
      </c>
      <c r="AU167" s="192">
        <f t="shared" si="57"/>
        <v>39.268333333340536</v>
      </c>
      <c r="AV167" s="192">
        <f t="shared" si="58"/>
        <v>86.390333333340536</v>
      </c>
      <c r="AW167" s="191">
        <f t="shared" si="59"/>
        <v>384.82966666665948</v>
      </c>
      <c r="AX167" s="190" t="s">
        <v>72</v>
      </c>
      <c r="AY167" s="184"/>
    </row>
    <row r="168" spans="2:51" hidden="1">
      <c r="B168" s="198">
        <v>2183</v>
      </c>
      <c r="C168" s="199">
        <v>287228</v>
      </c>
      <c r="D168" s="198">
        <v>284969</v>
      </c>
      <c r="E168" s="198" t="s">
        <v>2003</v>
      </c>
      <c r="F168" s="198" t="s">
        <v>1952</v>
      </c>
      <c r="G168" s="198"/>
      <c r="H168" s="198"/>
      <c r="I168" s="200">
        <v>1</v>
      </c>
      <c r="J168" s="198"/>
      <c r="K168" s="200">
        <v>0</v>
      </c>
      <c r="L168" s="198" t="s">
        <v>1151</v>
      </c>
      <c r="M168" s="198"/>
      <c r="N168" s="198" t="s">
        <v>2183</v>
      </c>
      <c r="O168" s="198" t="s">
        <v>2184</v>
      </c>
      <c r="P168" s="198" t="s">
        <v>1028</v>
      </c>
      <c r="Q168" s="198"/>
      <c r="R168" s="198"/>
      <c r="S168" s="201">
        <v>44756</v>
      </c>
      <c r="T168" s="201">
        <v>44756</v>
      </c>
      <c r="U168" s="198" t="s">
        <v>1932</v>
      </c>
      <c r="V168" s="198">
        <v>1000</v>
      </c>
      <c r="W168" s="198">
        <v>14040</v>
      </c>
      <c r="X168" s="202">
        <v>958.13</v>
      </c>
      <c r="Y168" s="198">
        <v>14046</v>
      </c>
      <c r="Z168" s="202">
        <v>175.64</v>
      </c>
      <c r="AA168" s="202">
        <v>0</v>
      </c>
      <c r="AB168" s="202">
        <v>782.49</v>
      </c>
      <c r="AC168" s="202">
        <v>31.92</v>
      </c>
      <c r="AD168" s="198">
        <v>51260</v>
      </c>
      <c r="AE168" s="202">
        <v>7.98</v>
      </c>
      <c r="AF168" s="202">
        <v>0</v>
      </c>
      <c r="AG168" s="202">
        <v>7.98</v>
      </c>
      <c r="AH168" s="198" t="s">
        <v>989</v>
      </c>
      <c r="AI168" s="198"/>
      <c r="AJ168" s="198"/>
      <c r="AK168" s="198">
        <v>3725</v>
      </c>
      <c r="AL168" s="198" t="s">
        <v>1857</v>
      </c>
      <c r="AM168" s="198" t="s">
        <v>1857</v>
      </c>
      <c r="AN168" s="196">
        <f t="shared" si="50"/>
        <v>7</v>
      </c>
      <c r="AO168" s="196">
        <f t="shared" si="51"/>
        <v>2022</v>
      </c>
      <c r="AP168" s="195">
        <f t="shared" si="52"/>
        <v>2032</v>
      </c>
      <c r="AQ168" s="194">
        <f t="shared" si="53"/>
        <v>2032.5833333333333</v>
      </c>
      <c r="AR168" s="193">
        <f t="shared" si="54"/>
        <v>7.9844166666666672</v>
      </c>
      <c r="AS168" s="192">
        <f t="shared" si="55"/>
        <v>95.813000000000002</v>
      </c>
      <c r="AT168" s="192">
        <f t="shared" si="56"/>
        <v>95.813000000000002</v>
      </c>
      <c r="AU168" s="192">
        <f t="shared" si="57"/>
        <v>79.844166666681076</v>
      </c>
      <c r="AV168" s="192">
        <f t="shared" si="58"/>
        <v>175.65716666668106</v>
      </c>
      <c r="AW168" s="191">
        <f t="shared" si="59"/>
        <v>782.47283333331893</v>
      </c>
      <c r="AX168" s="190" t="s">
        <v>72</v>
      </c>
      <c r="AY168" s="184"/>
    </row>
    <row r="169" spans="2:51" hidden="1">
      <c r="B169" s="198">
        <v>2183</v>
      </c>
      <c r="C169" s="199">
        <v>287227</v>
      </c>
      <c r="D169" s="198">
        <v>284971</v>
      </c>
      <c r="E169" s="198" t="s">
        <v>2003</v>
      </c>
      <c r="F169" s="198" t="s">
        <v>1951</v>
      </c>
      <c r="G169" s="198"/>
      <c r="H169" s="198"/>
      <c r="I169" s="200">
        <v>1</v>
      </c>
      <c r="J169" s="198"/>
      <c r="K169" s="200">
        <v>0</v>
      </c>
      <c r="L169" s="198" t="s">
        <v>1950</v>
      </c>
      <c r="M169" s="198"/>
      <c r="N169" s="198" t="s">
        <v>2183</v>
      </c>
      <c r="O169" s="198" t="s">
        <v>2184</v>
      </c>
      <c r="P169" s="198" t="s">
        <v>1028</v>
      </c>
      <c r="Q169" s="198"/>
      <c r="R169" s="198"/>
      <c r="S169" s="201">
        <v>44748</v>
      </c>
      <c r="T169" s="201">
        <v>44748</v>
      </c>
      <c r="U169" s="198" t="s">
        <v>1937</v>
      </c>
      <c r="V169" s="198">
        <v>1000</v>
      </c>
      <c r="W169" s="198">
        <v>14040</v>
      </c>
      <c r="X169" s="202">
        <v>870.53</v>
      </c>
      <c r="Y169" s="198">
        <v>14046</v>
      </c>
      <c r="Z169" s="202">
        <v>159.58000000000001</v>
      </c>
      <c r="AA169" s="202">
        <v>0</v>
      </c>
      <c r="AB169" s="202">
        <v>710.94999999999993</v>
      </c>
      <c r="AC169" s="202">
        <v>29</v>
      </c>
      <c r="AD169" s="198">
        <v>51260</v>
      </c>
      <c r="AE169" s="202">
        <v>7.25</v>
      </c>
      <c r="AF169" s="202">
        <v>0</v>
      </c>
      <c r="AG169" s="202">
        <v>7.25</v>
      </c>
      <c r="AH169" s="198" t="s">
        <v>989</v>
      </c>
      <c r="AI169" s="198"/>
      <c r="AJ169" s="198"/>
      <c r="AK169" s="198">
        <v>3726</v>
      </c>
      <c r="AL169" s="198" t="s">
        <v>1857</v>
      </c>
      <c r="AM169" s="198" t="s">
        <v>1857</v>
      </c>
      <c r="AN169" s="196">
        <f t="shared" si="50"/>
        <v>7</v>
      </c>
      <c r="AO169" s="196">
        <f t="shared" si="51"/>
        <v>2022</v>
      </c>
      <c r="AP169" s="195">
        <f t="shared" si="52"/>
        <v>2032</v>
      </c>
      <c r="AQ169" s="194">
        <f t="shared" si="53"/>
        <v>2032.5833333333333</v>
      </c>
      <c r="AR169" s="193">
        <f t="shared" si="54"/>
        <v>7.2544166666666667</v>
      </c>
      <c r="AS169" s="192">
        <f t="shared" si="55"/>
        <v>87.052999999999997</v>
      </c>
      <c r="AT169" s="192">
        <f t="shared" si="56"/>
        <v>87.052999999999997</v>
      </c>
      <c r="AU169" s="192">
        <f t="shared" si="57"/>
        <v>72.544166666679871</v>
      </c>
      <c r="AV169" s="192">
        <f t="shared" si="58"/>
        <v>159.59716666667987</v>
      </c>
      <c r="AW169" s="191">
        <f t="shared" si="59"/>
        <v>710.9328333333201</v>
      </c>
      <c r="AX169" s="190" t="s">
        <v>72</v>
      </c>
      <c r="AY169" s="184"/>
    </row>
    <row r="170" spans="2:51" hidden="1">
      <c r="B170" s="198">
        <v>2183</v>
      </c>
      <c r="C170" s="199">
        <v>287224</v>
      </c>
      <c r="D170" s="198">
        <v>282320</v>
      </c>
      <c r="E170" s="198" t="s">
        <v>2003</v>
      </c>
      <c r="F170" s="198" t="s">
        <v>1949</v>
      </c>
      <c r="G170" s="198"/>
      <c r="H170" s="198"/>
      <c r="I170" s="200">
        <v>1</v>
      </c>
      <c r="J170" s="198"/>
      <c r="K170" s="200">
        <v>0</v>
      </c>
      <c r="L170" s="198" t="s">
        <v>1948</v>
      </c>
      <c r="M170" s="198"/>
      <c r="N170" s="198" t="s">
        <v>2183</v>
      </c>
      <c r="O170" s="198" t="s">
        <v>2184</v>
      </c>
      <c r="P170" s="198" t="s">
        <v>1028</v>
      </c>
      <c r="Q170" s="198"/>
      <c r="R170" s="198"/>
      <c r="S170" s="201">
        <v>44706</v>
      </c>
      <c r="T170" s="201">
        <v>44706</v>
      </c>
      <c r="U170" s="198" t="s">
        <v>1922</v>
      </c>
      <c r="V170" s="198">
        <v>1000</v>
      </c>
      <c r="W170" s="198">
        <v>14040</v>
      </c>
      <c r="X170" s="202">
        <v>472.37</v>
      </c>
      <c r="Y170" s="198">
        <v>14046</v>
      </c>
      <c r="Z170" s="202">
        <v>90.56</v>
      </c>
      <c r="AA170" s="202">
        <v>0</v>
      </c>
      <c r="AB170" s="202">
        <v>381.81</v>
      </c>
      <c r="AC170" s="202">
        <v>15.76</v>
      </c>
      <c r="AD170" s="198">
        <v>51260</v>
      </c>
      <c r="AE170" s="202">
        <v>3.94</v>
      </c>
      <c r="AF170" s="202">
        <v>0</v>
      </c>
      <c r="AG170" s="202">
        <v>3.94</v>
      </c>
      <c r="AH170" s="198" t="s">
        <v>989</v>
      </c>
      <c r="AI170" s="198"/>
      <c r="AJ170" s="198"/>
      <c r="AK170" s="198">
        <v>3722</v>
      </c>
      <c r="AL170" s="198" t="s">
        <v>1857</v>
      </c>
      <c r="AM170" s="198" t="s">
        <v>1857</v>
      </c>
      <c r="AN170" s="196">
        <f t="shared" si="50"/>
        <v>5</v>
      </c>
      <c r="AO170" s="196">
        <f t="shared" si="51"/>
        <v>2022</v>
      </c>
      <c r="AP170" s="195">
        <f t="shared" si="52"/>
        <v>2032</v>
      </c>
      <c r="AQ170" s="194">
        <f t="shared" si="53"/>
        <v>2032.4166666666667</v>
      </c>
      <c r="AR170" s="193">
        <f t="shared" si="54"/>
        <v>3.9364166666666667</v>
      </c>
      <c r="AS170" s="192">
        <f t="shared" si="55"/>
        <v>47.237000000000002</v>
      </c>
      <c r="AT170" s="192">
        <f t="shared" si="56"/>
        <v>47.237000000000002</v>
      </c>
      <c r="AU170" s="192">
        <f t="shared" si="57"/>
        <v>47.237000000000023</v>
      </c>
      <c r="AV170" s="192">
        <f t="shared" si="58"/>
        <v>94.474000000000018</v>
      </c>
      <c r="AW170" s="191">
        <f t="shared" si="59"/>
        <v>377.89599999999996</v>
      </c>
      <c r="AX170" s="190" t="s">
        <v>72</v>
      </c>
      <c r="AY170" s="184"/>
    </row>
    <row r="171" spans="2:51" hidden="1">
      <c r="B171" s="198">
        <v>2183</v>
      </c>
      <c r="C171" s="199">
        <v>287223</v>
      </c>
      <c r="D171" s="198">
        <v>282320</v>
      </c>
      <c r="E171" s="198" t="s">
        <v>2003</v>
      </c>
      <c r="F171" s="198" t="s">
        <v>1947</v>
      </c>
      <c r="G171" s="198"/>
      <c r="H171" s="198"/>
      <c r="I171" s="200">
        <v>1</v>
      </c>
      <c r="J171" s="198"/>
      <c r="K171" s="200">
        <v>0</v>
      </c>
      <c r="L171" s="198" t="s">
        <v>1151</v>
      </c>
      <c r="M171" s="198"/>
      <c r="N171" s="198" t="s">
        <v>2183</v>
      </c>
      <c r="O171" s="198" t="s">
        <v>2184</v>
      </c>
      <c r="P171" s="198" t="s">
        <v>1028</v>
      </c>
      <c r="Q171" s="198"/>
      <c r="R171" s="198"/>
      <c r="S171" s="201">
        <v>44706</v>
      </c>
      <c r="T171" s="201">
        <v>44706</v>
      </c>
      <c r="U171" s="198" t="s">
        <v>1922</v>
      </c>
      <c r="V171" s="198">
        <v>1000</v>
      </c>
      <c r="W171" s="198">
        <v>14040</v>
      </c>
      <c r="X171" s="202">
        <v>958.13</v>
      </c>
      <c r="Y171" s="198">
        <v>14046</v>
      </c>
      <c r="Z171" s="202">
        <v>183.62</v>
      </c>
      <c r="AA171" s="202">
        <v>0</v>
      </c>
      <c r="AB171" s="202">
        <v>774.51</v>
      </c>
      <c r="AC171" s="202">
        <v>31.92</v>
      </c>
      <c r="AD171" s="198">
        <v>51260</v>
      </c>
      <c r="AE171" s="202">
        <v>7.98</v>
      </c>
      <c r="AF171" s="202">
        <v>0</v>
      </c>
      <c r="AG171" s="202">
        <v>7.98</v>
      </c>
      <c r="AH171" s="198" t="s">
        <v>989</v>
      </c>
      <c r="AI171" s="198"/>
      <c r="AJ171" s="198"/>
      <c r="AK171" s="198">
        <v>3724</v>
      </c>
      <c r="AL171" s="198" t="s">
        <v>1857</v>
      </c>
      <c r="AM171" s="198" t="s">
        <v>1857</v>
      </c>
      <c r="AN171" s="196">
        <f t="shared" si="50"/>
        <v>5</v>
      </c>
      <c r="AO171" s="196">
        <f t="shared" si="51"/>
        <v>2022</v>
      </c>
      <c r="AP171" s="195">
        <f t="shared" si="52"/>
        <v>2032</v>
      </c>
      <c r="AQ171" s="194">
        <f t="shared" si="53"/>
        <v>2032.4166666666667</v>
      </c>
      <c r="AR171" s="193">
        <f t="shared" si="54"/>
        <v>7.9844166666666672</v>
      </c>
      <c r="AS171" s="192">
        <f t="shared" si="55"/>
        <v>95.813000000000002</v>
      </c>
      <c r="AT171" s="192">
        <f t="shared" si="56"/>
        <v>95.813000000000002</v>
      </c>
      <c r="AU171" s="192">
        <f t="shared" si="57"/>
        <v>95.812999999999988</v>
      </c>
      <c r="AV171" s="192">
        <f t="shared" si="58"/>
        <v>191.62599999999998</v>
      </c>
      <c r="AW171" s="191">
        <f t="shared" si="59"/>
        <v>766.50400000000002</v>
      </c>
      <c r="AX171" s="190" t="s">
        <v>72</v>
      </c>
      <c r="AY171" s="184"/>
    </row>
    <row r="172" spans="2:51" hidden="1">
      <c r="B172" s="198">
        <v>2183</v>
      </c>
      <c r="C172" s="199">
        <v>287222</v>
      </c>
      <c r="D172" s="198">
        <v>281758</v>
      </c>
      <c r="E172" s="198" t="s">
        <v>2003</v>
      </c>
      <c r="F172" s="198" t="s">
        <v>1946</v>
      </c>
      <c r="G172" s="198"/>
      <c r="H172" s="198"/>
      <c r="I172" s="200">
        <v>1</v>
      </c>
      <c r="J172" s="198"/>
      <c r="K172" s="200">
        <v>2022</v>
      </c>
      <c r="L172" s="198" t="s">
        <v>1302</v>
      </c>
      <c r="M172" s="198" t="s">
        <v>1110</v>
      </c>
      <c r="N172" s="198" t="s">
        <v>2183</v>
      </c>
      <c r="O172" s="198" t="s">
        <v>2184</v>
      </c>
      <c r="P172" s="198" t="s">
        <v>1028</v>
      </c>
      <c r="Q172" s="198"/>
      <c r="R172" s="198"/>
      <c r="S172" s="201">
        <v>44700</v>
      </c>
      <c r="T172" s="201">
        <v>44700</v>
      </c>
      <c r="U172" s="198" t="s">
        <v>1911</v>
      </c>
      <c r="V172" s="198">
        <v>1000</v>
      </c>
      <c r="W172" s="198">
        <v>14040</v>
      </c>
      <c r="X172" s="202">
        <v>472.37</v>
      </c>
      <c r="Y172" s="198">
        <v>14046</v>
      </c>
      <c r="Z172" s="202">
        <v>90.56</v>
      </c>
      <c r="AA172" s="202">
        <v>0</v>
      </c>
      <c r="AB172" s="202">
        <v>381.81</v>
      </c>
      <c r="AC172" s="202">
        <v>15.76</v>
      </c>
      <c r="AD172" s="198">
        <v>51260</v>
      </c>
      <c r="AE172" s="202">
        <v>3.94</v>
      </c>
      <c r="AF172" s="202">
        <v>0</v>
      </c>
      <c r="AG172" s="202">
        <v>3.94</v>
      </c>
      <c r="AH172" s="198" t="s">
        <v>989</v>
      </c>
      <c r="AI172" s="198"/>
      <c r="AJ172" s="198"/>
      <c r="AK172" s="198">
        <v>3720</v>
      </c>
      <c r="AL172" s="198" t="s">
        <v>1857</v>
      </c>
      <c r="AM172" s="198" t="s">
        <v>1857</v>
      </c>
      <c r="AN172" s="196">
        <f t="shared" si="50"/>
        <v>5</v>
      </c>
      <c r="AO172" s="196">
        <f t="shared" si="51"/>
        <v>2022</v>
      </c>
      <c r="AP172" s="195">
        <f t="shared" si="52"/>
        <v>2032</v>
      </c>
      <c r="AQ172" s="194">
        <f t="shared" si="53"/>
        <v>2032.4166666666667</v>
      </c>
      <c r="AR172" s="193">
        <f t="shared" si="54"/>
        <v>3.9364166666666667</v>
      </c>
      <c r="AS172" s="192">
        <f t="shared" si="55"/>
        <v>47.237000000000002</v>
      </c>
      <c r="AT172" s="192">
        <f t="shared" si="56"/>
        <v>47.237000000000002</v>
      </c>
      <c r="AU172" s="192">
        <f t="shared" si="57"/>
        <v>47.237000000000023</v>
      </c>
      <c r="AV172" s="192">
        <f t="shared" si="58"/>
        <v>94.474000000000018</v>
      </c>
      <c r="AW172" s="191">
        <f t="shared" si="59"/>
        <v>377.89599999999996</v>
      </c>
      <c r="AX172" s="190" t="s">
        <v>72</v>
      </c>
      <c r="AY172" s="184"/>
    </row>
    <row r="173" spans="2:51">
      <c r="B173" s="198">
        <v>2183</v>
      </c>
      <c r="C173" s="199">
        <v>286537</v>
      </c>
      <c r="D173" s="198" t="s">
        <v>989</v>
      </c>
      <c r="E173" s="198" t="s">
        <v>2003</v>
      </c>
      <c r="F173" s="198" t="s">
        <v>881</v>
      </c>
      <c r="G173" s="198"/>
      <c r="H173" s="198"/>
      <c r="I173" s="200">
        <v>702</v>
      </c>
      <c r="J173" s="198"/>
      <c r="K173" s="200">
        <v>0</v>
      </c>
      <c r="L173" s="198" t="s">
        <v>1001</v>
      </c>
      <c r="M173" s="198"/>
      <c r="N173" s="198" t="s">
        <v>2190</v>
      </c>
      <c r="O173" s="198" t="s">
        <v>2184</v>
      </c>
      <c r="P173" s="198"/>
      <c r="Q173" s="198"/>
      <c r="R173" s="198"/>
      <c r="S173" s="201">
        <v>44771</v>
      </c>
      <c r="T173" s="201">
        <v>44771</v>
      </c>
      <c r="U173" s="198" t="s">
        <v>1945</v>
      </c>
      <c r="V173" s="198">
        <v>700</v>
      </c>
      <c r="W173" s="198">
        <v>14050</v>
      </c>
      <c r="X173" s="202">
        <v>47981.63</v>
      </c>
      <c r="Y173" s="198">
        <v>14056</v>
      </c>
      <c r="Z173" s="202">
        <v>11995.41</v>
      </c>
      <c r="AA173" s="202">
        <v>0</v>
      </c>
      <c r="AB173" s="202">
        <v>35986.22</v>
      </c>
      <c r="AC173" s="202">
        <v>2284.84</v>
      </c>
      <c r="AD173" s="198">
        <v>54260</v>
      </c>
      <c r="AE173" s="202">
        <v>571.21</v>
      </c>
      <c r="AF173" s="202">
        <v>0</v>
      </c>
      <c r="AG173" s="202">
        <v>571.21</v>
      </c>
      <c r="AH173" s="198" t="s">
        <v>989</v>
      </c>
      <c r="AI173" s="198"/>
      <c r="AJ173" s="198"/>
      <c r="AK173" s="198">
        <v>0</v>
      </c>
      <c r="AL173" s="198" t="s">
        <v>2301</v>
      </c>
      <c r="AM173" s="198" t="s">
        <v>933</v>
      </c>
      <c r="AN173" s="196">
        <f t="shared" si="50"/>
        <v>7</v>
      </c>
      <c r="AO173" s="196">
        <f t="shared" si="51"/>
        <v>2022</v>
      </c>
      <c r="AP173" s="195">
        <f t="shared" si="52"/>
        <v>2029</v>
      </c>
      <c r="AQ173" s="194">
        <f t="shared" si="53"/>
        <v>2029.5833333333333</v>
      </c>
      <c r="AR173" s="193">
        <f t="shared" si="54"/>
        <v>571.2098809523809</v>
      </c>
      <c r="AS173" s="192">
        <f t="shared" si="55"/>
        <v>6854.5185714285708</v>
      </c>
      <c r="AT173" s="192">
        <f t="shared" si="56"/>
        <v>6854.5185714285708</v>
      </c>
      <c r="AU173" s="192">
        <f t="shared" si="57"/>
        <v>5712.0988095248467</v>
      </c>
      <c r="AV173" s="192">
        <f t="shared" si="58"/>
        <v>12566.617380953418</v>
      </c>
      <c r="AW173" s="191">
        <f t="shared" si="59"/>
        <v>35415.012619046582</v>
      </c>
      <c r="AX173" s="190" t="s">
        <v>72</v>
      </c>
      <c r="AY173" s="184"/>
    </row>
    <row r="174" spans="2:51">
      <c r="B174" s="198">
        <v>2183</v>
      </c>
      <c r="C174" s="199">
        <v>286142</v>
      </c>
      <c r="D174" s="198" t="s">
        <v>989</v>
      </c>
      <c r="E174" s="198" t="s">
        <v>2003</v>
      </c>
      <c r="F174" s="198" t="s">
        <v>1944</v>
      </c>
      <c r="G174" s="198"/>
      <c r="H174" s="198"/>
      <c r="I174" s="200">
        <v>1</v>
      </c>
      <c r="J174" s="198"/>
      <c r="K174" s="200">
        <v>0</v>
      </c>
      <c r="L174" s="198" t="s">
        <v>1000</v>
      </c>
      <c r="M174" s="198"/>
      <c r="N174" s="198" t="s">
        <v>409</v>
      </c>
      <c r="O174" s="198" t="s">
        <v>2184</v>
      </c>
      <c r="P174" s="198"/>
      <c r="Q174" s="198"/>
      <c r="R174" s="198"/>
      <c r="S174" s="201">
        <v>44589</v>
      </c>
      <c r="T174" s="201">
        <v>44589</v>
      </c>
      <c r="U174" s="198" t="s">
        <v>1943</v>
      </c>
      <c r="V174" s="198">
        <v>1000</v>
      </c>
      <c r="W174" s="198">
        <v>14100</v>
      </c>
      <c r="X174" s="202">
        <v>5251.08</v>
      </c>
      <c r="Y174" s="198">
        <v>14106</v>
      </c>
      <c r="Z174" s="202">
        <v>1181.5</v>
      </c>
      <c r="AA174" s="202">
        <v>0</v>
      </c>
      <c r="AB174" s="202">
        <v>4069.58</v>
      </c>
      <c r="AC174" s="202">
        <v>175.04</v>
      </c>
      <c r="AD174" s="198">
        <v>70260</v>
      </c>
      <c r="AE174" s="202">
        <v>43.76</v>
      </c>
      <c r="AF174" s="202">
        <v>0</v>
      </c>
      <c r="AG174" s="202">
        <v>43.76</v>
      </c>
      <c r="AH174" s="198" t="s">
        <v>989</v>
      </c>
      <c r="AI174" s="198"/>
      <c r="AJ174" s="198"/>
      <c r="AK174" s="198">
        <v>0</v>
      </c>
      <c r="AL174" s="198" t="s">
        <v>138</v>
      </c>
      <c r="AM174" s="198" t="s">
        <v>138</v>
      </c>
      <c r="AN174" s="196">
        <f t="shared" si="50"/>
        <v>1</v>
      </c>
      <c r="AO174" s="196">
        <f t="shared" si="51"/>
        <v>2022</v>
      </c>
      <c r="AP174" s="195">
        <f t="shared" si="52"/>
        <v>2032</v>
      </c>
      <c r="AQ174" s="194">
        <f t="shared" si="53"/>
        <v>2032.0833333333333</v>
      </c>
      <c r="AR174" s="193">
        <f t="shared" si="54"/>
        <v>43.758999999999993</v>
      </c>
      <c r="AS174" s="192">
        <f t="shared" si="55"/>
        <v>525.10799999999995</v>
      </c>
      <c r="AT174" s="192">
        <f t="shared" si="56"/>
        <v>525.10799999999995</v>
      </c>
      <c r="AU174" s="192">
        <f t="shared" si="57"/>
        <v>700.14400000008027</v>
      </c>
      <c r="AV174" s="192">
        <f t="shared" si="58"/>
        <v>1225.2520000000802</v>
      </c>
      <c r="AW174" s="191">
        <f t="shared" si="59"/>
        <v>4025.8279999999195</v>
      </c>
      <c r="AX174" s="190" t="s">
        <v>72</v>
      </c>
      <c r="AY174" s="184"/>
    </row>
    <row r="175" spans="2:51">
      <c r="B175" s="198">
        <v>2183</v>
      </c>
      <c r="C175" s="199">
        <v>285802</v>
      </c>
      <c r="D175" s="198" t="s">
        <v>989</v>
      </c>
      <c r="E175" s="198" t="s">
        <v>2003</v>
      </c>
      <c r="F175" s="198" t="s">
        <v>1942</v>
      </c>
      <c r="G175" s="198"/>
      <c r="H175" s="198"/>
      <c r="I175" s="200">
        <v>1</v>
      </c>
      <c r="J175" s="198"/>
      <c r="K175" s="200">
        <v>0</v>
      </c>
      <c r="L175" s="198" t="s">
        <v>1892</v>
      </c>
      <c r="M175" s="198"/>
      <c r="N175" s="198" t="s">
        <v>2199</v>
      </c>
      <c r="O175" s="198" t="s">
        <v>2184</v>
      </c>
      <c r="P175" s="198"/>
      <c r="Q175" s="198"/>
      <c r="R175" s="198"/>
      <c r="S175" s="201">
        <v>44736</v>
      </c>
      <c r="T175" s="201">
        <v>44736</v>
      </c>
      <c r="U175" s="198" t="s">
        <v>1939</v>
      </c>
      <c r="V175" s="198">
        <v>300</v>
      </c>
      <c r="W175" s="198">
        <v>14110</v>
      </c>
      <c r="X175" s="202">
        <v>1459.1</v>
      </c>
      <c r="Y175" s="198">
        <v>14116</v>
      </c>
      <c r="Z175" s="202">
        <v>891.67</v>
      </c>
      <c r="AA175" s="202">
        <v>0</v>
      </c>
      <c r="AB175" s="202">
        <v>567.42999999999995</v>
      </c>
      <c r="AC175" s="202">
        <v>162.12</v>
      </c>
      <c r="AD175" s="198">
        <v>70260</v>
      </c>
      <c r="AE175" s="202">
        <v>40.53</v>
      </c>
      <c r="AF175" s="202">
        <v>0</v>
      </c>
      <c r="AG175" s="202">
        <v>40.53</v>
      </c>
      <c r="AH175" s="198" t="s">
        <v>989</v>
      </c>
      <c r="AI175" s="198"/>
      <c r="AJ175" s="198"/>
      <c r="AK175" s="198">
        <v>0</v>
      </c>
      <c r="AL175" s="198" t="s">
        <v>932</v>
      </c>
      <c r="AM175" s="198" t="s">
        <v>932</v>
      </c>
      <c r="AN175" s="196">
        <f t="shared" si="50"/>
        <v>6</v>
      </c>
      <c r="AO175" s="196">
        <f t="shared" si="51"/>
        <v>2022</v>
      </c>
      <c r="AP175" s="195">
        <f t="shared" si="52"/>
        <v>2025</v>
      </c>
      <c r="AQ175" s="194">
        <f t="shared" si="53"/>
        <v>2025.5</v>
      </c>
      <c r="AR175" s="193">
        <f t="shared" si="54"/>
        <v>40.530555555555551</v>
      </c>
      <c r="AS175" s="192">
        <f t="shared" si="55"/>
        <v>486.36666666666662</v>
      </c>
      <c r="AT175" s="192">
        <f t="shared" si="56"/>
        <v>486.36666666666662</v>
      </c>
      <c r="AU175" s="192">
        <f t="shared" si="57"/>
        <v>445.83611111114794</v>
      </c>
      <c r="AV175" s="192">
        <f t="shared" si="58"/>
        <v>932.20277777781462</v>
      </c>
      <c r="AW175" s="191">
        <f t="shared" si="59"/>
        <v>526.89722222218529</v>
      </c>
      <c r="AX175" s="190" t="s">
        <v>72</v>
      </c>
      <c r="AY175" s="184"/>
    </row>
    <row r="176" spans="2:51">
      <c r="B176" s="198">
        <v>2183</v>
      </c>
      <c r="C176" s="199">
        <v>285623</v>
      </c>
      <c r="D176" s="198" t="s">
        <v>989</v>
      </c>
      <c r="E176" s="198" t="s">
        <v>2003</v>
      </c>
      <c r="F176" s="198" t="s">
        <v>1941</v>
      </c>
      <c r="G176" s="198"/>
      <c r="H176" s="198"/>
      <c r="I176" s="200">
        <v>1</v>
      </c>
      <c r="J176" s="198"/>
      <c r="K176" s="200">
        <v>0</v>
      </c>
      <c r="L176" s="198" t="s">
        <v>1940</v>
      </c>
      <c r="M176" s="198"/>
      <c r="N176" s="198" t="s">
        <v>2199</v>
      </c>
      <c r="O176" s="198" t="s">
        <v>2184</v>
      </c>
      <c r="P176" s="198"/>
      <c r="Q176" s="198"/>
      <c r="R176" s="198"/>
      <c r="S176" s="201">
        <v>44736</v>
      </c>
      <c r="T176" s="201">
        <v>44736</v>
      </c>
      <c r="U176" s="198" t="s">
        <v>1939</v>
      </c>
      <c r="V176" s="198">
        <v>300</v>
      </c>
      <c r="W176" s="198">
        <v>14110</v>
      </c>
      <c r="X176" s="202">
        <v>306.3</v>
      </c>
      <c r="Y176" s="198">
        <v>14116</v>
      </c>
      <c r="Z176" s="202">
        <v>187.19</v>
      </c>
      <c r="AA176" s="202">
        <v>0</v>
      </c>
      <c r="AB176" s="202">
        <v>119.11000000000001</v>
      </c>
      <c r="AC176" s="202">
        <v>34.04</v>
      </c>
      <c r="AD176" s="198">
        <v>70260</v>
      </c>
      <c r="AE176" s="202">
        <v>8.51</v>
      </c>
      <c r="AF176" s="202">
        <v>0</v>
      </c>
      <c r="AG176" s="202">
        <v>8.51</v>
      </c>
      <c r="AH176" s="198" t="s">
        <v>989</v>
      </c>
      <c r="AI176" s="198"/>
      <c r="AJ176" s="198"/>
      <c r="AK176" s="198">
        <v>0</v>
      </c>
      <c r="AL176" s="198" t="s">
        <v>932</v>
      </c>
      <c r="AM176" s="198" t="s">
        <v>932</v>
      </c>
      <c r="AN176" s="196">
        <f t="shared" si="50"/>
        <v>6</v>
      </c>
      <c r="AO176" s="196">
        <f t="shared" si="51"/>
        <v>2022</v>
      </c>
      <c r="AP176" s="195">
        <f t="shared" si="52"/>
        <v>2025</v>
      </c>
      <c r="AQ176" s="194">
        <f t="shared" si="53"/>
        <v>2025.5</v>
      </c>
      <c r="AR176" s="193">
        <f t="shared" si="54"/>
        <v>8.5083333333333346</v>
      </c>
      <c r="AS176" s="192">
        <f t="shared" si="55"/>
        <v>102.10000000000002</v>
      </c>
      <c r="AT176" s="192">
        <f t="shared" si="56"/>
        <v>102.10000000000002</v>
      </c>
      <c r="AU176" s="192">
        <f t="shared" si="57"/>
        <v>93.591666666674371</v>
      </c>
      <c r="AV176" s="192">
        <f t="shared" si="58"/>
        <v>195.69166666667439</v>
      </c>
      <c r="AW176" s="191">
        <f t="shared" si="59"/>
        <v>110.60833333332562</v>
      </c>
      <c r="AX176" s="190" t="s">
        <v>72</v>
      </c>
      <c r="AY176" s="184"/>
    </row>
    <row r="177" spans="2:51">
      <c r="B177" s="198">
        <v>2183</v>
      </c>
      <c r="C177" s="199">
        <v>285394</v>
      </c>
      <c r="D177" s="198" t="s">
        <v>989</v>
      </c>
      <c r="E177" s="198" t="s">
        <v>2003</v>
      </c>
      <c r="F177" s="198" t="s">
        <v>1889</v>
      </c>
      <c r="G177" s="198"/>
      <c r="H177" s="198"/>
      <c r="I177" s="200">
        <v>362</v>
      </c>
      <c r="J177" s="198"/>
      <c r="K177" s="200">
        <v>0</v>
      </c>
      <c r="L177" s="198" t="s">
        <v>1001</v>
      </c>
      <c r="M177" s="198"/>
      <c r="N177" s="198" t="s">
        <v>2190</v>
      </c>
      <c r="O177" s="198" t="s">
        <v>2184</v>
      </c>
      <c r="P177" s="198"/>
      <c r="Q177" s="198"/>
      <c r="R177" s="198"/>
      <c r="S177" s="201">
        <v>44750</v>
      </c>
      <c r="T177" s="201">
        <v>44750</v>
      </c>
      <c r="U177" s="198" t="s">
        <v>1888</v>
      </c>
      <c r="V177" s="198">
        <v>700</v>
      </c>
      <c r="W177" s="198">
        <v>14050</v>
      </c>
      <c r="X177" s="202">
        <v>27674.46</v>
      </c>
      <c r="Y177" s="198">
        <v>14056</v>
      </c>
      <c r="Z177" s="202">
        <v>7248.09</v>
      </c>
      <c r="AA177" s="202">
        <v>0</v>
      </c>
      <c r="AB177" s="202">
        <v>20426.37</v>
      </c>
      <c r="AC177" s="202">
        <v>1317.84</v>
      </c>
      <c r="AD177" s="198">
        <v>54260</v>
      </c>
      <c r="AE177" s="202">
        <v>329.46</v>
      </c>
      <c r="AF177" s="202">
        <v>0</v>
      </c>
      <c r="AG177" s="202">
        <v>329.46</v>
      </c>
      <c r="AH177" s="198" t="s">
        <v>989</v>
      </c>
      <c r="AI177" s="198"/>
      <c r="AJ177" s="198"/>
      <c r="AK177" s="198">
        <v>0</v>
      </c>
      <c r="AL177" s="198" t="s">
        <v>929</v>
      </c>
      <c r="AM177" s="198" t="s">
        <v>929</v>
      </c>
      <c r="AN177" s="196">
        <f t="shared" si="50"/>
        <v>7</v>
      </c>
      <c r="AO177" s="196">
        <f t="shared" si="51"/>
        <v>2022</v>
      </c>
      <c r="AP177" s="195">
        <f t="shared" si="52"/>
        <v>2029</v>
      </c>
      <c r="AQ177" s="194">
        <f t="shared" si="53"/>
        <v>2029.5833333333333</v>
      </c>
      <c r="AR177" s="193">
        <f t="shared" si="54"/>
        <v>329.45785714285711</v>
      </c>
      <c r="AS177" s="192">
        <f t="shared" si="55"/>
        <v>3953.4942857142851</v>
      </c>
      <c r="AT177" s="192">
        <f t="shared" si="56"/>
        <v>3953.4942857142851</v>
      </c>
      <c r="AU177" s="192">
        <f t="shared" si="57"/>
        <v>3294.5785714291742</v>
      </c>
      <c r="AV177" s="192">
        <f t="shared" si="58"/>
        <v>7248.0728571434593</v>
      </c>
      <c r="AW177" s="191">
        <f t="shared" si="59"/>
        <v>20426.38714285654</v>
      </c>
      <c r="AX177" s="190" t="s">
        <v>72</v>
      </c>
      <c r="AY177" s="184"/>
    </row>
    <row r="178" spans="2:51">
      <c r="B178" s="198">
        <v>2183</v>
      </c>
      <c r="C178" s="199">
        <v>284971</v>
      </c>
      <c r="D178" s="198" t="s">
        <v>989</v>
      </c>
      <c r="E178" s="198" t="s">
        <v>2003</v>
      </c>
      <c r="F178" s="198" t="s">
        <v>1055</v>
      </c>
      <c r="G178" s="198"/>
      <c r="H178" s="198"/>
      <c r="I178" s="200">
        <v>1</v>
      </c>
      <c r="J178" s="198" t="s">
        <v>1938</v>
      </c>
      <c r="K178" s="200">
        <v>2022</v>
      </c>
      <c r="L178" s="198" t="s">
        <v>1097</v>
      </c>
      <c r="M178" s="198" t="s">
        <v>1110</v>
      </c>
      <c r="N178" s="198" t="s">
        <v>2183</v>
      </c>
      <c r="O178" s="198" t="s">
        <v>2184</v>
      </c>
      <c r="P178" s="198" t="s">
        <v>2187</v>
      </c>
      <c r="Q178" s="198"/>
      <c r="R178" s="198"/>
      <c r="S178" s="201">
        <v>44748</v>
      </c>
      <c r="T178" s="201">
        <v>44748</v>
      </c>
      <c r="U178" s="198" t="s">
        <v>1937</v>
      </c>
      <c r="V178" s="198">
        <v>1000</v>
      </c>
      <c r="W178" s="198">
        <v>14040</v>
      </c>
      <c r="X178" s="202">
        <v>395646.71999999997</v>
      </c>
      <c r="Y178" s="198">
        <v>14046</v>
      </c>
      <c r="Z178" s="202">
        <v>72535.25</v>
      </c>
      <c r="AA178" s="202">
        <v>0</v>
      </c>
      <c r="AB178" s="202">
        <v>323111.46999999997</v>
      </c>
      <c r="AC178" s="202">
        <v>13188.24</v>
      </c>
      <c r="AD178" s="198">
        <v>51260</v>
      </c>
      <c r="AE178" s="202">
        <v>3297.06</v>
      </c>
      <c r="AF178" s="202">
        <v>0</v>
      </c>
      <c r="AG178" s="202">
        <v>3297.06</v>
      </c>
      <c r="AH178" s="198" t="s">
        <v>989</v>
      </c>
      <c r="AI178" s="198"/>
      <c r="AJ178" s="198">
        <v>3724</v>
      </c>
      <c r="AK178" s="198">
        <v>3724</v>
      </c>
      <c r="AL178" s="198" t="s">
        <v>1857</v>
      </c>
      <c r="AM178" s="198" t="s">
        <v>1857</v>
      </c>
      <c r="AN178" s="196">
        <f t="shared" si="50"/>
        <v>7</v>
      </c>
      <c r="AO178" s="196">
        <f t="shared" si="51"/>
        <v>2022</v>
      </c>
      <c r="AP178" s="195">
        <f t="shared" si="52"/>
        <v>2032</v>
      </c>
      <c r="AQ178" s="194">
        <f t="shared" si="53"/>
        <v>2032.5833333333333</v>
      </c>
      <c r="AR178" s="193">
        <f t="shared" si="54"/>
        <v>3297.056</v>
      </c>
      <c r="AS178" s="192">
        <f t="shared" si="55"/>
        <v>39564.671999999999</v>
      </c>
      <c r="AT178" s="192">
        <f t="shared" si="56"/>
        <v>39564.671999999999</v>
      </c>
      <c r="AU178" s="192">
        <f t="shared" si="57"/>
        <v>32970.560000005993</v>
      </c>
      <c r="AV178" s="192">
        <f t="shared" si="58"/>
        <v>72535.232000005984</v>
      </c>
      <c r="AW178" s="191">
        <f t="shared" si="59"/>
        <v>323111.48799999396</v>
      </c>
      <c r="AX178" s="190" t="s">
        <v>72</v>
      </c>
      <c r="AY178" s="184"/>
    </row>
    <row r="179" spans="2:51">
      <c r="B179" s="198">
        <v>2183</v>
      </c>
      <c r="C179" s="199">
        <v>284970</v>
      </c>
      <c r="D179" s="198" t="s">
        <v>989</v>
      </c>
      <c r="E179" s="198" t="s">
        <v>2003</v>
      </c>
      <c r="F179" s="198" t="s">
        <v>1936</v>
      </c>
      <c r="G179" s="198"/>
      <c r="H179" s="198"/>
      <c r="I179" s="200">
        <v>1</v>
      </c>
      <c r="J179" s="198" t="s">
        <v>1935</v>
      </c>
      <c r="K179" s="200">
        <v>2023</v>
      </c>
      <c r="L179" s="198" t="s">
        <v>1097</v>
      </c>
      <c r="M179" s="198" t="s">
        <v>1110</v>
      </c>
      <c r="N179" s="198" t="s">
        <v>2183</v>
      </c>
      <c r="O179" s="198" t="s">
        <v>2184</v>
      </c>
      <c r="P179" s="198" t="s">
        <v>2187</v>
      </c>
      <c r="Q179" s="198"/>
      <c r="R179" s="198"/>
      <c r="S179" s="201">
        <v>44756</v>
      </c>
      <c r="T179" s="201">
        <v>44756</v>
      </c>
      <c r="U179" s="198" t="s">
        <v>1934</v>
      </c>
      <c r="V179" s="198">
        <v>1000</v>
      </c>
      <c r="W179" s="198">
        <v>14040</v>
      </c>
      <c r="X179" s="202">
        <v>396603.97</v>
      </c>
      <c r="Y179" s="198">
        <v>14046</v>
      </c>
      <c r="Z179" s="202">
        <v>72710.720000000001</v>
      </c>
      <c r="AA179" s="202">
        <v>0</v>
      </c>
      <c r="AB179" s="202">
        <v>323893.25</v>
      </c>
      <c r="AC179" s="202">
        <v>13220.12</v>
      </c>
      <c r="AD179" s="198">
        <v>51260</v>
      </c>
      <c r="AE179" s="202">
        <v>3305.03</v>
      </c>
      <c r="AF179" s="202">
        <v>0</v>
      </c>
      <c r="AG179" s="202">
        <v>3305.03</v>
      </c>
      <c r="AH179" s="198" t="s">
        <v>989</v>
      </c>
      <c r="AI179" s="198"/>
      <c r="AJ179" s="198">
        <v>3725</v>
      </c>
      <c r="AK179" s="198">
        <v>3725</v>
      </c>
      <c r="AL179" s="198" t="s">
        <v>1857</v>
      </c>
      <c r="AM179" s="198" t="s">
        <v>1857</v>
      </c>
      <c r="AN179" s="196">
        <f t="shared" si="50"/>
        <v>7</v>
      </c>
      <c r="AO179" s="196">
        <f t="shared" si="51"/>
        <v>2022</v>
      </c>
      <c r="AP179" s="195">
        <f t="shared" si="52"/>
        <v>2032</v>
      </c>
      <c r="AQ179" s="194">
        <f t="shared" si="53"/>
        <v>2032.5833333333333</v>
      </c>
      <c r="AR179" s="193">
        <f t="shared" si="54"/>
        <v>3305.0330833333333</v>
      </c>
      <c r="AS179" s="192">
        <f t="shared" si="55"/>
        <v>39660.396999999997</v>
      </c>
      <c r="AT179" s="192">
        <f t="shared" si="56"/>
        <v>39660.396999999997</v>
      </c>
      <c r="AU179" s="192">
        <f t="shared" si="57"/>
        <v>33050.330833339307</v>
      </c>
      <c r="AV179" s="192">
        <f t="shared" si="58"/>
        <v>72710.727833339304</v>
      </c>
      <c r="AW179" s="191">
        <f t="shared" si="59"/>
        <v>323893.24216666067</v>
      </c>
      <c r="AX179" s="190" t="s">
        <v>72</v>
      </c>
      <c r="AY179" s="184"/>
    </row>
    <row r="180" spans="2:51">
      <c r="B180" s="198">
        <v>2183</v>
      </c>
      <c r="C180" s="199">
        <v>284969</v>
      </c>
      <c r="D180" s="198" t="s">
        <v>989</v>
      </c>
      <c r="E180" s="198" t="s">
        <v>2003</v>
      </c>
      <c r="F180" s="198" t="s">
        <v>1055</v>
      </c>
      <c r="G180" s="198"/>
      <c r="H180" s="198"/>
      <c r="I180" s="200">
        <v>1</v>
      </c>
      <c r="J180" s="198" t="s">
        <v>1933</v>
      </c>
      <c r="K180" s="200">
        <v>2022</v>
      </c>
      <c r="L180" s="198" t="s">
        <v>1097</v>
      </c>
      <c r="M180" s="198" t="s">
        <v>1110</v>
      </c>
      <c r="N180" s="198" t="s">
        <v>2183</v>
      </c>
      <c r="O180" s="198" t="s">
        <v>2184</v>
      </c>
      <c r="P180" s="198" t="s">
        <v>2187</v>
      </c>
      <c r="Q180" s="198"/>
      <c r="R180" s="198"/>
      <c r="S180" s="201">
        <v>44756</v>
      </c>
      <c r="T180" s="201">
        <v>44756</v>
      </c>
      <c r="U180" s="198" t="s">
        <v>1932</v>
      </c>
      <c r="V180" s="198">
        <v>1000</v>
      </c>
      <c r="W180" s="198">
        <v>14040</v>
      </c>
      <c r="X180" s="202">
        <v>396380.72</v>
      </c>
      <c r="Y180" s="198">
        <v>14046</v>
      </c>
      <c r="Z180" s="202">
        <v>72669.789999999994</v>
      </c>
      <c r="AA180" s="202">
        <v>0</v>
      </c>
      <c r="AB180" s="202">
        <v>323710.93</v>
      </c>
      <c r="AC180" s="202">
        <v>13212.68</v>
      </c>
      <c r="AD180" s="198">
        <v>51260</v>
      </c>
      <c r="AE180" s="202">
        <v>3303.17</v>
      </c>
      <c r="AF180" s="202">
        <v>0</v>
      </c>
      <c r="AG180" s="202">
        <v>3303.17</v>
      </c>
      <c r="AH180" s="198" t="s">
        <v>989</v>
      </c>
      <c r="AI180" s="198"/>
      <c r="AJ180" s="198">
        <v>3726</v>
      </c>
      <c r="AK180" s="198">
        <v>3726</v>
      </c>
      <c r="AL180" s="198" t="s">
        <v>1857</v>
      </c>
      <c r="AM180" s="198" t="s">
        <v>1857</v>
      </c>
      <c r="AN180" s="196">
        <f t="shared" si="50"/>
        <v>7</v>
      </c>
      <c r="AO180" s="196">
        <f t="shared" si="51"/>
        <v>2022</v>
      </c>
      <c r="AP180" s="195">
        <f t="shared" si="52"/>
        <v>2032</v>
      </c>
      <c r="AQ180" s="194">
        <f t="shared" si="53"/>
        <v>2032.5833333333333</v>
      </c>
      <c r="AR180" s="193">
        <f t="shared" si="54"/>
        <v>3303.1726666666668</v>
      </c>
      <c r="AS180" s="192">
        <f t="shared" si="55"/>
        <v>39638.072</v>
      </c>
      <c r="AT180" s="192">
        <f t="shared" si="56"/>
        <v>39638.072</v>
      </c>
      <c r="AU180" s="192">
        <f t="shared" si="57"/>
        <v>33031.726666672621</v>
      </c>
      <c r="AV180" s="192">
        <f t="shared" si="58"/>
        <v>72669.798666672621</v>
      </c>
      <c r="AW180" s="191">
        <f t="shared" si="59"/>
        <v>323710.92133332737</v>
      </c>
      <c r="AX180" s="190" t="s">
        <v>72</v>
      </c>
      <c r="AY180" s="184"/>
    </row>
    <row r="181" spans="2:51">
      <c r="B181" s="198">
        <v>2183</v>
      </c>
      <c r="C181" s="199">
        <v>284833</v>
      </c>
      <c r="D181" s="198" t="s">
        <v>989</v>
      </c>
      <c r="E181" s="198" t="s">
        <v>2003</v>
      </c>
      <c r="F181" s="198" t="s">
        <v>1896</v>
      </c>
      <c r="G181" s="198"/>
      <c r="H181" s="198"/>
      <c r="I181" s="200">
        <v>16</v>
      </c>
      <c r="J181" s="198"/>
      <c r="K181" s="200">
        <v>0</v>
      </c>
      <c r="L181" s="198" t="s">
        <v>1018</v>
      </c>
      <c r="M181" s="198"/>
      <c r="N181" s="198" t="s">
        <v>2190</v>
      </c>
      <c r="O181" s="198" t="s">
        <v>2184</v>
      </c>
      <c r="P181" s="198"/>
      <c r="Q181" s="198" t="s">
        <v>2224</v>
      </c>
      <c r="R181" s="198" t="s">
        <v>2195</v>
      </c>
      <c r="S181" s="201">
        <v>44655</v>
      </c>
      <c r="T181" s="201">
        <v>44655</v>
      </c>
      <c r="U181" s="198" t="s">
        <v>1894</v>
      </c>
      <c r="V181" s="198">
        <v>1200</v>
      </c>
      <c r="W181" s="198">
        <v>14050</v>
      </c>
      <c r="X181" s="202">
        <v>42949.8</v>
      </c>
      <c r="Y181" s="198">
        <v>14056</v>
      </c>
      <c r="Z181" s="202">
        <v>7456.55</v>
      </c>
      <c r="AA181" s="202">
        <v>0</v>
      </c>
      <c r="AB181" s="202">
        <v>35493.25</v>
      </c>
      <c r="AC181" s="202">
        <v>1193.04</v>
      </c>
      <c r="AD181" s="198">
        <v>54260</v>
      </c>
      <c r="AE181" s="202">
        <v>298.26</v>
      </c>
      <c r="AF181" s="202">
        <v>0</v>
      </c>
      <c r="AG181" s="202">
        <v>298.26</v>
      </c>
      <c r="AH181" s="198" t="s">
        <v>989</v>
      </c>
      <c r="AI181" s="198"/>
      <c r="AJ181" s="198"/>
      <c r="AK181" s="198">
        <v>0</v>
      </c>
      <c r="AL181" s="198" t="s">
        <v>930</v>
      </c>
      <c r="AM181" s="198" t="s">
        <v>930</v>
      </c>
      <c r="AN181" s="196">
        <f t="shared" si="50"/>
        <v>4</v>
      </c>
      <c r="AO181" s="196">
        <f t="shared" si="51"/>
        <v>2022</v>
      </c>
      <c r="AP181" s="195">
        <f t="shared" si="52"/>
        <v>2034</v>
      </c>
      <c r="AQ181" s="194">
        <f t="shared" si="53"/>
        <v>2034.3333333333333</v>
      </c>
      <c r="AR181" s="193">
        <f t="shared" si="54"/>
        <v>298.26249999999999</v>
      </c>
      <c r="AS181" s="192">
        <f t="shared" si="55"/>
        <v>3579.1499999999996</v>
      </c>
      <c r="AT181" s="192">
        <f t="shared" si="56"/>
        <v>3579.1499999999996</v>
      </c>
      <c r="AU181" s="192">
        <f t="shared" si="57"/>
        <v>3877.4125000005442</v>
      </c>
      <c r="AV181" s="192">
        <f t="shared" si="58"/>
        <v>7456.5625000005439</v>
      </c>
      <c r="AW181" s="191">
        <f t="shared" si="59"/>
        <v>35493.237499999457</v>
      </c>
      <c r="AX181" s="190" t="s">
        <v>72</v>
      </c>
      <c r="AY181" s="184"/>
    </row>
    <row r="182" spans="2:51">
      <c r="B182" s="198">
        <v>2183</v>
      </c>
      <c r="C182" s="199">
        <v>284820</v>
      </c>
      <c r="D182" s="198" t="s">
        <v>989</v>
      </c>
      <c r="E182" s="198" t="s">
        <v>2003</v>
      </c>
      <c r="F182" s="198" t="s">
        <v>1897</v>
      </c>
      <c r="G182" s="198"/>
      <c r="H182" s="198"/>
      <c r="I182" s="200">
        <v>1</v>
      </c>
      <c r="J182" s="198"/>
      <c r="K182" s="200">
        <v>0</v>
      </c>
      <c r="L182" s="198" t="s">
        <v>1018</v>
      </c>
      <c r="M182" s="198"/>
      <c r="N182" s="198" t="s">
        <v>2190</v>
      </c>
      <c r="O182" s="198" t="s">
        <v>2184</v>
      </c>
      <c r="P182" s="198"/>
      <c r="Q182" s="198" t="s">
        <v>137</v>
      </c>
      <c r="R182" s="198" t="s">
        <v>2195</v>
      </c>
      <c r="S182" s="201">
        <v>44658</v>
      </c>
      <c r="T182" s="201">
        <v>44658</v>
      </c>
      <c r="U182" s="198" t="s">
        <v>1894</v>
      </c>
      <c r="V182" s="198">
        <v>1200</v>
      </c>
      <c r="W182" s="198">
        <v>14050</v>
      </c>
      <c r="X182" s="202">
        <v>1476.78</v>
      </c>
      <c r="Y182" s="198">
        <v>14056</v>
      </c>
      <c r="Z182" s="202">
        <v>256.41000000000003</v>
      </c>
      <c r="AA182" s="202">
        <v>0</v>
      </c>
      <c r="AB182" s="202">
        <v>1220.3699999999999</v>
      </c>
      <c r="AC182" s="202">
        <v>41.04</v>
      </c>
      <c r="AD182" s="198">
        <v>54260</v>
      </c>
      <c r="AE182" s="202">
        <v>10.26</v>
      </c>
      <c r="AF182" s="202">
        <v>0</v>
      </c>
      <c r="AG182" s="202">
        <v>10.26</v>
      </c>
      <c r="AH182" s="198" t="s">
        <v>989</v>
      </c>
      <c r="AI182" s="198"/>
      <c r="AJ182" s="198"/>
      <c r="AK182" s="198">
        <v>0</v>
      </c>
      <c r="AL182" s="198" t="s">
        <v>930</v>
      </c>
      <c r="AM182" s="198" t="s">
        <v>930</v>
      </c>
      <c r="AN182" s="196">
        <f t="shared" si="50"/>
        <v>4</v>
      </c>
      <c r="AO182" s="196">
        <f t="shared" si="51"/>
        <v>2022</v>
      </c>
      <c r="AP182" s="195">
        <f t="shared" si="52"/>
        <v>2034</v>
      </c>
      <c r="AQ182" s="194">
        <f t="shared" si="53"/>
        <v>2034.3333333333333</v>
      </c>
      <c r="AR182" s="193">
        <f t="shared" si="54"/>
        <v>10.255416666666667</v>
      </c>
      <c r="AS182" s="192">
        <f t="shared" si="55"/>
        <v>123.065</v>
      </c>
      <c r="AT182" s="192">
        <f t="shared" si="56"/>
        <v>123.065</v>
      </c>
      <c r="AU182" s="192">
        <f t="shared" si="57"/>
        <v>133.32041666668533</v>
      </c>
      <c r="AV182" s="192">
        <f t="shared" si="58"/>
        <v>256.38541666668533</v>
      </c>
      <c r="AW182" s="191">
        <f t="shared" si="59"/>
        <v>1220.3945833333146</v>
      </c>
      <c r="AX182" s="190" t="s">
        <v>72</v>
      </c>
      <c r="AY182" s="184"/>
    </row>
    <row r="183" spans="2:51">
      <c r="B183" s="198">
        <v>2183</v>
      </c>
      <c r="C183" s="199">
        <v>284807</v>
      </c>
      <c r="D183" s="198" t="s">
        <v>989</v>
      </c>
      <c r="E183" s="198" t="s">
        <v>2003</v>
      </c>
      <c r="F183" s="198" t="s">
        <v>1428</v>
      </c>
      <c r="G183" s="198"/>
      <c r="H183" s="198"/>
      <c r="I183" s="200">
        <v>20</v>
      </c>
      <c r="J183" s="198"/>
      <c r="K183" s="200">
        <v>0</v>
      </c>
      <c r="L183" s="198" t="s">
        <v>1018</v>
      </c>
      <c r="M183" s="198"/>
      <c r="N183" s="198" t="s">
        <v>2190</v>
      </c>
      <c r="O183" s="198" t="s">
        <v>2184</v>
      </c>
      <c r="P183" s="198"/>
      <c r="Q183" s="198" t="s">
        <v>2214</v>
      </c>
      <c r="R183" s="198" t="s">
        <v>2195</v>
      </c>
      <c r="S183" s="201">
        <v>44648</v>
      </c>
      <c r="T183" s="201">
        <v>44648</v>
      </c>
      <c r="U183" s="198" t="s">
        <v>1894</v>
      </c>
      <c r="V183" s="198">
        <v>1200</v>
      </c>
      <c r="W183" s="198">
        <v>14050</v>
      </c>
      <c r="X183" s="202">
        <v>18079.68</v>
      </c>
      <c r="Y183" s="198">
        <v>14056</v>
      </c>
      <c r="Z183" s="202">
        <v>3138.82</v>
      </c>
      <c r="AA183" s="202">
        <v>0</v>
      </c>
      <c r="AB183" s="202">
        <v>14940.86</v>
      </c>
      <c r="AC183" s="202">
        <v>502.2</v>
      </c>
      <c r="AD183" s="198">
        <v>54260</v>
      </c>
      <c r="AE183" s="202">
        <v>125.55</v>
      </c>
      <c r="AF183" s="202">
        <v>0</v>
      </c>
      <c r="AG183" s="202">
        <v>125.55</v>
      </c>
      <c r="AH183" s="198" t="s">
        <v>989</v>
      </c>
      <c r="AI183" s="198"/>
      <c r="AJ183" s="198"/>
      <c r="AK183" s="198">
        <v>0</v>
      </c>
      <c r="AL183" s="198" t="s">
        <v>930</v>
      </c>
      <c r="AM183" s="198" t="s">
        <v>930</v>
      </c>
      <c r="AN183" s="196">
        <f t="shared" si="50"/>
        <v>3</v>
      </c>
      <c r="AO183" s="196">
        <f t="shared" si="51"/>
        <v>2022</v>
      </c>
      <c r="AP183" s="195">
        <f t="shared" si="52"/>
        <v>2034</v>
      </c>
      <c r="AQ183" s="194">
        <f t="shared" si="53"/>
        <v>2034.25</v>
      </c>
      <c r="AR183" s="193">
        <f t="shared" si="54"/>
        <v>125.55333333333334</v>
      </c>
      <c r="AS183" s="192">
        <f t="shared" si="55"/>
        <v>1506.64</v>
      </c>
      <c r="AT183" s="192">
        <f t="shared" si="56"/>
        <v>1506.64</v>
      </c>
      <c r="AU183" s="192">
        <f t="shared" si="57"/>
        <v>1757.7466666667806</v>
      </c>
      <c r="AV183" s="192">
        <f t="shared" si="58"/>
        <v>3264.3866666667809</v>
      </c>
      <c r="AW183" s="191">
        <f t="shared" si="59"/>
        <v>14815.293333333218</v>
      </c>
      <c r="AX183" s="190" t="s">
        <v>72</v>
      </c>
      <c r="AY183" s="184"/>
    </row>
    <row r="184" spans="2:51">
      <c r="B184" s="198">
        <v>2183</v>
      </c>
      <c r="C184" s="199">
        <v>284342</v>
      </c>
      <c r="D184" s="198" t="s">
        <v>989</v>
      </c>
      <c r="E184" s="198" t="s">
        <v>2003</v>
      </c>
      <c r="F184" s="198" t="s">
        <v>1931</v>
      </c>
      <c r="G184" s="198"/>
      <c r="H184" s="198"/>
      <c r="I184" s="200">
        <v>702</v>
      </c>
      <c r="J184" s="198"/>
      <c r="K184" s="200">
        <v>0</v>
      </c>
      <c r="L184" s="198" t="s">
        <v>1001</v>
      </c>
      <c r="M184" s="198"/>
      <c r="N184" s="198" t="s">
        <v>2190</v>
      </c>
      <c r="O184" s="198" t="s">
        <v>2184</v>
      </c>
      <c r="P184" s="198"/>
      <c r="Q184" s="198"/>
      <c r="R184" s="198"/>
      <c r="S184" s="201">
        <v>44701</v>
      </c>
      <c r="T184" s="201">
        <v>44701</v>
      </c>
      <c r="U184" s="198" t="s">
        <v>1888</v>
      </c>
      <c r="V184" s="198">
        <v>700</v>
      </c>
      <c r="W184" s="198">
        <v>14050</v>
      </c>
      <c r="X184" s="202">
        <v>46202.16</v>
      </c>
      <c r="Y184" s="198">
        <v>14056</v>
      </c>
      <c r="Z184" s="202">
        <v>12650.61</v>
      </c>
      <c r="AA184" s="202">
        <v>0</v>
      </c>
      <c r="AB184" s="202">
        <v>33551.550000000003</v>
      </c>
      <c r="AC184" s="202">
        <v>2200.12</v>
      </c>
      <c r="AD184" s="198">
        <v>54260</v>
      </c>
      <c r="AE184" s="202">
        <v>550.03</v>
      </c>
      <c r="AF184" s="202">
        <v>0</v>
      </c>
      <c r="AG184" s="202">
        <v>550.03</v>
      </c>
      <c r="AH184" s="198" t="s">
        <v>989</v>
      </c>
      <c r="AI184" s="198"/>
      <c r="AJ184" s="198"/>
      <c r="AK184" s="198">
        <v>0</v>
      </c>
      <c r="AL184" s="198" t="s">
        <v>424</v>
      </c>
      <c r="AM184" s="198" t="s">
        <v>424</v>
      </c>
      <c r="AN184" s="196">
        <f t="shared" si="50"/>
        <v>5</v>
      </c>
      <c r="AO184" s="196">
        <f t="shared" si="51"/>
        <v>2022</v>
      </c>
      <c r="AP184" s="195">
        <f t="shared" si="52"/>
        <v>2029</v>
      </c>
      <c r="AQ184" s="194">
        <f t="shared" si="53"/>
        <v>2029.4166666666667</v>
      </c>
      <c r="AR184" s="193">
        <f t="shared" si="54"/>
        <v>550.02571428571434</v>
      </c>
      <c r="AS184" s="192">
        <f t="shared" si="55"/>
        <v>6600.3085714285717</v>
      </c>
      <c r="AT184" s="192">
        <f t="shared" si="56"/>
        <v>6600.3085714285717</v>
      </c>
      <c r="AU184" s="192">
        <f t="shared" si="57"/>
        <v>6600.3085714285698</v>
      </c>
      <c r="AV184" s="192">
        <f t="shared" si="58"/>
        <v>13200.617142857142</v>
      </c>
      <c r="AW184" s="191">
        <f t="shared" si="59"/>
        <v>33001.542857142864</v>
      </c>
      <c r="AX184" s="190" t="s">
        <v>72</v>
      </c>
      <c r="AY184" s="184"/>
    </row>
    <row r="185" spans="2:51" hidden="1">
      <c r="B185" s="198">
        <v>2183</v>
      </c>
      <c r="C185" s="199">
        <v>283939</v>
      </c>
      <c r="D185" s="198">
        <v>283493</v>
      </c>
      <c r="E185" s="198" t="s">
        <v>2003</v>
      </c>
      <c r="F185" s="198" t="s">
        <v>1930</v>
      </c>
      <c r="G185" s="198"/>
      <c r="H185" s="198"/>
      <c r="I185" s="200">
        <v>1</v>
      </c>
      <c r="J185" s="198"/>
      <c r="K185" s="200">
        <v>0</v>
      </c>
      <c r="L185" s="198" t="s">
        <v>1929</v>
      </c>
      <c r="M185" s="198"/>
      <c r="N185" s="198" t="s">
        <v>2199</v>
      </c>
      <c r="O185" s="198" t="s">
        <v>2184</v>
      </c>
      <c r="P185" s="198"/>
      <c r="Q185" s="198"/>
      <c r="R185" s="198"/>
      <c r="S185" s="201">
        <v>44712</v>
      </c>
      <c r="T185" s="201">
        <v>44712</v>
      </c>
      <c r="U185" s="198" t="s">
        <v>1924</v>
      </c>
      <c r="V185" s="198">
        <v>300</v>
      </c>
      <c r="W185" s="198">
        <v>14110</v>
      </c>
      <c r="X185" s="202">
        <v>306.3</v>
      </c>
      <c r="Y185" s="198">
        <v>14116</v>
      </c>
      <c r="Z185" s="202">
        <v>195.7</v>
      </c>
      <c r="AA185" s="202">
        <v>0</v>
      </c>
      <c r="AB185" s="202">
        <v>110.60000000000002</v>
      </c>
      <c r="AC185" s="202">
        <v>34.04</v>
      </c>
      <c r="AD185" s="198">
        <v>70260</v>
      </c>
      <c r="AE185" s="202">
        <v>8.51</v>
      </c>
      <c r="AF185" s="202">
        <v>0</v>
      </c>
      <c r="AG185" s="202">
        <v>8.51</v>
      </c>
      <c r="AH185" s="198" t="s">
        <v>989</v>
      </c>
      <c r="AI185" s="198"/>
      <c r="AJ185" s="198"/>
      <c r="AK185" s="198">
        <v>0</v>
      </c>
      <c r="AL185" s="198" t="s">
        <v>932</v>
      </c>
      <c r="AM185" s="198" t="s">
        <v>932</v>
      </c>
      <c r="AN185" s="196">
        <f t="shared" si="50"/>
        <v>5</v>
      </c>
      <c r="AO185" s="196">
        <f t="shared" si="51"/>
        <v>2022</v>
      </c>
      <c r="AP185" s="195">
        <f t="shared" si="52"/>
        <v>2025</v>
      </c>
      <c r="AQ185" s="194">
        <f t="shared" si="53"/>
        <v>2025.4166666666667</v>
      </c>
      <c r="AR185" s="193">
        <f t="shared" si="54"/>
        <v>8.5083333333333346</v>
      </c>
      <c r="AS185" s="192">
        <f t="shared" si="55"/>
        <v>102.10000000000002</v>
      </c>
      <c r="AT185" s="192">
        <f t="shared" si="56"/>
        <v>102.10000000000002</v>
      </c>
      <c r="AU185" s="192">
        <f t="shared" si="57"/>
        <v>102.09999999999997</v>
      </c>
      <c r="AV185" s="192">
        <f t="shared" si="58"/>
        <v>204.2</v>
      </c>
      <c r="AW185" s="191">
        <f t="shared" si="59"/>
        <v>102.10000000000002</v>
      </c>
      <c r="AX185" s="190" t="s">
        <v>72</v>
      </c>
      <c r="AY185" s="184"/>
    </row>
    <row r="186" spans="2:51">
      <c r="B186" s="198">
        <v>2183</v>
      </c>
      <c r="C186" s="199">
        <v>283938</v>
      </c>
      <c r="D186" s="198" t="s">
        <v>989</v>
      </c>
      <c r="E186" s="198" t="s">
        <v>2003</v>
      </c>
      <c r="F186" s="198" t="s">
        <v>1928</v>
      </c>
      <c r="G186" s="198"/>
      <c r="H186" s="198"/>
      <c r="I186" s="200">
        <v>11</v>
      </c>
      <c r="J186" s="198"/>
      <c r="K186" s="200">
        <v>0</v>
      </c>
      <c r="L186" s="198" t="s">
        <v>1892</v>
      </c>
      <c r="M186" s="198"/>
      <c r="N186" s="198" t="s">
        <v>2199</v>
      </c>
      <c r="O186" s="198" t="s">
        <v>2184</v>
      </c>
      <c r="P186" s="198"/>
      <c r="Q186" s="198"/>
      <c r="R186" s="198"/>
      <c r="S186" s="201">
        <v>44713</v>
      </c>
      <c r="T186" s="201">
        <v>44713</v>
      </c>
      <c r="U186" s="198" t="s">
        <v>1926</v>
      </c>
      <c r="V186" s="198">
        <v>300</v>
      </c>
      <c r="W186" s="198">
        <v>14110</v>
      </c>
      <c r="X186" s="202">
        <v>946.54</v>
      </c>
      <c r="Y186" s="198">
        <v>14116</v>
      </c>
      <c r="Z186" s="202">
        <v>604.71</v>
      </c>
      <c r="AA186" s="202">
        <v>0</v>
      </c>
      <c r="AB186" s="202">
        <v>341.82999999999993</v>
      </c>
      <c r="AC186" s="202">
        <v>105.16</v>
      </c>
      <c r="AD186" s="198">
        <v>70260</v>
      </c>
      <c r="AE186" s="202">
        <v>26.29</v>
      </c>
      <c r="AF186" s="202">
        <v>0</v>
      </c>
      <c r="AG186" s="202">
        <v>26.29</v>
      </c>
      <c r="AH186" s="198" t="s">
        <v>989</v>
      </c>
      <c r="AI186" s="198"/>
      <c r="AJ186" s="198"/>
      <c r="AK186" s="198">
        <v>0</v>
      </c>
      <c r="AL186" s="198" t="s">
        <v>932</v>
      </c>
      <c r="AM186" s="198" t="s">
        <v>932</v>
      </c>
      <c r="AN186" s="196">
        <f t="shared" si="50"/>
        <v>6</v>
      </c>
      <c r="AO186" s="196">
        <f t="shared" si="51"/>
        <v>2022</v>
      </c>
      <c r="AP186" s="195">
        <f t="shared" si="52"/>
        <v>2025</v>
      </c>
      <c r="AQ186" s="194">
        <f t="shared" si="53"/>
        <v>2025.5</v>
      </c>
      <c r="AR186" s="193">
        <f t="shared" si="54"/>
        <v>26.292777777777776</v>
      </c>
      <c r="AS186" s="192">
        <f t="shared" si="55"/>
        <v>315.51333333333332</v>
      </c>
      <c r="AT186" s="192">
        <f t="shared" si="56"/>
        <v>315.51333333333332</v>
      </c>
      <c r="AU186" s="192">
        <f t="shared" si="57"/>
        <v>289.22055555557949</v>
      </c>
      <c r="AV186" s="192">
        <f t="shared" si="58"/>
        <v>604.73388888891282</v>
      </c>
      <c r="AW186" s="191">
        <f t="shared" si="59"/>
        <v>341.80611111108715</v>
      </c>
      <c r="AX186" s="190" t="s">
        <v>72</v>
      </c>
      <c r="AY186" s="184"/>
    </row>
    <row r="187" spans="2:51">
      <c r="B187" s="198">
        <v>2183</v>
      </c>
      <c r="C187" s="199">
        <v>283937</v>
      </c>
      <c r="D187" s="198" t="s">
        <v>989</v>
      </c>
      <c r="E187" s="198" t="s">
        <v>2003</v>
      </c>
      <c r="F187" s="198" t="s">
        <v>1927</v>
      </c>
      <c r="G187" s="198"/>
      <c r="H187" s="198"/>
      <c r="I187" s="200">
        <v>1</v>
      </c>
      <c r="J187" s="198"/>
      <c r="K187" s="200">
        <v>0</v>
      </c>
      <c r="L187" s="198" t="s">
        <v>1892</v>
      </c>
      <c r="M187" s="198"/>
      <c r="N187" s="198" t="s">
        <v>2199</v>
      </c>
      <c r="O187" s="198" t="s">
        <v>2184</v>
      </c>
      <c r="P187" s="198"/>
      <c r="Q187" s="198"/>
      <c r="R187" s="198"/>
      <c r="S187" s="201">
        <v>44713</v>
      </c>
      <c r="T187" s="201">
        <v>44713</v>
      </c>
      <c r="U187" s="198" t="s">
        <v>1926</v>
      </c>
      <c r="V187" s="198">
        <v>300</v>
      </c>
      <c r="W187" s="198">
        <v>14110</v>
      </c>
      <c r="X187" s="202">
        <v>946.54</v>
      </c>
      <c r="Y187" s="198">
        <v>14116</v>
      </c>
      <c r="Z187" s="202">
        <v>604.71</v>
      </c>
      <c r="AA187" s="202">
        <v>0</v>
      </c>
      <c r="AB187" s="202">
        <v>341.82999999999993</v>
      </c>
      <c r="AC187" s="202">
        <v>105.16</v>
      </c>
      <c r="AD187" s="198">
        <v>70260</v>
      </c>
      <c r="AE187" s="202">
        <v>26.29</v>
      </c>
      <c r="AF187" s="202">
        <v>0</v>
      </c>
      <c r="AG187" s="202">
        <v>26.29</v>
      </c>
      <c r="AH187" s="198" t="s">
        <v>989</v>
      </c>
      <c r="AI187" s="198"/>
      <c r="AJ187" s="198"/>
      <c r="AK187" s="198">
        <v>0</v>
      </c>
      <c r="AL187" s="198" t="s">
        <v>932</v>
      </c>
      <c r="AM187" s="198" t="s">
        <v>932</v>
      </c>
      <c r="AN187" s="196">
        <f t="shared" si="50"/>
        <v>6</v>
      </c>
      <c r="AO187" s="196">
        <f t="shared" si="51"/>
        <v>2022</v>
      </c>
      <c r="AP187" s="195">
        <f t="shared" si="52"/>
        <v>2025</v>
      </c>
      <c r="AQ187" s="194">
        <f t="shared" si="53"/>
        <v>2025.5</v>
      </c>
      <c r="AR187" s="193">
        <f t="shared" si="54"/>
        <v>26.292777777777776</v>
      </c>
      <c r="AS187" s="192">
        <f t="shared" si="55"/>
        <v>315.51333333333332</v>
      </c>
      <c r="AT187" s="192">
        <f t="shared" si="56"/>
        <v>315.51333333333332</v>
      </c>
      <c r="AU187" s="192">
        <f t="shared" si="57"/>
        <v>289.22055555557949</v>
      </c>
      <c r="AV187" s="192">
        <f t="shared" si="58"/>
        <v>604.73388888891282</v>
      </c>
      <c r="AW187" s="191">
        <f t="shared" si="59"/>
        <v>341.80611111108715</v>
      </c>
      <c r="AX187" s="190" t="s">
        <v>72</v>
      </c>
      <c r="AY187" s="184"/>
    </row>
    <row r="188" spans="2:51">
      <c r="B188" s="198">
        <v>2183</v>
      </c>
      <c r="C188" s="199">
        <v>283493</v>
      </c>
      <c r="D188" s="198" t="s">
        <v>989</v>
      </c>
      <c r="E188" s="198" t="s">
        <v>2003</v>
      </c>
      <c r="F188" s="198" t="s">
        <v>1925</v>
      </c>
      <c r="G188" s="198"/>
      <c r="H188" s="198"/>
      <c r="I188" s="200">
        <v>1</v>
      </c>
      <c r="J188" s="198"/>
      <c r="K188" s="200">
        <v>0</v>
      </c>
      <c r="L188" s="198" t="s">
        <v>1892</v>
      </c>
      <c r="M188" s="198"/>
      <c r="N188" s="198" t="s">
        <v>2199</v>
      </c>
      <c r="O188" s="198" t="s">
        <v>2184</v>
      </c>
      <c r="P188" s="198"/>
      <c r="Q188" s="198"/>
      <c r="R188" s="198"/>
      <c r="S188" s="201">
        <v>44712</v>
      </c>
      <c r="T188" s="201">
        <v>44712</v>
      </c>
      <c r="U188" s="198" t="s">
        <v>1924</v>
      </c>
      <c r="V188" s="198">
        <v>300</v>
      </c>
      <c r="W188" s="198">
        <v>14110</v>
      </c>
      <c r="X188" s="202">
        <v>1629.62</v>
      </c>
      <c r="Y188" s="198">
        <v>14116</v>
      </c>
      <c r="Z188" s="202">
        <v>1041.1600000000001</v>
      </c>
      <c r="AA188" s="202">
        <v>0</v>
      </c>
      <c r="AB188" s="202">
        <v>588.45999999999981</v>
      </c>
      <c r="AC188" s="202">
        <v>181.08</v>
      </c>
      <c r="AD188" s="198">
        <v>70260</v>
      </c>
      <c r="AE188" s="202">
        <v>45.27</v>
      </c>
      <c r="AF188" s="202">
        <v>0</v>
      </c>
      <c r="AG188" s="202">
        <v>45.27</v>
      </c>
      <c r="AH188" s="198" t="s">
        <v>989</v>
      </c>
      <c r="AI188" s="198"/>
      <c r="AJ188" s="198"/>
      <c r="AK188" s="198">
        <v>0</v>
      </c>
      <c r="AL188" s="198" t="s">
        <v>932</v>
      </c>
      <c r="AM188" s="198" t="s">
        <v>932</v>
      </c>
      <c r="AN188" s="196">
        <f t="shared" si="50"/>
        <v>5</v>
      </c>
      <c r="AO188" s="196">
        <f t="shared" si="51"/>
        <v>2022</v>
      </c>
      <c r="AP188" s="195">
        <f t="shared" si="52"/>
        <v>2025</v>
      </c>
      <c r="AQ188" s="194">
        <f t="shared" si="53"/>
        <v>2025.4166666666667</v>
      </c>
      <c r="AR188" s="193">
        <f t="shared" si="54"/>
        <v>45.267222222222216</v>
      </c>
      <c r="AS188" s="192">
        <f t="shared" si="55"/>
        <v>543.20666666666659</v>
      </c>
      <c r="AT188" s="192">
        <f t="shared" si="56"/>
        <v>543.20666666666659</v>
      </c>
      <c r="AU188" s="192">
        <f t="shared" si="57"/>
        <v>543.20666666666671</v>
      </c>
      <c r="AV188" s="192">
        <f t="shared" si="58"/>
        <v>1086.4133333333334</v>
      </c>
      <c r="AW188" s="191">
        <f t="shared" si="59"/>
        <v>543.20666666666648</v>
      </c>
      <c r="AX188" s="190" t="s">
        <v>72</v>
      </c>
      <c r="AY188" s="184"/>
    </row>
    <row r="189" spans="2:51">
      <c r="B189" s="198">
        <v>2183</v>
      </c>
      <c r="C189" s="199">
        <v>282320</v>
      </c>
      <c r="D189" s="198" t="s">
        <v>989</v>
      </c>
      <c r="E189" s="198" t="s">
        <v>2003</v>
      </c>
      <c r="F189" s="198" t="s">
        <v>1055</v>
      </c>
      <c r="G189" s="198"/>
      <c r="H189" s="198"/>
      <c r="I189" s="200">
        <v>1</v>
      </c>
      <c r="J189" s="198" t="s">
        <v>1923</v>
      </c>
      <c r="K189" s="200">
        <v>2022</v>
      </c>
      <c r="L189" s="198" t="s">
        <v>1097</v>
      </c>
      <c r="M189" s="198" t="s">
        <v>1110</v>
      </c>
      <c r="N189" s="198" t="s">
        <v>2183</v>
      </c>
      <c r="O189" s="198" t="s">
        <v>2184</v>
      </c>
      <c r="P189" s="198" t="s">
        <v>2187</v>
      </c>
      <c r="Q189" s="198"/>
      <c r="R189" s="198"/>
      <c r="S189" s="201">
        <v>44706</v>
      </c>
      <c r="T189" s="201">
        <v>44706</v>
      </c>
      <c r="U189" s="198" t="s">
        <v>1922</v>
      </c>
      <c r="V189" s="198">
        <v>1000</v>
      </c>
      <c r="W189" s="198">
        <v>14040</v>
      </c>
      <c r="X189" s="202">
        <v>396213.26</v>
      </c>
      <c r="Y189" s="198">
        <v>14046</v>
      </c>
      <c r="Z189" s="202">
        <v>75940.89</v>
      </c>
      <c r="AA189" s="202">
        <v>0</v>
      </c>
      <c r="AB189" s="202">
        <v>320272.37</v>
      </c>
      <c r="AC189" s="202">
        <v>13207.12</v>
      </c>
      <c r="AD189" s="198">
        <v>51260</v>
      </c>
      <c r="AE189" s="202">
        <v>3301.78</v>
      </c>
      <c r="AF189" s="202">
        <v>0</v>
      </c>
      <c r="AG189" s="202">
        <v>3301.78</v>
      </c>
      <c r="AH189" s="198" t="s">
        <v>989</v>
      </c>
      <c r="AI189" s="198"/>
      <c r="AJ189" s="198">
        <v>3722</v>
      </c>
      <c r="AK189" s="198">
        <v>3722</v>
      </c>
      <c r="AL189" s="198" t="s">
        <v>1857</v>
      </c>
      <c r="AM189" s="198" t="s">
        <v>1857</v>
      </c>
      <c r="AN189" s="196">
        <f t="shared" si="50"/>
        <v>5</v>
      </c>
      <c r="AO189" s="196">
        <f t="shared" si="51"/>
        <v>2022</v>
      </c>
      <c r="AP189" s="195">
        <f t="shared" si="52"/>
        <v>2032</v>
      </c>
      <c r="AQ189" s="194">
        <f t="shared" si="53"/>
        <v>2032.4166666666667</v>
      </c>
      <c r="AR189" s="193">
        <f t="shared" si="54"/>
        <v>3301.7771666666667</v>
      </c>
      <c r="AS189" s="192">
        <f t="shared" si="55"/>
        <v>39621.326000000001</v>
      </c>
      <c r="AT189" s="192">
        <f t="shared" si="56"/>
        <v>39621.326000000001</v>
      </c>
      <c r="AU189" s="192">
        <f t="shared" si="57"/>
        <v>39621.326000000001</v>
      </c>
      <c r="AV189" s="192">
        <f t="shared" si="58"/>
        <v>79242.652000000002</v>
      </c>
      <c r="AW189" s="191">
        <f t="shared" si="59"/>
        <v>316970.60800000001</v>
      </c>
      <c r="AX189" s="190" t="s">
        <v>72</v>
      </c>
      <c r="AY189" s="184"/>
    </row>
    <row r="190" spans="2:51">
      <c r="B190" s="198">
        <v>2183</v>
      </c>
      <c r="C190" s="199">
        <v>281758</v>
      </c>
      <c r="D190" s="198" t="s">
        <v>989</v>
      </c>
      <c r="E190" s="198" t="s">
        <v>2003</v>
      </c>
      <c r="F190" s="198" t="s">
        <v>1055</v>
      </c>
      <c r="G190" s="198"/>
      <c r="H190" s="198"/>
      <c r="I190" s="200">
        <v>1</v>
      </c>
      <c r="J190" s="198" t="s">
        <v>1912</v>
      </c>
      <c r="K190" s="200">
        <v>2022</v>
      </c>
      <c r="L190" s="198" t="s">
        <v>1097</v>
      </c>
      <c r="M190" s="198" t="s">
        <v>1110</v>
      </c>
      <c r="N190" s="198" t="s">
        <v>2183</v>
      </c>
      <c r="O190" s="198" t="s">
        <v>2184</v>
      </c>
      <c r="P190" s="198" t="s">
        <v>2187</v>
      </c>
      <c r="Q190" s="198"/>
      <c r="R190" s="198"/>
      <c r="S190" s="201">
        <v>44712</v>
      </c>
      <c r="T190" s="201">
        <v>44712</v>
      </c>
      <c r="U190" s="198" t="s">
        <v>1911</v>
      </c>
      <c r="V190" s="198">
        <v>1000</v>
      </c>
      <c r="W190" s="198">
        <v>14040</v>
      </c>
      <c r="X190" s="202">
        <v>394379.09</v>
      </c>
      <c r="Y190" s="198">
        <v>14046</v>
      </c>
      <c r="Z190" s="202">
        <v>75589.320000000007</v>
      </c>
      <c r="AA190" s="202">
        <v>0</v>
      </c>
      <c r="AB190" s="202">
        <v>318789.77</v>
      </c>
      <c r="AC190" s="202">
        <v>13145.96</v>
      </c>
      <c r="AD190" s="198">
        <v>51260</v>
      </c>
      <c r="AE190" s="202">
        <v>3286.49</v>
      </c>
      <c r="AF190" s="202">
        <v>0</v>
      </c>
      <c r="AG190" s="202">
        <v>3286.49</v>
      </c>
      <c r="AH190" s="198" t="s">
        <v>989</v>
      </c>
      <c r="AI190" s="198"/>
      <c r="AJ190" s="198">
        <v>3720</v>
      </c>
      <c r="AK190" s="198">
        <v>3720</v>
      </c>
      <c r="AL190" s="198" t="s">
        <v>1857</v>
      </c>
      <c r="AM190" s="198" t="s">
        <v>1857</v>
      </c>
      <c r="AN190" s="196">
        <f t="shared" si="50"/>
        <v>5</v>
      </c>
      <c r="AO190" s="196">
        <f t="shared" si="51"/>
        <v>2022</v>
      </c>
      <c r="AP190" s="195">
        <f t="shared" si="52"/>
        <v>2032</v>
      </c>
      <c r="AQ190" s="194">
        <f t="shared" si="53"/>
        <v>2032.4166666666667</v>
      </c>
      <c r="AR190" s="193">
        <f t="shared" si="54"/>
        <v>3286.4924166666665</v>
      </c>
      <c r="AS190" s="192">
        <f t="shared" si="55"/>
        <v>39437.909</v>
      </c>
      <c r="AT190" s="192">
        <f t="shared" si="56"/>
        <v>39437.909</v>
      </c>
      <c r="AU190" s="192">
        <f t="shared" si="57"/>
        <v>39437.909000000043</v>
      </c>
      <c r="AV190" s="192">
        <f t="shared" si="58"/>
        <v>78875.818000000043</v>
      </c>
      <c r="AW190" s="191">
        <f t="shared" si="59"/>
        <v>315503.272</v>
      </c>
      <c r="AX190" s="190" t="s">
        <v>72</v>
      </c>
      <c r="AY190" s="184"/>
    </row>
    <row r="191" spans="2:51">
      <c r="B191" s="198">
        <v>2183</v>
      </c>
      <c r="C191" s="199">
        <v>281602</v>
      </c>
      <c r="D191" s="198" t="s">
        <v>989</v>
      </c>
      <c r="E191" s="198" t="s">
        <v>2003</v>
      </c>
      <c r="F191" s="198" t="s">
        <v>881</v>
      </c>
      <c r="G191" s="198"/>
      <c r="H191" s="198"/>
      <c r="I191" s="200">
        <v>702</v>
      </c>
      <c r="J191" s="198"/>
      <c r="K191" s="200">
        <v>0</v>
      </c>
      <c r="L191" s="198" t="s">
        <v>1001</v>
      </c>
      <c r="M191" s="198"/>
      <c r="N191" s="198" t="s">
        <v>2190</v>
      </c>
      <c r="O191" s="198" t="s">
        <v>2184</v>
      </c>
      <c r="P191" s="198"/>
      <c r="Q191" s="198"/>
      <c r="R191" s="198"/>
      <c r="S191" s="201">
        <v>44701</v>
      </c>
      <c r="T191" s="201">
        <v>44701</v>
      </c>
      <c r="U191" s="198" t="s">
        <v>1888</v>
      </c>
      <c r="V191" s="198">
        <v>700</v>
      </c>
      <c r="W191" s="198">
        <v>14050</v>
      </c>
      <c r="X191" s="202">
        <v>46202.15</v>
      </c>
      <c r="Y191" s="198">
        <v>14056</v>
      </c>
      <c r="Z191" s="202">
        <v>12650.61</v>
      </c>
      <c r="AA191" s="202">
        <v>0</v>
      </c>
      <c r="AB191" s="202">
        <v>33551.54</v>
      </c>
      <c r="AC191" s="202">
        <v>2200.12</v>
      </c>
      <c r="AD191" s="198">
        <v>54260</v>
      </c>
      <c r="AE191" s="202">
        <v>550.03</v>
      </c>
      <c r="AF191" s="202">
        <v>0</v>
      </c>
      <c r="AG191" s="202">
        <v>550.03</v>
      </c>
      <c r="AH191" s="198" t="s">
        <v>989</v>
      </c>
      <c r="AI191" s="198"/>
      <c r="AJ191" s="198"/>
      <c r="AK191" s="198">
        <v>0</v>
      </c>
      <c r="AL191" s="198" t="s">
        <v>2301</v>
      </c>
      <c r="AM191" s="198" t="s">
        <v>933</v>
      </c>
      <c r="AN191" s="196">
        <f t="shared" si="50"/>
        <v>5</v>
      </c>
      <c r="AO191" s="196">
        <f t="shared" si="51"/>
        <v>2022</v>
      </c>
      <c r="AP191" s="195">
        <f t="shared" si="52"/>
        <v>2029</v>
      </c>
      <c r="AQ191" s="194">
        <f t="shared" si="53"/>
        <v>2029.4166666666667</v>
      </c>
      <c r="AR191" s="193">
        <f t="shared" si="54"/>
        <v>550.02559523809521</v>
      </c>
      <c r="AS191" s="192">
        <f t="shared" si="55"/>
        <v>6600.307142857142</v>
      </c>
      <c r="AT191" s="192">
        <f t="shared" si="56"/>
        <v>6600.307142857142</v>
      </c>
      <c r="AU191" s="192">
        <f t="shared" si="57"/>
        <v>6600.3071428571493</v>
      </c>
      <c r="AV191" s="192">
        <f t="shared" si="58"/>
        <v>13200.614285714291</v>
      </c>
      <c r="AW191" s="191">
        <f t="shared" si="59"/>
        <v>33001.53571428571</v>
      </c>
      <c r="AX191" s="190" t="s">
        <v>72</v>
      </c>
      <c r="AY191" s="184"/>
    </row>
    <row r="192" spans="2:51">
      <c r="B192" s="198">
        <v>2183</v>
      </c>
      <c r="C192" s="199">
        <v>281482</v>
      </c>
      <c r="D192" s="198" t="s">
        <v>989</v>
      </c>
      <c r="E192" s="198" t="s">
        <v>2003</v>
      </c>
      <c r="F192" s="198" t="s">
        <v>1921</v>
      </c>
      <c r="G192" s="198"/>
      <c r="H192" s="198"/>
      <c r="I192" s="200">
        <v>1</v>
      </c>
      <c r="J192" s="198"/>
      <c r="K192" s="200">
        <v>0</v>
      </c>
      <c r="L192" s="198" t="s">
        <v>1920</v>
      </c>
      <c r="M192" s="198"/>
      <c r="N192" s="198" t="s">
        <v>2190</v>
      </c>
      <c r="O192" s="198" t="s">
        <v>2184</v>
      </c>
      <c r="P192" s="198"/>
      <c r="Q192" s="198" t="s">
        <v>137</v>
      </c>
      <c r="R192" s="198" t="s">
        <v>2195</v>
      </c>
      <c r="S192" s="201">
        <v>41726</v>
      </c>
      <c r="T192" s="201">
        <v>41726</v>
      </c>
      <c r="U192" s="198" t="s">
        <v>1919</v>
      </c>
      <c r="V192" s="198">
        <v>1200</v>
      </c>
      <c r="W192" s="198">
        <v>14050</v>
      </c>
      <c r="X192" s="202">
        <v>1331.33</v>
      </c>
      <c r="Y192" s="198">
        <v>14056</v>
      </c>
      <c r="Z192" s="202">
        <v>1118.72</v>
      </c>
      <c r="AA192" s="202">
        <v>0</v>
      </c>
      <c r="AB192" s="202">
        <v>212.6099999999999</v>
      </c>
      <c r="AC192" s="202">
        <v>37</v>
      </c>
      <c r="AD192" s="198">
        <v>54260</v>
      </c>
      <c r="AE192" s="202">
        <v>9.25</v>
      </c>
      <c r="AF192" s="202">
        <v>0</v>
      </c>
      <c r="AG192" s="202">
        <v>9.25</v>
      </c>
      <c r="AH192" s="198" t="s">
        <v>989</v>
      </c>
      <c r="AI192" s="198"/>
      <c r="AJ192" s="198"/>
      <c r="AK192" s="198">
        <v>0</v>
      </c>
      <c r="AL192" s="198" t="s">
        <v>930</v>
      </c>
      <c r="AM192" s="198" t="s">
        <v>930</v>
      </c>
      <c r="AN192" s="196">
        <f t="shared" si="50"/>
        <v>3</v>
      </c>
      <c r="AO192" s="196">
        <f t="shared" si="51"/>
        <v>2014</v>
      </c>
      <c r="AP192" s="195">
        <f t="shared" si="52"/>
        <v>2026</v>
      </c>
      <c r="AQ192" s="194">
        <f t="shared" si="53"/>
        <v>2026.25</v>
      </c>
      <c r="AR192" s="193">
        <f t="shared" si="54"/>
        <v>9.2453472222222217</v>
      </c>
      <c r="AS192" s="192">
        <f t="shared" si="55"/>
        <v>110.94416666666666</v>
      </c>
      <c r="AT192" s="192">
        <f t="shared" si="56"/>
        <v>110.94416666666666</v>
      </c>
      <c r="AU192" s="192">
        <f t="shared" si="57"/>
        <v>1016.9881944444528</v>
      </c>
      <c r="AV192" s="192">
        <f t="shared" si="58"/>
        <v>1127.9323611111195</v>
      </c>
      <c r="AW192" s="191">
        <f t="shared" si="59"/>
        <v>203.39763888888046</v>
      </c>
      <c r="AX192" s="190" t="s">
        <v>72</v>
      </c>
      <c r="AY192" s="184"/>
    </row>
    <row r="193" spans="2:51">
      <c r="B193" s="198">
        <v>2183</v>
      </c>
      <c r="C193" s="199">
        <v>281160</v>
      </c>
      <c r="D193" s="198" t="s">
        <v>989</v>
      </c>
      <c r="E193" s="198" t="s">
        <v>2003</v>
      </c>
      <c r="F193" s="198" t="s">
        <v>1918</v>
      </c>
      <c r="G193" s="198"/>
      <c r="H193" s="198"/>
      <c r="I193" s="200">
        <v>13</v>
      </c>
      <c r="J193" s="198">
        <v>0</v>
      </c>
      <c r="K193" s="200">
        <v>0</v>
      </c>
      <c r="L193" s="198" t="s">
        <v>1917</v>
      </c>
      <c r="M193" s="198"/>
      <c r="N193" s="198" t="s">
        <v>2190</v>
      </c>
      <c r="O193" s="198" t="s">
        <v>2184</v>
      </c>
      <c r="P193" s="198"/>
      <c r="Q193" s="198"/>
      <c r="R193" s="198"/>
      <c r="S193" s="201">
        <v>39083</v>
      </c>
      <c r="T193" s="201">
        <v>39083</v>
      </c>
      <c r="U193" s="198" t="s">
        <v>1916</v>
      </c>
      <c r="V193" s="198">
        <v>1111</v>
      </c>
      <c r="W193" s="198">
        <v>14050</v>
      </c>
      <c r="X193" s="202">
        <v>6803.65</v>
      </c>
      <c r="Y193" s="198">
        <v>14056</v>
      </c>
      <c r="Z193" s="202">
        <v>6803.65</v>
      </c>
      <c r="AA193" s="202">
        <v>0</v>
      </c>
      <c r="AB193" s="202">
        <v>0</v>
      </c>
      <c r="AC193" s="202">
        <v>0</v>
      </c>
      <c r="AD193" s="198">
        <v>54260</v>
      </c>
      <c r="AE193" s="202">
        <v>0</v>
      </c>
      <c r="AF193" s="202">
        <v>0</v>
      </c>
      <c r="AG193" s="202">
        <v>0</v>
      </c>
      <c r="AH193" s="198" t="s">
        <v>989</v>
      </c>
      <c r="AI193" s="198"/>
      <c r="AJ193" s="198"/>
      <c r="AK193" s="198">
        <v>0</v>
      </c>
      <c r="AL193" s="198" t="s">
        <v>930</v>
      </c>
      <c r="AM193" s="198" t="s">
        <v>930</v>
      </c>
      <c r="AN193" s="196">
        <f t="shared" si="50"/>
        <v>1</v>
      </c>
      <c r="AO193" s="196">
        <f t="shared" si="51"/>
        <v>2007</v>
      </c>
      <c r="AP193" s="195">
        <f t="shared" si="52"/>
        <v>2018.11</v>
      </c>
      <c r="AQ193" s="194">
        <f t="shared" si="53"/>
        <v>2018.1933333333332</v>
      </c>
      <c r="AR193" s="193">
        <f t="shared" si="54"/>
        <v>51.032478247824777</v>
      </c>
      <c r="AS193" s="192">
        <f t="shared" si="55"/>
        <v>612.38973897389735</v>
      </c>
      <c r="AT193" s="192">
        <f t="shared" si="56"/>
        <v>0</v>
      </c>
      <c r="AU193" s="192">
        <f t="shared" si="57"/>
        <v>6803.65</v>
      </c>
      <c r="AV193" s="192">
        <f t="shared" si="58"/>
        <v>6803.65</v>
      </c>
      <c r="AW193" s="191">
        <f t="shared" si="59"/>
        <v>0</v>
      </c>
      <c r="AX193" s="190" t="s">
        <v>72</v>
      </c>
      <c r="AY193" s="184"/>
    </row>
    <row r="194" spans="2:51">
      <c r="B194" s="198">
        <v>2183</v>
      </c>
      <c r="C194" s="199">
        <v>281047</v>
      </c>
      <c r="D194" s="198" t="s">
        <v>989</v>
      </c>
      <c r="E194" s="198" t="s">
        <v>2003</v>
      </c>
      <c r="F194" s="198" t="s">
        <v>1915</v>
      </c>
      <c r="G194" s="198"/>
      <c r="H194" s="198"/>
      <c r="I194" s="200">
        <v>10</v>
      </c>
      <c r="J194" s="198"/>
      <c r="K194" s="200">
        <v>0</v>
      </c>
      <c r="L194" s="198"/>
      <c r="M194" s="198"/>
      <c r="N194" s="198" t="s">
        <v>2190</v>
      </c>
      <c r="O194" s="198" t="s">
        <v>2184</v>
      </c>
      <c r="P194" s="198"/>
      <c r="Q194" s="198" t="s">
        <v>137</v>
      </c>
      <c r="R194" s="198" t="s">
        <v>2195</v>
      </c>
      <c r="S194" s="201">
        <v>36039</v>
      </c>
      <c r="T194" s="201">
        <v>36039</v>
      </c>
      <c r="U194" s="198"/>
      <c r="V194" s="198">
        <v>700</v>
      </c>
      <c r="W194" s="198">
        <v>14050</v>
      </c>
      <c r="X194" s="202">
        <v>2000.09</v>
      </c>
      <c r="Y194" s="198">
        <v>14056</v>
      </c>
      <c r="Z194" s="202">
        <v>2000.09</v>
      </c>
      <c r="AA194" s="202">
        <v>0</v>
      </c>
      <c r="AB194" s="202">
        <v>0</v>
      </c>
      <c r="AC194" s="202">
        <v>0</v>
      </c>
      <c r="AD194" s="198">
        <v>54260</v>
      </c>
      <c r="AE194" s="202">
        <v>0</v>
      </c>
      <c r="AF194" s="202">
        <v>0</v>
      </c>
      <c r="AG194" s="202">
        <v>0</v>
      </c>
      <c r="AH194" s="198" t="s">
        <v>994</v>
      </c>
      <c r="AI194" s="198" t="s">
        <v>1914</v>
      </c>
      <c r="AJ194" s="198" t="s">
        <v>1296</v>
      </c>
      <c r="AK194" s="198">
        <v>0</v>
      </c>
      <c r="AL194" s="198" t="s">
        <v>930</v>
      </c>
      <c r="AM194" s="198" t="s">
        <v>930</v>
      </c>
      <c r="AN194" s="196">
        <f t="shared" si="50"/>
        <v>9</v>
      </c>
      <c r="AO194" s="196">
        <f t="shared" si="51"/>
        <v>1998</v>
      </c>
      <c r="AP194" s="195">
        <f t="shared" si="52"/>
        <v>2005</v>
      </c>
      <c r="AQ194" s="194">
        <f t="shared" si="53"/>
        <v>2005.75</v>
      </c>
      <c r="AR194" s="193">
        <f t="shared" si="54"/>
        <v>23.810595238095235</v>
      </c>
      <c r="AS194" s="192">
        <f t="shared" si="55"/>
        <v>285.72714285714284</v>
      </c>
      <c r="AT194" s="192">
        <f t="shared" si="56"/>
        <v>0</v>
      </c>
      <c r="AU194" s="192">
        <f t="shared" si="57"/>
        <v>2000.09</v>
      </c>
      <c r="AV194" s="192">
        <f t="shared" si="58"/>
        <v>2000.09</v>
      </c>
      <c r="AW194" s="191">
        <f t="shared" si="59"/>
        <v>0</v>
      </c>
      <c r="AX194" s="190" t="s">
        <v>72</v>
      </c>
      <c r="AY194" s="184"/>
    </row>
    <row r="195" spans="2:51" hidden="1">
      <c r="B195" s="198">
        <v>2183</v>
      </c>
      <c r="C195" s="199">
        <v>280732</v>
      </c>
      <c r="D195" s="198">
        <v>281758</v>
      </c>
      <c r="E195" s="198" t="s">
        <v>2003</v>
      </c>
      <c r="F195" s="198" t="s">
        <v>1913</v>
      </c>
      <c r="G195" s="198"/>
      <c r="H195" s="198"/>
      <c r="I195" s="200">
        <v>1</v>
      </c>
      <c r="J195" s="198" t="s">
        <v>1912</v>
      </c>
      <c r="K195" s="200">
        <v>2022</v>
      </c>
      <c r="L195" s="198" t="s">
        <v>1302</v>
      </c>
      <c r="M195" s="198" t="s">
        <v>1110</v>
      </c>
      <c r="N195" s="198" t="s">
        <v>2183</v>
      </c>
      <c r="O195" s="198" t="s">
        <v>2184</v>
      </c>
      <c r="P195" s="198" t="s">
        <v>1028</v>
      </c>
      <c r="Q195" s="198"/>
      <c r="R195" s="198"/>
      <c r="S195" s="201">
        <v>44700</v>
      </c>
      <c r="T195" s="201">
        <v>44700</v>
      </c>
      <c r="U195" s="198" t="s">
        <v>1911</v>
      </c>
      <c r="V195" s="198">
        <v>500</v>
      </c>
      <c r="W195" s="198">
        <v>14040</v>
      </c>
      <c r="X195" s="202">
        <v>824.22</v>
      </c>
      <c r="Y195" s="198">
        <v>14046</v>
      </c>
      <c r="Z195" s="202">
        <v>315.95999999999998</v>
      </c>
      <c r="AA195" s="202">
        <v>0</v>
      </c>
      <c r="AB195" s="202">
        <v>508.26000000000005</v>
      </c>
      <c r="AC195" s="202">
        <v>54.96</v>
      </c>
      <c r="AD195" s="198">
        <v>51260</v>
      </c>
      <c r="AE195" s="202">
        <v>13.74</v>
      </c>
      <c r="AF195" s="202">
        <v>0</v>
      </c>
      <c r="AG195" s="202">
        <v>13.74</v>
      </c>
      <c r="AH195" s="198" t="s">
        <v>989</v>
      </c>
      <c r="AI195" s="198"/>
      <c r="AJ195" s="198"/>
      <c r="AK195" s="198">
        <v>3720</v>
      </c>
      <c r="AL195" s="198" t="s">
        <v>1857</v>
      </c>
      <c r="AM195" s="198" t="s">
        <v>1857</v>
      </c>
      <c r="AN195" s="196">
        <f t="shared" si="50"/>
        <v>5</v>
      </c>
      <c r="AO195" s="196">
        <f t="shared" si="51"/>
        <v>2022</v>
      </c>
      <c r="AP195" s="195">
        <f t="shared" si="52"/>
        <v>2027</v>
      </c>
      <c r="AQ195" s="194">
        <f t="shared" si="53"/>
        <v>2027.4166666666667</v>
      </c>
      <c r="AR195" s="193">
        <f t="shared" si="54"/>
        <v>13.737</v>
      </c>
      <c r="AS195" s="192">
        <f t="shared" si="55"/>
        <v>164.84399999999999</v>
      </c>
      <c r="AT195" s="192">
        <f t="shared" si="56"/>
        <v>164.84399999999999</v>
      </c>
      <c r="AU195" s="192">
        <f t="shared" si="57"/>
        <v>164.84400000000005</v>
      </c>
      <c r="AV195" s="192">
        <f t="shared" si="58"/>
        <v>329.68800000000005</v>
      </c>
      <c r="AW195" s="191">
        <f t="shared" si="59"/>
        <v>494.53199999999998</v>
      </c>
      <c r="AX195" s="190" t="s">
        <v>72</v>
      </c>
      <c r="AY195" s="184"/>
    </row>
    <row r="196" spans="2:51">
      <c r="B196" s="198">
        <v>2183</v>
      </c>
      <c r="C196" s="199">
        <v>280500</v>
      </c>
      <c r="D196" s="198" t="s">
        <v>989</v>
      </c>
      <c r="E196" s="198" t="s">
        <v>2003</v>
      </c>
      <c r="F196" s="198" t="s">
        <v>1048</v>
      </c>
      <c r="G196" s="198"/>
      <c r="H196" s="198"/>
      <c r="I196" s="200">
        <v>52</v>
      </c>
      <c r="J196" s="198"/>
      <c r="K196" s="200">
        <v>0</v>
      </c>
      <c r="L196" s="198"/>
      <c r="M196" s="198" t="s">
        <v>1910</v>
      </c>
      <c r="N196" s="198" t="s">
        <v>2190</v>
      </c>
      <c r="O196" s="198" t="s">
        <v>2184</v>
      </c>
      <c r="P196" s="198"/>
      <c r="Q196" s="198" t="s">
        <v>2208</v>
      </c>
      <c r="R196" s="198" t="s">
        <v>2195</v>
      </c>
      <c r="S196" s="201">
        <v>44682</v>
      </c>
      <c r="T196" s="201">
        <v>44682</v>
      </c>
      <c r="U196" s="198"/>
      <c r="V196" s="198">
        <v>0</v>
      </c>
      <c r="W196" s="198">
        <v>14050</v>
      </c>
      <c r="X196" s="202">
        <v>0</v>
      </c>
      <c r="Y196" s="198">
        <v>14056</v>
      </c>
      <c r="Z196" s="202">
        <v>0</v>
      </c>
      <c r="AA196" s="202">
        <v>0</v>
      </c>
      <c r="AB196" s="202">
        <v>0</v>
      </c>
      <c r="AC196" s="202">
        <v>0</v>
      </c>
      <c r="AD196" s="198">
        <v>54260</v>
      </c>
      <c r="AE196" s="202">
        <v>0</v>
      </c>
      <c r="AF196" s="202">
        <v>0</v>
      </c>
      <c r="AG196" s="202">
        <v>0</v>
      </c>
      <c r="AH196" s="198" t="s">
        <v>989</v>
      </c>
      <c r="AI196" s="198"/>
      <c r="AJ196" s="198"/>
      <c r="AK196" s="198">
        <v>0</v>
      </c>
      <c r="AL196" s="198" t="s">
        <v>930</v>
      </c>
      <c r="AM196" s="198" t="s">
        <v>930</v>
      </c>
      <c r="AN196" s="196">
        <f t="shared" si="50"/>
        <v>5</v>
      </c>
      <c r="AO196" s="196">
        <f t="shared" si="51"/>
        <v>2022</v>
      </c>
      <c r="AP196" s="195">
        <f t="shared" si="52"/>
        <v>2022</v>
      </c>
      <c r="AQ196" s="194">
        <f t="shared" si="53"/>
        <v>2022.4166666666667</v>
      </c>
      <c r="AR196" s="193">
        <f t="shared" si="54"/>
        <v>0</v>
      </c>
      <c r="AS196" s="192">
        <f t="shared" si="55"/>
        <v>0</v>
      </c>
      <c r="AT196" s="192">
        <f t="shared" si="56"/>
        <v>0</v>
      </c>
      <c r="AU196" s="192">
        <f t="shared" si="57"/>
        <v>0</v>
      </c>
      <c r="AV196" s="192">
        <f t="shared" si="58"/>
        <v>0</v>
      </c>
      <c r="AW196" s="191">
        <f t="shared" si="59"/>
        <v>0</v>
      </c>
      <c r="AX196" s="190" t="s">
        <v>72</v>
      </c>
      <c r="AY196" s="184"/>
    </row>
    <row r="197" spans="2:51">
      <c r="B197" s="198">
        <v>2183</v>
      </c>
      <c r="C197" s="199">
        <v>280346</v>
      </c>
      <c r="D197" s="198" t="s">
        <v>989</v>
      </c>
      <c r="E197" s="198" t="s">
        <v>2003</v>
      </c>
      <c r="F197" s="198" t="s">
        <v>1199</v>
      </c>
      <c r="G197" s="198"/>
      <c r="H197" s="198"/>
      <c r="I197" s="200">
        <v>25</v>
      </c>
      <c r="J197" s="198"/>
      <c r="K197" s="200">
        <v>0</v>
      </c>
      <c r="L197" s="198"/>
      <c r="M197" s="198"/>
      <c r="N197" s="198" t="s">
        <v>2190</v>
      </c>
      <c r="O197" s="198" t="s">
        <v>2184</v>
      </c>
      <c r="P197" s="198"/>
      <c r="Q197" s="198" t="s">
        <v>2194</v>
      </c>
      <c r="R197" s="198" t="s">
        <v>2195</v>
      </c>
      <c r="S197" s="201">
        <v>39755</v>
      </c>
      <c r="T197" s="201">
        <v>39755</v>
      </c>
      <c r="U197" s="198"/>
      <c r="V197" s="198">
        <v>700</v>
      </c>
      <c r="W197" s="198">
        <v>14050</v>
      </c>
      <c r="X197" s="202">
        <v>344.02</v>
      </c>
      <c r="Y197" s="198">
        <v>14056</v>
      </c>
      <c r="Z197" s="202">
        <v>344.02</v>
      </c>
      <c r="AA197" s="202">
        <v>0</v>
      </c>
      <c r="AB197" s="202">
        <v>0</v>
      </c>
      <c r="AC197" s="202">
        <v>0</v>
      </c>
      <c r="AD197" s="198">
        <v>54260</v>
      </c>
      <c r="AE197" s="202">
        <v>0</v>
      </c>
      <c r="AF197" s="202">
        <v>0</v>
      </c>
      <c r="AG197" s="202">
        <v>0</v>
      </c>
      <c r="AH197" s="198" t="s">
        <v>994</v>
      </c>
      <c r="AI197" s="198" t="s">
        <v>1050</v>
      </c>
      <c r="AJ197" s="198" t="s">
        <v>1296</v>
      </c>
      <c r="AK197" s="198">
        <v>0</v>
      </c>
      <c r="AL197" s="198" t="s">
        <v>930</v>
      </c>
      <c r="AM197" s="198" t="s">
        <v>930</v>
      </c>
      <c r="AN197" s="196">
        <f t="shared" si="50"/>
        <v>11</v>
      </c>
      <c r="AO197" s="196">
        <f t="shared" si="51"/>
        <v>2008</v>
      </c>
      <c r="AP197" s="195">
        <f t="shared" si="52"/>
        <v>2015</v>
      </c>
      <c r="AQ197" s="194">
        <f t="shared" si="53"/>
        <v>2015.9166666666667</v>
      </c>
      <c r="AR197" s="193">
        <f t="shared" si="54"/>
        <v>4.09547619047619</v>
      </c>
      <c r="AS197" s="192">
        <f t="shared" si="55"/>
        <v>49.145714285714277</v>
      </c>
      <c r="AT197" s="192">
        <f t="shared" si="56"/>
        <v>0</v>
      </c>
      <c r="AU197" s="192">
        <f t="shared" si="57"/>
        <v>344.02</v>
      </c>
      <c r="AV197" s="192">
        <f t="shared" si="58"/>
        <v>344.02</v>
      </c>
      <c r="AW197" s="191">
        <f t="shared" si="59"/>
        <v>0</v>
      </c>
      <c r="AX197" s="190" t="s">
        <v>72</v>
      </c>
      <c r="AY197" s="184"/>
    </row>
    <row r="198" spans="2:51">
      <c r="B198" s="198">
        <v>2183</v>
      </c>
      <c r="C198" s="199">
        <v>279937</v>
      </c>
      <c r="D198" s="198" t="s">
        <v>989</v>
      </c>
      <c r="E198" s="198" t="s">
        <v>2003</v>
      </c>
      <c r="F198" s="198" t="s">
        <v>1049</v>
      </c>
      <c r="G198" s="198"/>
      <c r="H198" s="198"/>
      <c r="I198" s="200">
        <v>5</v>
      </c>
      <c r="J198" s="198"/>
      <c r="K198" s="200">
        <v>0</v>
      </c>
      <c r="L198" s="198"/>
      <c r="M198" s="198"/>
      <c r="N198" s="198" t="s">
        <v>2190</v>
      </c>
      <c r="O198" s="198" t="s">
        <v>2184</v>
      </c>
      <c r="P198" s="198"/>
      <c r="Q198" s="198" t="s">
        <v>2203</v>
      </c>
      <c r="R198" s="198" t="s">
        <v>2195</v>
      </c>
      <c r="S198" s="201">
        <v>39755</v>
      </c>
      <c r="T198" s="201">
        <v>39755</v>
      </c>
      <c r="U198" s="198"/>
      <c r="V198" s="198">
        <v>700</v>
      </c>
      <c r="W198" s="198">
        <v>14050</v>
      </c>
      <c r="X198" s="202">
        <v>240</v>
      </c>
      <c r="Y198" s="198">
        <v>14056</v>
      </c>
      <c r="Z198" s="202">
        <v>240</v>
      </c>
      <c r="AA198" s="202">
        <v>0</v>
      </c>
      <c r="AB198" s="202">
        <v>0</v>
      </c>
      <c r="AC198" s="202">
        <v>0</v>
      </c>
      <c r="AD198" s="198">
        <v>54260</v>
      </c>
      <c r="AE198" s="202">
        <v>0</v>
      </c>
      <c r="AF198" s="202">
        <v>0</v>
      </c>
      <c r="AG198" s="202">
        <v>0</v>
      </c>
      <c r="AH198" s="198" t="s">
        <v>994</v>
      </c>
      <c r="AI198" s="198" t="s">
        <v>1050</v>
      </c>
      <c r="AJ198" s="198" t="s">
        <v>1296</v>
      </c>
      <c r="AK198" s="198">
        <v>0</v>
      </c>
      <c r="AL198" s="198" t="s">
        <v>930</v>
      </c>
      <c r="AM198" s="198" t="s">
        <v>930</v>
      </c>
      <c r="AN198" s="196">
        <f t="shared" si="50"/>
        <v>11</v>
      </c>
      <c r="AO198" s="196">
        <f t="shared" si="51"/>
        <v>2008</v>
      </c>
      <c r="AP198" s="195">
        <f t="shared" si="52"/>
        <v>2015</v>
      </c>
      <c r="AQ198" s="194">
        <f t="shared" si="53"/>
        <v>2015.9166666666667</v>
      </c>
      <c r="AR198" s="193">
        <f t="shared" si="54"/>
        <v>2.8571428571428572</v>
      </c>
      <c r="AS198" s="192">
        <f t="shared" si="55"/>
        <v>34.285714285714285</v>
      </c>
      <c r="AT198" s="192">
        <f t="shared" si="56"/>
        <v>0</v>
      </c>
      <c r="AU198" s="192">
        <f t="shared" si="57"/>
        <v>240</v>
      </c>
      <c r="AV198" s="192">
        <f t="shared" si="58"/>
        <v>240</v>
      </c>
      <c r="AW198" s="191">
        <f t="shared" si="59"/>
        <v>0</v>
      </c>
      <c r="AX198" s="190" t="s">
        <v>72</v>
      </c>
      <c r="AY198" s="184"/>
    </row>
    <row r="199" spans="2:51">
      <c r="B199" s="198">
        <v>2183</v>
      </c>
      <c r="C199" s="199">
        <v>279337</v>
      </c>
      <c r="D199" s="198" t="s">
        <v>989</v>
      </c>
      <c r="E199" s="198" t="s">
        <v>2003</v>
      </c>
      <c r="F199" s="198" t="s">
        <v>1051</v>
      </c>
      <c r="G199" s="198"/>
      <c r="H199" s="198"/>
      <c r="I199" s="200">
        <v>19</v>
      </c>
      <c r="J199" s="198"/>
      <c r="K199" s="200">
        <v>0</v>
      </c>
      <c r="L199" s="198"/>
      <c r="M199" s="198"/>
      <c r="N199" s="198" t="s">
        <v>2190</v>
      </c>
      <c r="O199" s="198" t="s">
        <v>2184</v>
      </c>
      <c r="P199" s="198"/>
      <c r="Q199" s="198" t="s">
        <v>2200</v>
      </c>
      <c r="R199" s="198" t="s">
        <v>2207</v>
      </c>
      <c r="S199" s="201">
        <v>40544</v>
      </c>
      <c r="T199" s="201">
        <v>40544</v>
      </c>
      <c r="U199" s="198"/>
      <c r="V199" s="198">
        <v>300</v>
      </c>
      <c r="W199" s="198">
        <v>14050</v>
      </c>
      <c r="X199" s="202">
        <v>0.03</v>
      </c>
      <c r="Y199" s="198">
        <v>14056</v>
      </c>
      <c r="Z199" s="202">
        <v>0.03</v>
      </c>
      <c r="AA199" s="202">
        <v>0</v>
      </c>
      <c r="AB199" s="202">
        <v>0</v>
      </c>
      <c r="AC199" s="202">
        <v>0</v>
      </c>
      <c r="AD199" s="198">
        <v>54260</v>
      </c>
      <c r="AE199" s="202">
        <v>0</v>
      </c>
      <c r="AF199" s="202">
        <v>0</v>
      </c>
      <c r="AG199" s="202">
        <v>0</v>
      </c>
      <c r="AH199" s="198" t="s">
        <v>989</v>
      </c>
      <c r="AI199" s="198"/>
      <c r="AJ199" s="198"/>
      <c r="AK199" s="198">
        <v>0</v>
      </c>
      <c r="AL199" s="198" t="s">
        <v>930</v>
      </c>
      <c r="AM199" s="198" t="s">
        <v>930</v>
      </c>
      <c r="AN199" s="196">
        <f t="shared" si="50"/>
        <v>1</v>
      </c>
      <c r="AO199" s="196">
        <f t="shared" si="51"/>
        <v>2011</v>
      </c>
      <c r="AP199" s="195">
        <f t="shared" si="52"/>
        <v>2014</v>
      </c>
      <c r="AQ199" s="194">
        <f t="shared" si="53"/>
        <v>2014.0833333333333</v>
      </c>
      <c r="AR199" s="193">
        <f t="shared" si="54"/>
        <v>8.3333333333333339E-4</v>
      </c>
      <c r="AS199" s="192">
        <f t="shared" si="55"/>
        <v>0.01</v>
      </c>
      <c r="AT199" s="192">
        <f t="shared" si="56"/>
        <v>0</v>
      </c>
      <c r="AU199" s="192">
        <f t="shared" si="57"/>
        <v>0.03</v>
      </c>
      <c r="AV199" s="192">
        <f t="shared" si="58"/>
        <v>0.03</v>
      </c>
      <c r="AW199" s="191">
        <f t="shared" si="59"/>
        <v>0</v>
      </c>
      <c r="AX199" s="190" t="s">
        <v>72</v>
      </c>
      <c r="AY199" s="184"/>
    </row>
    <row r="200" spans="2:51">
      <c r="B200" s="198">
        <v>2183</v>
      </c>
      <c r="C200" s="199">
        <v>279336</v>
      </c>
      <c r="D200" s="198" t="s">
        <v>989</v>
      </c>
      <c r="E200" s="198" t="s">
        <v>2003</v>
      </c>
      <c r="F200" s="198" t="s">
        <v>1909</v>
      </c>
      <c r="G200" s="198"/>
      <c r="H200" s="198"/>
      <c r="I200" s="200">
        <v>7</v>
      </c>
      <c r="J200" s="198"/>
      <c r="K200" s="200">
        <v>0</v>
      </c>
      <c r="L200" s="198" t="s">
        <v>1059</v>
      </c>
      <c r="M200" s="198"/>
      <c r="N200" s="198" t="s">
        <v>2190</v>
      </c>
      <c r="O200" s="198" t="s">
        <v>2184</v>
      </c>
      <c r="P200" s="198"/>
      <c r="Q200" s="198" t="s">
        <v>2224</v>
      </c>
      <c r="R200" s="198" t="s">
        <v>2195</v>
      </c>
      <c r="S200" s="201">
        <v>44468</v>
      </c>
      <c r="T200" s="201">
        <v>44468</v>
      </c>
      <c r="U200" s="198" t="s">
        <v>1906</v>
      </c>
      <c r="V200" s="198">
        <v>1200</v>
      </c>
      <c r="W200" s="198">
        <v>14050</v>
      </c>
      <c r="X200" s="202">
        <v>13478.08</v>
      </c>
      <c r="Y200" s="198">
        <v>14056</v>
      </c>
      <c r="Z200" s="202">
        <v>2901.53</v>
      </c>
      <c r="AA200" s="202">
        <v>0</v>
      </c>
      <c r="AB200" s="202">
        <v>10576.55</v>
      </c>
      <c r="AC200" s="202">
        <v>374.4</v>
      </c>
      <c r="AD200" s="198">
        <v>54260</v>
      </c>
      <c r="AE200" s="202">
        <v>93.6</v>
      </c>
      <c r="AF200" s="202">
        <v>0</v>
      </c>
      <c r="AG200" s="202">
        <v>93.6</v>
      </c>
      <c r="AH200" s="198" t="s">
        <v>989</v>
      </c>
      <c r="AI200" s="198"/>
      <c r="AJ200" s="198"/>
      <c r="AK200" s="198">
        <v>0</v>
      </c>
      <c r="AL200" s="198" t="s">
        <v>930</v>
      </c>
      <c r="AM200" s="198" t="s">
        <v>930</v>
      </c>
      <c r="AN200" s="196">
        <f t="shared" si="50"/>
        <v>9</v>
      </c>
      <c r="AO200" s="196">
        <f t="shared" si="51"/>
        <v>2021</v>
      </c>
      <c r="AP200" s="195">
        <f t="shared" si="52"/>
        <v>2033</v>
      </c>
      <c r="AQ200" s="194">
        <f t="shared" si="53"/>
        <v>2033.75</v>
      </c>
      <c r="AR200" s="193">
        <f t="shared" si="54"/>
        <v>93.597777777777779</v>
      </c>
      <c r="AS200" s="192">
        <f t="shared" si="55"/>
        <v>1123.1733333333334</v>
      </c>
      <c r="AT200" s="192">
        <f t="shared" si="56"/>
        <v>1123.1733333333334</v>
      </c>
      <c r="AU200" s="192">
        <f t="shared" si="57"/>
        <v>1871.9555555556399</v>
      </c>
      <c r="AV200" s="192">
        <f t="shared" si="58"/>
        <v>2995.1288888889731</v>
      </c>
      <c r="AW200" s="191">
        <f t="shared" si="59"/>
        <v>10482.951111111026</v>
      </c>
      <c r="AX200" s="190" t="s">
        <v>72</v>
      </c>
      <c r="AY200" s="184"/>
    </row>
    <row r="201" spans="2:51">
      <c r="B201" s="198">
        <v>2183</v>
      </c>
      <c r="C201" s="199">
        <v>279335</v>
      </c>
      <c r="D201" s="198" t="s">
        <v>989</v>
      </c>
      <c r="E201" s="198" t="s">
        <v>2003</v>
      </c>
      <c r="F201" s="198" t="s">
        <v>1907</v>
      </c>
      <c r="G201" s="198"/>
      <c r="H201" s="198"/>
      <c r="I201" s="200">
        <v>7</v>
      </c>
      <c r="J201" s="198"/>
      <c r="K201" s="200">
        <v>0</v>
      </c>
      <c r="L201" s="198" t="s">
        <v>1059</v>
      </c>
      <c r="M201" s="198"/>
      <c r="N201" s="198" t="s">
        <v>2190</v>
      </c>
      <c r="O201" s="198" t="s">
        <v>2184</v>
      </c>
      <c r="P201" s="198"/>
      <c r="Q201" s="198" t="s">
        <v>2224</v>
      </c>
      <c r="R201" s="198" t="s">
        <v>2195</v>
      </c>
      <c r="S201" s="201">
        <v>44468</v>
      </c>
      <c r="T201" s="201">
        <v>44468</v>
      </c>
      <c r="U201" s="198" t="s">
        <v>1906</v>
      </c>
      <c r="V201" s="198">
        <v>1200</v>
      </c>
      <c r="W201" s="198">
        <v>14050</v>
      </c>
      <c r="X201" s="202">
        <v>13478.08</v>
      </c>
      <c r="Y201" s="198">
        <v>14056</v>
      </c>
      <c r="Z201" s="202">
        <v>2901.53</v>
      </c>
      <c r="AA201" s="202">
        <v>0</v>
      </c>
      <c r="AB201" s="202">
        <v>10576.55</v>
      </c>
      <c r="AC201" s="202">
        <v>374.4</v>
      </c>
      <c r="AD201" s="198">
        <v>54260</v>
      </c>
      <c r="AE201" s="202">
        <v>93.6</v>
      </c>
      <c r="AF201" s="202">
        <v>0</v>
      </c>
      <c r="AG201" s="202">
        <v>93.6</v>
      </c>
      <c r="AH201" s="198" t="s">
        <v>989</v>
      </c>
      <c r="AI201" s="198"/>
      <c r="AJ201" s="198"/>
      <c r="AK201" s="198">
        <v>0</v>
      </c>
      <c r="AL201" s="198" t="s">
        <v>930</v>
      </c>
      <c r="AM201" s="198" t="s">
        <v>930</v>
      </c>
      <c r="AN201" s="196">
        <f t="shared" si="50"/>
        <v>9</v>
      </c>
      <c r="AO201" s="196">
        <f t="shared" si="51"/>
        <v>2021</v>
      </c>
      <c r="AP201" s="195">
        <f t="shared" si="52"/>
        <v>2033</v>
      </c>
      <c r="AQ201" s="194">
        <f t="shared" si="53"/>
        <v>2033.75</v>
      </c>
      <c r="AR201" s="193">
        <f t="shared" si="54"/>
        <v>93.597777777777779</v>
      </c>
      <c r="AS201" s="192">
        <f t="shared" si="55"/>
        <v>1123.1733333333334</v>
      </c>
      <c r="AT201" s="192">
        <f t="shared" si="56"/>
        <v>1123.1733333333334</v>
      </c>
      <c r="AU201" s="192">
        <f t="shared" si="57"/>
        <v>1871.9555555556399</v>
      </c>
      <c r="AV201" s="192">
        <f t="shared" si="58"/>
        <v>2995.1288888889731</v>
      </c>
      <c r="AW201" s="191">
        <f t="shared" si="59"/>
        <v>10482.951111111026</v>
      </c>
      <c r="AX201" s="190" t="s">
        <v>72</v>
      </c>
      <c r="AY201" s="184"/>
    </row>
    <row r="202" spans="2:51">
      <c r="B202" s="198">
        <v>2183</v>
      </c>
      <c r="C202" s="199">
        <v>279334</v>
      </c>
      <c r="D202" s="198" t="s">
        <v>989</v>
      </c>
      <c r="E202" s="198" t="s">
        <v>2003</v>
      </c>
      <c r="F202" s="198" t="s">
        <v>1908</v>
      </c>
      <c r="G202" s="198"/>
      <c r="H202" s="198"/>
      <c r="I202" s="200">
        <v>7</v>
      </c>
      <c r="J202" s="198"/>
      <c r="K202" s="200">
        <v>0</v>
      </c>
      <c r="L202" s="198" t="s">
        <v>1059</v>
      </c>
      <c r="M202" s="198"/>
      <c r="N202" s="198" t="s">
        <v>2190</v>
      </c>
      <c r="O202" s="198" t="s">
        <v>2184</v>
      </c>
      <c r="P202" s="198"/>
      <c r="Q202" s="198" t="s">
        <v>2224</v>
      </c>
      <c r="R202" s="198" t="s">
        <v>2195</v>
      </c>
      <c r="S202" s="201">
        <v>44468</v>
      </c>
      <c r="T202" s="201">
        <v>44468</v>
      </c>
      <c r="U202" s="198" t="s">
        <v>1906</v>
      </c>
      <c r="V202" s="198">
        <v>1200</v>
      </c>
      <c r="W202" s="198">
        <v>14050</v>
      </c>
      <c r="X202" s="202">
        <v>13478.08</v>
      </c>
      <c r="Y202" s="198">
        <v>14056</v>
      </c>
      <c r="Z202" s="202">
        <v>2901.53</v>
      </c>
      <c r="AA202" s="202">
        <v>0</v>
      </c>
      <c r="AB202" s="202">
        <v>10576.55</v>
      </c>
      <c r="AC202" s="202">
        <v>374.4</v>
      </c>
      <c r="AD202" s="198">
        <v>54260</v>
      </c>
      <c r="AE202" s="202">
        <v>93.6</v>
      </c>
      <c r="AF202" s="202">
        <v>0</v>
      </c>
      <c r="AG202" s="202">
        <v>93.6</v>
      </c>
      <c r="AH202" s="198" t="s">
        <v>989</v>
      </c>
      <c r="AI202" s="198"/>
      <c r="AJ202" s="198"/>
      <c r="AK202" s="198">
        <v>0</v>
      </c>
      <c r="AL202" s="198" t="s">
        <v>930</v>
      </c>
      <c r="AM202" s="198" t="s">
        <v>930</v>
      </c>
      <c r="AN202" s="196">
        <f t="shared" si="50"/>
        <v>9</v>
      </c>
      <c r="AO202" s="196">
        <f t="shared" si="51"/>
        <v>2021</v>
      </c>
      <c r="AP202" s="195">
        <f t="shared" si="52"/>
        <v>2033</v>
      </c>
      <c r="AQ202" s="194">
        <f t="shared" si="53"/>
        <v>2033.75</v>
      </c>
      <c r="AR202" s="193">
        <f t="shared" si="54"/>
        <v>93.597777777777779</v>
      </c>
      <c r="AS202" s="192">
        <f t="shared" si="55"/>
        <v>1123.1733333333334</v>
      </c>
      <c r="AT202" s="192">
        <f t="shared" si="56"/>
        <v>1123.1733333333334</v>
      </c>
      <c r="AU202" s="192">
        <f t="shared" si="57"/>
        <v>1871.9555555556399</v>
      </c>
      <c r="AV202" s="192">
        <f t="shared" si="58"/>
        <v>2995.1288888889731</v>
      </c>
      <c r="AW202" s="191">
        <f t="shared" si="59"/>
        <v>10482.951111111026</v>
      </c>
      <c r="AX202" s="190" t="s">
        <v>72</v>
      </c>
      <c r="AY202" s="184"/>
    </row>
    <row r="203" spans="2:51">
      <c r="B203" s="198">
        <v>2183</v>
      </c>
      <c r="C203" s="199">
        <v>279333</v>
      </c>
      <c r="D203" s="198" t="s">
        <v>989</v>
      </c>
      <c r="E203" s="198" t="s">
        <v>2003</v>
      </c>
      <c r="F203" s="198" t="s">
        <v>1907</v>
      </c>
      <c r="G203" s="198"/>
      <c r="H203" s="198"/>
      <c r="I203" s="200">
        <v>4</v>
      </c>
      <c r="J203" s="198"/>
      <c r="K203" s="200">
        <v>0</v>
      </c>
      <c r="L203" s="198" t="s">
        <v>1059</v>
      </c>
      <c r="M203" s="198"/>
      <c r="N203" s="198" t="s">
        <v>2190</v>
      </c>
      <c r="O203" s="198" t="s">
        <v>2184</v>
      </c>
      <c r="P203" s="198"/>
      <c r="Q203" s="198" t="s">
        <v>2224</v>
      </c>
      <c r="R203" s="198" t="s">
        <v>2195</v>
      </c>
      <c r="S203" s="201">
        <v>44468</v>
      </c>
      <c r="T203" s="201">
        <v>44468</v>
      </c>
      <c r="U203" s="198" t="s">
        <v>1906</v>
      </c>
      <c r="V203" s="198">
        <v>1200</v>
      </c>
      <c r="W203" s="198">
        <v>14050</v>
      </c>
      <c r="X203" s="202">
        <v>7701.76</v>
      </c>
      <c r="Y203" s="198">
        <v>14056</v>
      </c>
      <c r="Z203" s="202">
        <v>1657.99</v>
      </c>
      <c r="AA203" s="202">
        <v>0</v>
      </c>
      <c r="AB203" s="202">
        <v>6043.77</v>
      </c>
      <c r="AC203" s="202">
        <v>213.92</v>
      </c>
      <c r="AD203" s="198">
        <v>54260</v>
      </c>
      <c r="AE203" s="202">
        <v>53.48</v>
      </c>
      <c r="AF203" s="202">
        <v>0</v>
      </c>
      <c r="AG203" s="202">
        <v>53.48</v>
      </c>
      <c r="AH203" s="198" t="s">
        <v>989</v>
      </c>
      <c r="AI203" s="198"/>
      <c r="AJ203" s="198"/>
      <c r="AK203" s="198">
        <v>0</v>
      </c>
      <c r="AL203" s="198" t="s">
        <v>930</v>
      </c>
      <c r="AM203" s="198" t="s">
        <v>930</v>
      </c>
      <c r="AN203" s="196">
        <f t="shared" si="50"/>
        <v>9</v>
      </c>
      <c r="AO203" s="196">
        <f t="shared" si="51"/>
        <v>2021</v>
      </c>
      <c r="AP203" s="195">
        <f t="shared" si="52"/>
        <v>2033</v>
      </c>
      <c r="AQ203" s="194">
        <f t="shared" si="53"/>
        <v>2033.75</v>
      </c>
      <c r="AR203" s="193">
        <f t="shared" si="54"/>
        <v>53.484444444444449</v>
      </c>
      <c r="AS203" s="192">
        <f t="shared" si="55"/>
        <v>641.81333333333339</v>
      </c>
      <c r="AT203" s="192">
        <f t="shared" si="56"/>
        <v>641.81333333333339</v>
      </c>
      <c r="AU203" s="192">
        <f t="shared" si="57"/>
        <v>1069.6888888889371</v>
      </c>
      <c r="AV203" s="192">
        <f t="shared" si="58"/>
        <v>1711.5022222222706</v>
      </c>
      <c r="AW203" s="191">
        <f t="shared" si="59"/>
        <v>5990.2577777777296</v>
      </c>
      <c r="AX203" s="190" t="s">
        <v>72</v>
      </c>
      <c r="AY203" s="184"/>
    </row>
    <row r="204" spans="2:51">
      <c r="B204" s="198">
        <v>2183</v>
      </c>
      <c r="C204" s="199">
        <v>278673</v>
      </c>
      <c r="D204" s="198" t="s">
        <v>989</v>
      </c>
      <c r="E204" s="198" t="s">
        <v>2003</v>
      </c>
      <c r="F204" s="198" t="s">
        <v>1905</v>
      </c>
      <c r="G204" s="198"/>
      <c r="H204" s="198"/>
      <c r="I204" s="200">
        <v>1</v>
      </c>
      <c r="J204" s="198"/>
      <c r="K204" s="200">
        <v>0</v>
      </c>
      <c r="L204" s="198" t="s">
        <v>1899</v>
      </c>
      <c r="M204" s="198"/>
      <c r="N204" s="198" t="s">
        <v>2199</v>
      </c>
      <c r="O204" s="198" t="s">
        <v>2184</v>
      </c>
      <c r="P204" s="198"/>
      <c r="Q204" s="198"/>
      <c r="R204" s="198"/>
      <c r="S204" s="201">
        <v>44656</v>
      </c>
      <c r="T204" s="201">
        <v>44656</v>
      </c>
      <c r="U204" s="198" t="s">
        <v>1898</v>
      </c>
      <c r="V204" s="198">
        <v>300</v>
      </c>
      <c r="W204" s="198">
        <v>14110</v>
      </c>
      <c r="X204" s="202">
        <v>1051.1600000000001</v>
      </c>
      <c r="Y204" s="198">
        <v>14116</v>
      </c>
      <c r="Z204" s="202">
        <v>729.98</v>
      </c>
      <c r="AA204" s="202">
        <v>0</v>
      </c>
      <c r="AB204" s="202">
        <v>321.18000000000006</v>
      </c>
      <c r="AC204" s="202">
        <v>116.8</v>
      </c>
      <c r="AD204" s="198">
        <v>70260</v>
      </c>
      <c r="AE204" s="202">
        <v>29.2</v>
      </c>
      <c r="AF204" s="202">
        <v>0</v>
      </c>
      <c r="AG204" s="202">
        <v>29.2</v>
      </c>
      <c r="AH204" s="198" t="s">
        <v>989</v>
      </c>
      <c r="AI204" s="198"/>
      <c r="AJ204" s="198"/>
      <c r="AK204" s="198">
        <v>0</v>
      </c>
      <c r="AL204" s="198" t="s">
        <v>932</v>
      </c>
      <c r="AM204" s="198" t="s">
        <v>932</v>
      </c>
      <c r="AN204" s="196">
        <f t="shared" si="50"/>
        <v>4</v>
      </c>
      <c r="AO204" s="196">
        <f t="shared" si="51"/>
        <v>2022</v>
      </c>
      <c r="AP204" s="195">
        <f t="shared" si="52"/>
        <v>2025</v>
      </c>
      <c r="AQ204" s="194">
        <f t="shared" si="53"/>
        <v>2025.3333333333333</v>
      </c>
      <c r="AR204" s="193">
        <f t="shared" si="54"/>
        <v>29.198888888888892</v>
      </c>
      <c r="AS204" s="192">
        <f t="shared" si="55"/>
        <v>350.38666666666671</v>
      </c>
      <c r="AT204" s="192">
        <f t="shared" si="56"/>
        <v>350.38666666666671</v>
      </c>
      <c r="AU204" s="192">
        <f t="shared" si="57"/>
        <v>379.58555555560872</v>
      </c>
      <c r="AV204" s="192">
        <f t="shared" si="58"/>
        <v>729.97222222227538</v>
      </c>
      <c r="AW204" s="191">
        <f t="shared" si="59"/>
        <v>321.1877777777247</v>
      </c>
      <c r="AX204" s="190" t="s">
        <v>72</v>
      </c>
      <c r="AY204" s="184"/>
    </row>
    <row r="205" spans="2:51">
      <c r="B205" s="198">
        <v>2183</v>
      </c>
      <c r="C205" s="199">
        <v>278672</v>
      </c>
      <c r="D205" s="198" t="s">
        <v>989</v>
      </c>
      <c r="E205" s="198" t="s">
        <v>2003</v>
      </c>
      <c r="F205" s="198" t="s">
        <v>1904</v>
      </c>
      <c r="G205" s="198"/>
      <c r="H205" s="198"/>
      <c r="I205" s="200">
        <v>1</v>
      </c>
      <c r="J205" s="198"/>
      <c r="K205" s="200">
        <v>0</v>
      </c>
      <c r="L205" s="198" t="s">
        <v>1899</v>
      </c>
      <c r="M205" s="198"/>
      <c r="N205" s="198" t="s">
        <v>2199</v>
      </c>
      <c r="O205" s="198" t="s">
        <v>2184</v>
      </c>
      <c r="P205" s="198"/>
      <c r="Q205" s="198"/>
      <c r="R205" s="198"/>
      <c r="S205" s="201">
        <v>44656</v>
      </c>
      <c r="T205" s="201">
        <v>44656</v>
      </c>
      <c r="U205" s="198" t="s">
        <v>1898</v>
      </c>
      <c r="V205" s="198">
        <v>300</v>
      </c>
      <c r="W205" s="198">
        <v>14110</v>
      </c>
      <c r="X205" s="202">
        <v>1051.1600000000001</v>
      </c>
      <c r="Y205" s="198">
        <v>14116</v>
      </c>
      <c r="Z205" s="202">
        <v>729.98</v>
      </c>
      <c r="AA205" s="202">
        <v>0</v>
      </c>
      <c r="AB205" s="202">
        <v>321.18000000000006</v>
      </c>
      <c r="AC205" s="202">
        <v>116.8</v>
      </c>
      <c r="AD205" s="198">
        <v>70260</v>
      </c>
      <c r="AE205" s="202">
        <v>29.2</v>
      </c>
      <c r="AF205" s="202">
        <v>0</v>
      </c>
      <c r="AG205" s="202">
        <v>29.2</v>
      </c>
      <c r="AH205" s="198" t="s">
        <v>989</v>
      </c>
      <c r="AI205" s="198"/>
      <c r="AJ205" s="198"/>
      <c r="AK205" s="198">
        <v>0</v>
      </c>
      <c r="AL205" s="198" t="s">
        <v>932</v>
      </c>
      <c r="AM205" s="198" t="s">
        <v>932</v>
      </c>
      <c r="AN205" s="196">
        <f t="shared" si="50"/>
        <v>4</v>
      </c>
      <c r="AO205" s="196">
        <f t="shared" si="51"/>
        <v>2022</v>
      </c>
      <c r="AP205" s="195">
        <f t="shared" si="52"/>
        <v>2025</v>
      </c>
      <c r="AQ205" s="194">
        <f t="shared" si="53"/>
        <v>2025.3333333333333</v>
      </c>
      <c r="AR205" s="193">
        <f t="shared" si="54"/>
        <v>29.198888888888892</v>
      </c>
      <c r="AS205" s="192">
        <f t="shared" si="55"/>
        <v>350.38666666666671</v>
      </c>
      <c r="AT205" s="192">
        <f t="shared" si="56"/>
        <v>350.38666666666671</v>
      </c>
      <c r="AU205" s="192">
        <f t="shared" si="57"/>
        <v>379.58555555560872</v>
      </c>
      <c r="AV205" s="192">
        <f t="shared" si="58"/>
        <v>729.97222222227538</v>
      </c>
      <c r="AW205" s="191">
        <f t="shared" si="59"/>
        <v>321.1877777777247</v>
      </c>
      <c r="AX205" s="190" t="s">
        <v>72</v>
      </c>
      <c r="AY205" s="184"/>
    </row>
    <row r="206" spans="2:51">
      <c r="B206" s="198">
        <v>2183</v>
      </c>
      <c r="C206" s="199">
        <v>278671</v>
      </c>
      <c r="D206" s="198" t="s">
        <v>989</v>
      </c>
      <c r="E206" s="198" t="s">
        <v>2003</v>
      </c>
      <c r="F206" s="198" t="s">
        <v>1903</v>
      </c>
      <c r="G206" s="198"/>
      <c r="H206" s="198"/>
      <c r="I206" s="200">
        <v>1</v>
      </c>
      <c r="J206" s="198"/>
      <c r="K206" s="200">
        <v>0</v>
      </c>
      <c r="L206" s="198" t="s">
        <v>1899</v>
      </c>
      <c r="M206" s="198"/>
      <c r="N206" s="198" t="s">
        <v>2199</v>
      </c>
      <c r="O206" s="198" t="s">
        <v>2184</v>
      </c>
      <c r="P206" s="198"/>
      <c r="Q206" s="198"/>
      <c r="R206" s="198"/>
      <c r="S206" s="201">
        <v>44656</v>
      </c>
      <c r="T206" s="201">
        <v>44656</v>
      </c>
      <c r="U206" s="198" t="s">
        <v>1898</v>
      </c>
      <c r="V206" s="198">
        <v>300</v>
      </c>
      <c r="W206" s="198">
        <v>14110</v>
      </c>
      <c r="X206" s="202">
        <v>1051.17</v>
      </c>
      <c r="Y206" s="198">
        <v>14116</v>
      </c>
      <c r="Z206" s="202">
        <v>729.98</v>
      </c>
      <c r="AA206" s="202">
        <v>0</v>
      </c>
      <c r="AB206" s="202">
        <v>321.19000000000005</v>
      </c>
      <c r="AC206" s="202">
        <v>116.8</v>
      </c>
      <c r="AD206" s="198">
        <v>70260</v>
      </c>
      <c r="AE206" s="202">
        <v>29.2</v>
      </c>
      <c r="AF206" s="202">
        <v>0</v>
      </c>
      <c r="AG206" s="202">
        <v>29.2</v>
      </c>
      <c r="AH206" s="198" t="s">
        <v>989</v>
      </c>
      <c r="AI206" s="198"/>
      <c r="AJ206" s="198"/>
      <c r="AK206" s="198">
        <v>0</v>
      </c>
      <c r="AL206" s="198" t="s">
        <v>932</v>
      </c>
      <c r="AM206" s="198" t="s">
        <v>932</v>
      </c>
      <c r="AN206" s="196">
        <f t="shared" si="50"/>
        <v>4</v>
      </c>
      <c r="AO206" s="196">
        <f t="shared" si="51"/>
        <v>2022</v>
      </c>
      <c r="AP206" s="195">
        <f t="shared" si="52"/>
        <v>2025</v>
      </c>
      <c r="AQ206" s="194">
        <f t="shared" si="53"/>
        <v>2025.3333333333333</v>
      </c>
      <c r="AR206" s="193">
        <f t="shared" si="54"/>
        <v>29.19916666666667</v>
      </c>
      <c r="AS206" s="192">
        <f t="shared" si="55"/>
        <v>350.39000000000004</v>
      </c>
      <c r="AT206" s="192">
        <f t="shared" si="56"/>
        <v>350.39000000000004</v>
      </c>
      <c r="AU206" s="192">
        <f t="shared" si="57"/>
        <v>379.58916666671973</v>
      </c>
      <c r="AV206" s="192">
        <f t="shared" si="58"/>
        <v>729.97916666671972</v>
      </c>
      <c r="AW206" s="191">
        <f t="shared" si="59"/>
        <v>321.19083333328035</v>
      </c>
      <c r="AX206" s="190" t="s">
        <v>72</v>
      </c>
      <c r="AY206" s="184"/>
    </row>
    <row r="207" spans="2:51">
      <c r="B207" s="198">
        <v>2183</v>
      </c>
      <c r="C207" s="199">
        <v>278670</v>
      </c>
      <c r="D207" s="198" t="s">
        <v>989</v>
      </c>
      <c r="E207" s="198" t="s">
        <v>2003</v>
      </c>
      <c r="F207" s="198" t="s">
        <v>1902</v>
      </c>
      <c r="G207" s="198"/>
      <c r="H207" s="198"/>
      <c r="I207" s="200">
        <v>1</v>
      </c>
      <c r="J207" s="198"/>
      <c r="K207" s="200">
        <v>0</v>
      </c>
      <c r="L207" s="198" t="s">
        <v>1899</v>
      </c>
      <c r="M207" s="198"/>
      <c r="N207" s="198" t="s">
        <v>2199</v>
      </c>
      <c r="O207" s="198" t="s">
        <v>2184</v>
      </c>
      <c r="P207" s="198"/>
      <c r="Q207" s="198"/>
      <c r="R207" s="198"/>
      <c r="S207" s="201">
        <v>44656</v>
      </c>
      <c r="T207" s="201">
        <v>44656</v>
      </c>
      <c r="U207" s="198" t="s">
        <v>1898</v>
      </c>
      <c r="V207" s="198">
        <v>300</v>
      </c>
      <c r="W207" s="198">
        <v>14110</v>
      </c>
      <c r="X207" s="202">
        <v>1051.17</v>
      </c>
      <c r="Y207" s="198">
        <v>14116</v>
      </c>
      <c r="Z207" s="202">
        <v>729.98</v>
      </c>
      <c r="AA207" s="202">
        <v>0</v>
      </c>
      <c r="AB207" s="202">
        <v>321.19000000000005</v>
      </c>
      <c r="AC207" s="202">
        <v>116.8</v>
      </c>
      <c r="AD207" s="198">
        <v>70260</v>
      </c>
      <c r="AE207" s="202">
        <v>29.2</v>
      </c>
      <c r="AF207" s="202">
        <v>0</v>
      </c>
      <c r="AG207" s="202">
        <v>29.2</v>
      </c>
      <c r="AH207" s="198" t="s">
        <v>989</v>
      </c>
      <c r="AI207" s="198"/>
      <c r="AJ207" s="198"/>
      <c r="AK207" s="198">
        <v>0</v>
      </c>
      <c r="AL207" s="198" t="s">
        <v>932</v>
      </c>
      <c r="AM207" s="198" t="s">
        <v>932</v>
      </c>
      <c r="AN207" s="196">
        <f t="shared" si="50"/>
        <v>4</v>
      </c>
      <c r="AO207" s="196">
        <f t="shared" si="51"/>
        <v>2022</v>
      </c>
      <c r="AP207" s="195">
        <f t="shared" si="52"/>
        <v>2025</v>
      </c>
      <c r="AQ207" s="194">
        <f t="shared" si="53"/>
        <v>2025.3333333333333</v>
      </c>
      <c r="AR207" s="193">
        <f t="shared" si="54"/>
        <v>29.19916666666667</v>
      </c>
      <c r="AS207" s="192">
        <f t="shared" si="55"/>
        <v>350.39000000000004</v>
      </c>
      <c r="AT207" s="192">
        <f t="shared" si="56"/>
        <v>350.39000000000004</v>
      </c>
      <c r="AU207" s="192">
        <f t="shared" si="57"/>
        <v>379.58916666671973</v>
      </c>
      <c r="AV207" s="192">
        <f t="shared" si="58"/>
        <v>729.97916666671972</v>
      </c>
      <c r="AW207" s="191">
        <f t="shared" si="59"/>
        <v>321.19083333328035</v>
      </c>
      <c r="AX207" s="190" t="s">
        <v>72</v>
      </c>
      <c r="AY207" s="184"/>
    </row>
    <row r="208" spans="2:51">
      <c r="B208" s="198">
        <v>2183</v>
      </c>
      <c r="C208" s="199">
        <v>278669</v>
      </c>
      <c r="D208" s="198" t="s">
        <v>989</v>
      </c>
      <c r="E208" s="198" t="s">
        <v>2003</v>
      </c>
      <c r="F208" s="198" t="s">
        <v>1901</v>
      </c>
      <c r="G208" s="198"/>
      <c r="H208" s="198"/>
      <c r="I208" s="200">
        <v>1</v>
      </c>
      <c r="J208" s="198"/>
      <c r="K208" s="200">
        <v>0</v>
      </c>
      <c r="L208" s="198" t="s">
        <v>1899</v>
      </c>
      <c r="M208" s="198"/>
      <c r="N208" s="198" t="s">
        <v>2199</v>
      </c>
      <c r="O208" s="198" t="s">
        <v>2184</v>
      </c>
      <c r="P208" s="198"/>
      <c r="Q208" s="198"/>
      <c r="R208" s="198"/>
      <c r="S208" s="201">
        <v>44656</v>
      </c>
      <c r="T208" s="201">
        <v>44656</v>
      </c>
      <c r="U208" s="198" t="s">
        <v>1898</v>
      </c>
      <c r="V208" s="198">
        <v>300</v>
      </c>
      <c r="W208" s="198">
        <v>14110</v>
      </c>
      <c r="X208" s="202">
        <v>1051.17</v>
      </c>
      <c r="Y208" s="198">
        <v>14116</v>
      </c>
      <c r="Z208" s="202">
        <v>729.98</v>
      </c>
      <c r="AA208" s="202">
        <v>0</v>
      </c>
      <c r="AB208" s="202">
        <v>321.19000000000005</v>
      </c>
      <c r="AC208" s="202">
        <v>116.8</v>
      </c>
      <c r="AD208" s="198">
        <v>70260</v>
      </c>
      <c r="AE208" s="202">
        <v>29.2</v>
      </c>
      <c r="AF208" s="202">
        <v>0</v>
      </c>
      <c r="AG208" s="202">
        <v>29.2</v>
      </c>
      <c r="AH208" s="198" t="s">
        <v>989</v>
      </c>
      <c r="AI208" s="198"/>
      <c r="AJ208" s="198"/>
      <c r="AK208" s="198">
        <v>0</v>
      </c>
      <c r="AL208" s="198" t="s">
        <v>932</v>
      </c>
      <c r="AM208" s="198" t="s">
        <v>932</v>
      </c>
      <c r="AN208" s="196">
        <f t="shared" si="50"/>
        <v>4</v>
      </c>
      <c r="AO208" s="196">
        <f t="shared" si="51"/>
        <v>2022</v>
      </c>
      <c r="AP208" s="195">
        <f t="shared" si="52"/>
        <v>2025</v>
      </c>
      <c r="AQ208" s="194">
        <f t="shared" si="53"/>
        <v>2025.3333333333333</v>
      </c>
      <c r="AR208" s="193">
        <f t="shared" si="54"/>
        <v>29.19916666666667</v>
      </c>
      <c r="AS208" s="192">
        <f t="shared" si="55"/>
        <v>350.39000000000004</v>
      </c>
      <c r="AT208" s="192">
        <f t="shared" si="56"/>
        <v>350.39000000000004</v>
      </c>
      <c r="AU208" s="192">
        <f t="shared" si="57"/>
        <v>379.58916666671973</v>
      </c>
      <c r="AV208" s="192">
        <f t="shared" si="58"/>
        <v>729.97916666671972</v>
      </c>
      <c r="AW208" s="191">
        <f t="shared" si="59"/>
        <v>321.19083333328035</v>
      </c>
      <c r="AX208" s="190" t="s">
        <v>72</v>
      </c>
      <c r="AY208" s="184"/>
    </row>
    <row r="209" spans="2:51">
      <c r="B209" s="198">
        <v>2183</v>
      </c>
      <c r="C209" s="199">
        <v>278668</v>
      </c>
      <c r="D209" s="198" t="s">
        <v>989</v>
      </c>
      <c r="E209" s="198" t="s">
        <v>2003</v>
      </c>
      <c r="F209" s="198" t="s">
        <v>1900</v>
      </c>
      <c r="G209" s="198"/>
      <c r="H209" s="198"/>
      <c r="I209" s="200">
        <v>1</v>
      </c>
      <c r="J209" s="198"/>
      <c r="K209" s="200">
        <v>0</v>
      </c>
      <c r="L209" s="198" t="s">
        <v>1899</v>
      </c>
      <c r="M209" s="198"/>
      <c r="N209" s="198" t="s">
        <v>2199</v>
      </c>
      <c r="O209" s="198" t="s">
        <v>2184</v>
      </c>
      <c r="P209" s="198"/>
      <c r="Q209" s="198"/>
      <c r="R209" s="198"/>
      <c r="S209" s="201">
        <v>44656</v>
      </c>
      <c r="T209" s="201">
        <v>44656</v>
      </c>
      <c r="U209" s="198" t="s">
        <v>1898</v>
      </c>
      <c r="V209" s="198">
        <v>300</v>
      </c>
      <c r="W209" s="198">
        <v>14110</v>
      </c>
      <c r="X209" s="202">
        <v>1051.17</v>
      </c>
      <c r="Y209" s="198">
        <v>14116</v>
      </c>
      <c r="Z209" s="202">
        <v>729.98</v>
      </c>
      <c r="AA209" s="202">
        <v>0</v>
      </c>
      <c r="AB209" s="202">
        <v>321.19000000000005</v>
      </c>
      <c r="AC209" s="202">
        <v>116.8</v>
      </c>
      <c r="AD209" s="198">
        <v>70260</v>
      </c>
      <c r="AE209" s="202">
        <v>29.2</v>
      </c>
      <c r="AF209" s="202">
        <v>0</v>
      </c>
      <c r="AG209" s="202">
        <v>29.2</v>
      </c>
      <c r="AH209" s="198" t="s">
        <v>989</v>
      </c>
      <c r="AI209" s="198"/>
      <c r="AJ209" s="198"/>
      <c r="AK209" s="198">
        <v>0</v>
      </c>
      <c r="AL209" s="198" t="s">
        <v>932</v>
      </c>
      <c r="AM209" s="198" t="s">
        <v>932</v>
      </c>
      <c r="AN209" s="196">
        <f t="shared" ref="AN209:AN272" si="60">MONTH($S209)</f>
        <v>4</v>
      </c>
      <c r="AO209" s="196">
        <f t="shared" ref="AO209:AO272" si="61">YEAR($S209)</f>
        <v>2022</v>
      </c>
      <c r="AP209" s="195">
        <f t="shared" ref="AP209:AP272" si="62">$AO209+($V209/100)</f>
        <v>2025</v>
      </c>
      <c r="AQ209" s="194">
        <f t="shared" ref="AQ209:AQ272" si="63">$AP209+($AN209/12)</f>
        <v>2025.3333333333333</v>
      </c>
      <c r="AR209" s="193">
        <f t="shared" ref="AR209:AR272" si="64">IFERROR($X209/($V209/100)/12,0)</f>
        <v>29.19916666666667</v>
      </c>
      <c r="AS209" s="192">
        <f t="shared" ref="AS209:AS272" si="65">$AR209*12</f>
        <v>350.39000000000004</v>
      </c>
      <c r="AT209" s="192">
        <f t="shared" ref="AT209:AT272" si="66">IF(AQ209&lt;$AK$12,0,AS209)</f>
        <v>350.39000000000004</v>
      </c>
      <c r="AU209" s="192">
        <f t="shared" ref="AU209:AU272" si="67">IF(AQ209&lt;=$AK$13,X209,IF(((AO209+AN209/12))&gt;=$AK$13,0,((X209-((AQ209-$AK$13)*12)*AR209))))</f>
        <v>379.58916666671973</v>
      </c>
      <c r="AV209" s="192">
        <f t="shared" ref="AV209:AV272" si="68">IF(AQ209&lt;$AK$12,X209,AT209+AU209)</f>
        <v>729.97916666671972</v>
      </c>
      <c r="AW209" s="191">
        <f t="shared" ref="AW209:AW272" si="69">+X209-AV209</f>
        <v>321.19083333328035</v>
      </c>
      <c r="AX209" s="190" t="s">
        <v>72</v>
      </c>
      <c r="AY209" s="184"/>
    </row>
    <row r="210" spans="2:51">
      <c r="B210" s="198">
        <v>2183</v>
      </c>
      <c r="C210" s="199">
        <v>277270</v>
      </c>
      <c r="D210" s="198" t="s">
        <v>989</v>
      </c>
      <c r="E210" s="198" t="s">
        <v>2003</v>
      </c>
      <c r="F210" s="198" t="s">
        <v>1897</v>
      </c>
      <c r="G210" s="198"/>
      <c r="H210" s="198"/>
      <c r="I210" s="200">
        <v>14</v>
      </c>
      <c r="J210" s="198"/>
      <c r="K210" s="200">
        <v>0</v>
      </c>
      <c r="L210" s="198" t="s">
        <v>1018</v>
      </c>
      <c r="M210" s="198"/>
      <c r="N210" s="198" t="s">
        <v>2190</v>
      </c>
      <c r="O210" s="198" t="s">
        <v>2184</v>
      </c>
      <c r="P210" s="198"/>
      <c r="Q210" s="198" t="s">
        <v>137</v>
      </c>
      <c r="R210" s="198" t="s">
        <v>2195</v>
      </c>
      <c r="S210" s="201">
        <v>44655</v>
      </c>
      <c r="T210" s="201">
        <v>44655</v>
      </c>
      <c r="U210" s="198" t="s">
        <v>1894</v>
      </c>
      <c r="V210" s="198">
        <v>1200</v>
      </c>
      <c r="W210" s="198">
        <v>14050</v>
      </c>
      <c r="X210" s="202">
        <v>21564.54</v>
      </c>
      <c r="Y210" s="198">
        <v>14056</v>
      </c>
      <c r="Z210" s="202">
        <v>3743.83</v>
      </c>
      <c r="AA210" s="202">
        <v>0</v>
      </c>
      <c r="AB210" s="202">
        <v>17820.71</v>
      </c>
      <c r="AC210" s="202">
        <v>599</v>
      </c>
      <c r="AD210" s="198">
        <v>54260</v>
      </c>
      <c r="AE210" s="202">
        <v>149.75</v>
      </c>
      <c r="AF210" s="202">
        <v>0</v>
      </c>
      <c r="AG210" s="202">
        <v>149.75</v>
      </c>
      <c r="AH210" s="198" t="s">
        <v>989</v>
      </c>
      <c r="AI210" s="198"/>
      <c r="AJ210" s="198"/>
      <c r="AK210" s="198">
        <v>0</v>
      </c>
      <c r="AL210" s="198" t="s">
        <v>930</v>
      </c>
      <c r="AM210" s="198" t="s">
        <v>930</v>
      </c>
      <c r="AN210" s="196">
        <f t="shared" si="60"/>
        <v>4</v>
      </c>
      <c r="AO210" s="196">
        <f t="shared" si="61"/>
        <v>2022</v>
      </c>
      <c r="AP210" s="195">
        <f t="shared" si="62"/>
        <v>2034</v>
      </c>
      <c r="AQ210" s="194">
        <f t="shared" si="63"/>
        <v>2034.3333333333333</v>
      </c>
      <c r="AR210" s="193">
        <f t="shared" si="64"/>
        <v>149.75375</v>
      </c>
      <c r="AS210" s="192">
        <f t="shared" si="65"/>
        <v>1797.0450000000001</v>
      </c>
      <c r="AT210" s="192">
        <f t="shared" si="66"/>
        <v>1797.0450000000001</v>
      </c>
      <c r="AU210" s="192">
        <f t="shared" si="67"/>
        <v>1946.7987500002746</v>
      </c>
      <c r="AV210" s="192">
        <f t="shared" si="68"/>
        <v>3743.8437500002747</v>
      </c>
      <c r="AW210" s="191">
        <f t="shared" si="69"/>
        <v>17820.696249999724</v>
      </c>
      <c r="AX210" s="190" t="s">
        <v>72</v>
      </c>
      <c r="AY210" s="184"/>
    </row>
    <row r="211" spans="2:51">
      <c r="B211" s="198">
        <v>2183</v>
      </c>
      <c r="C211" s="199">
        <v>277269</v>
      </c>
      <c r="D211" s="198" t="s">
        <v>989</v>
      </c>
      <c r="E211" s="198" t="s">
        <v>2003</v>
      </c>
      <c r="F211" s="198" t="s">
        <v>1896</v>
      </c>
      <c r="G211" s="198"/>
      <c r="H211" s="198"/>
      <c r="I211" s="200">
        <v>8</v>
      </c>
      <c r="J211" s="198"/>
      <c r="K211" s="200">
        <v>0</v>
      </c>
      <c r="L211" s="198" t="s">
        <v>1018</v>
      </c>
      <c r="M211" s="198"/>
      <c r="N211" s="198" t="s">
        <v>2190</v>
      </c>
      <c r="O211" s="198" t="s">
        <v>2184</v>
      </c>
      <c r="P211" s="198"/>
      <c r="Q211" s="198" t="s">
        <v>2224</v>
      </c>
      <c r="R211" s="198" t="s">
        <v>2195</v>
      </c>
      <c r="S211" s="201">
        <v>44658</v>
      </c>
      <c r="T211" s="201">
        <v>44658</v>
      </c>
      <c r="U211" s="198" t="s">
        <v>1894</v>
      </c>
      <c r="V211" s="198">
        <v>1200</v>
      </c>
      <c r="W211" s="198">
        <v>14050</v>
      </c>
      <c r="X211" s="202">
        <v>21074.6</v>
      </c>
      <c r="Y211" s="198">
        <v>14056</v>
      </c>
      <c r="Z211" s="202">
        <v>3658.78</v>
      </c>
      <c r="AA211" s="202">
        <v>0</v>
      </c>
      <c r="AB211" s="202">
        <v>17415.82</v>
      </c>
      <c r="AC211" s="202">
        <v>585.4</v>
      </c>
      <c r="AD211" s="198">
        <v>54260</v>
      </c>
      <c r="AE211" s="202">
        <v>146.35</v>
      </c>
      <c r="AF211" s="202">
        <v>0</v>
      </c>
      <c r="AG211" s="202">
        <v>146.35</v>
      </c>
      <c r="AH211" s="198" t="s">
        <v>989</v>
      </c>
      <c r="AI211" s="198"/>
      <c r="AJ211" s="198"/>
      <c r="AK211" s="198">
        <v>0</v>
      </c>
      <c r="AL211" s="198" t="s">
        <v>930</v>
      </c>
      <c r="AM211" s="198" t="s">
        <v>930</v>
      </c>
      <c r="AN211" s="196">
        <f t="shared" si="60"/>
        <v>4</v>
      </c>
      <c r="AO211" s="196">
        <f t="shared" si="61"/>
        <v>2022</v>
      </c>
      <c r="AP211" s="195">
        <f t="shared" si="62"/>
        <v>2034</v>
      </c>
      <c r="AQ211" s="194">
        <f t="shared" si="63"/>
        <v>2034.3333333333333</v>
      </c>
      <c r="AR211" s="193">
        <f t="shared" si="64"/>
        <v>146.35138888888886</v>
      </c>
      <c r="AS211" s="192">
        <f t="shared" si="65"/>
        <v>1756.2166666666662</v>
      </c>
      <c r="AT211" s="192">
        <f t="shared" si="66"/>
        <v>1756.2166666666662</v>
      </c>
      <c r="AU211" s="192">
        <f t="shared" si="67"/>
        <v>1902.5680555558247</v>
      </c>
      <c r="AV211" s="192">
        <f t="shared" si="68"/>
        <v>3658.7847222224909</v>
      </c>
      <c r="AW211" s="191">
        <f t="shared" si="69"/>
        <v>17415.815277777507</v>
      </c>
      <c r="AX211" s="190" t="s">
        <v>72</v>
      </c>
      <c r="AY211" s="184"/>
    </row>
    <row r="212" spans="2:51">
      <c r="B212" s="198">
        <v>2183</v>
      </c>
      <c r="C212" s="199">
        <v>276890</v>
      </c>
      <c r="D212" s="198" t="s">
        <v>989</v>
      </c>
      <c r="E212" s="198" t="s">
        <v>2003</v>
      </c>
      <c r="F212" s="198" t="s">
        <v>1896</v>
      </c>
      <c r="G212" s="198"/>
      <c r="H212" s="198"/>
      <c r="I212" s="200">
        <v>1</v>
      </c>
      <c r="J212" s="198"/>
      <c r="K212" s="200">
        <v>0</v>
      </c>
      <c r="L212" s="198" t="s">
        <v>1018</v>
      </c>
      <c r="M212" s="198"/>
      <c r="N212" s="198" t="s">
        <v>2190</v>
      </c>
      <c r="O212" s="198" t="s">
        <v>2184</v>
      </c>
      <c r="P212" s="198"/>
      <c r="Q212" s="198" t="s">
        <v>2224</v>
      </c>
      <c r="R212" s="198" t="s">
        <v>2195</v>
      </c>
      <c r="S212" s="201">
        <v>44655</v>
      </c>
      <c r="T212" s="201">
        <v>44655</v>
      </c>
      <c r="U212" s="198" t="s">
        <v>1894</v>
      </c>
      <c r="V212" s="198">
        <v>1200</v>
      </c>
      <c r="W212" s="198">
        <v>14050</v>
      </c>
      <c r="X212" s="202">
        <v>2613.79</v>
      </c>
      <c r="Y212" s="198">
        <v>14056</v>
      </c>
      <c r="Z212" s="202">
        <v>453.73</v>
      </c>
      <c r="AA212" s="202">
        <v>0</v>
      </c>
      <c r="AB212" s="202">
        <v>2160.06</v>
      </c>
      <c r="AC212" s="202">
        <v>72.599999999999994</v>
      </c>
      <c r="AD212" s="198">
        <v>54260</v>
      </c>
      <c r="AE212" s="202">
        <v>18.149999999999999</v>
      </c>
      <c r="AF212" s="202">
        <v>0</v>
      </c>
      <c r="AG212" s="202">
        <v>18.149999999999999</v>
      </c>
      <c r="AH212" s="198" t="s">
        <v>989</v>
      </c>
      <c r="AI212" s="198"/>
      <c r="AJ212" s="198"/>
      <c r="AK212" s="198">
        <v>0</v>
      </c>
      <c r="AL212" s="198" t="s">
        <v>930</v>
      </c>
      <c r="AM212" s="198" t="s">
        <v>930</v>
      </c>
      <c r="AN212" s="196">
        <f t="shared" si="60"/>
        <v>4</v>
      </c>
      <c r="AO212" s="196">
        <f t="shared" si="61"/>
        <v>2022</v>
      </c>
      <c r="AP212" s="195">
        <f t="shared" si="62"/>
        <v>2034</v>
      </c>
      <c r="AQ212" s="194">
        <f t="shared" si="63"/>
        <v>2034.3333333333333</v>
      </c>
      <c r="AR212" s="193">
        <f t="shared" si="64"/>
        <v>18.151319444444443</v>
      </c>
      <c r="AS212" s="192">
        <f t="shared" si="65"/>
        <v>217.81583333333333</v>
      </c>
      <c r="AT212" s="192">
        <f t="shared" si="66"/>
        <v>217.81583333333333</v>
      </c>
      <c r="AU212" s="192">
        <f t="shared" si="67"/>
        <v>235.96715277781095</v>
      </c>
      <c r="AV212" s="192">
        <f t="shared" si="68"/>
        <v>453.78298611114428</v>
      </c>
      <c r="AW212" s="191">
        <f t="shared" si="69"/>
        <v>2160.0070138888559</v>
      </c>
      <c r="AX212" s="190" t="s">
        <v>72</v>
      </c>
      <c r="AY212" s="184"/>
    </row>
    <row r="213" spans="2:51">
      <c r="B213" s="198">
        <v>2183</v>
      </c>
      <c r="C213" s="199">
        <v>276881</v>
      </c>
      <c r="D213" s="198" t="s">
        <v>989</v>
      </c>
      <c r="E213" s="198" t="s">
        <v>2003</v>
      </c>
      <c r="F213" s="198" t="s">
        <v>1483</v>
      </c>
      <c r="G213" s="198"/>
      <c r="H213" s="198"/>
      <c r="I213" s="200">
        <v>13</v>
      </c>
      <c r="J213" s="198"/>
      <c r="K213" s="200">
        <v>0</v>
      </c>
      <c r="L213" s="198" t="s">
        <v>1018</v>
      </c>
      <c r="M213" s="198"/>
      <c r="N213" s="198" t="s">
        <v>2190</v>
      </c>
      <c r="O213" s="198" t="s">
        <v>2184</v>
      </c>
      <c r="P213" s="198"/>
      <c r="Q213" s="198" t="s">
        <v>2194</v>
      </c>
      <c r="R213" s="198" t="s">
        <v>2195</v>
      </c>
      <c r="S213" s="201">
        <v>44655</v>
      </c>
      <c r="T213" s="201">
        <v>44655</v>
      </c>
      <c r="U213" s="198" t="s">
        <v>1894</v>
      </c>
      <c r="V213" s="198">
        <v>1200</v>
      </c>
      <c r="W213" s="198">
        <v>14050</v>
      </c>
      <c r="X213" s="202">
        <v>18353.32</v>
      </c>
      <c r="Y213" s="198">
        <v>14056</v>
      </c>
      <c r="Z213" s="202">
        <v>3186.32</v>
      </c>
      <c r="AA213" s="202">
        <v>0</v>
      </c>
      <c r="AB213" s="202">
        <v>15167</v>
      </c>
      <c r="AC213" s="202">
        <v>509.8</v>
      </c>
      <c r="AD213" s="198">
        <v>54260</v>
      </c>
      <c r="AE213" s="202">
        <v>127.45</v>
      </c>
      <c r="AF213" s="202">
        <v>0</v>
      </c>
      <c r="AG213" s="202">
        <v>127.45</v>
      </c>
      <c r="AH213" s="198" t="s">
        <v>989</v>
      </c>
      <c r="AI213" s="198"/>
      <c r="AJ213" s="198"/>
      <c r="AK213" s="198">
        <v>0</v>
      </c>
      <c r="AL213" s="198" t="s">
        <v>930</v>
      </c>
      <c r="AM213" s="198" t="s">
        <v>930</v>
      </c>
      <c r="AN213" s="196">
        <f t="shared" si="60"/>
        <v>4</v>
      </c>
      <c r="AO213" s="196">
        <f t="shared" si="61"/>
        <v>2022</v>
      </c>
      <c r="AP213" s="195">
        <f t="shared" si="62"/>
        <v>2034</v>
      </c>
      <c r="AQ213" s="194">
        <f t="shared" si="63"/>
        <v>2034.3333333333333</v>
      </c>
      <c r="AR213" s="193">
        <f t="shared" si="64"/>
        <v>127.45361111111112</v>
      </c>
      <c r="AS213" s="192">
        <f t="shared" si="65"/>
        <v>1529.4433333333334</v>
      </c>
      <c r="AT213" s="192">
        <f t="shared" si="66"/>
        <v>1529.4433333333334</v>
      </c>
      <c r="AU213" s="192">
        <f t="shared" si="67"/>
        <v>1656.8969444446739</v>
      </c>
      <c r="AV213" s="192">
        <f t="shared" si="68"/>
        <v>3186.3402777780075</v>
      </c>
      <c r="AW213" s="191">
        <f t="shared" si="69"/>
        <v>15166.979722221993</v>
      </c>
      <c r="AX213" s="190" t="s">
        <v>72</v>
      </c>
      <c r="AY213" s="184"/>
    </row>
    <row r="214" spans="2:51">
      <c r="B214" s="198">
        <v>2183</v>
      </c>
      <c r="C214" s="199">
        <v>276880</v>
      </c>
      <c r="D214" s="198" t="s">
        <v>989</v>
      </c>
      <c r="E214" s="198" t="s">
        <v>2003</v>
      </c>
      <c r="F214" s="198" t="s">
        <v>1895</v>
      </c>
      <c r="G214" s="198"/>
      <c r="H214" s="198"/>
      <c r="I214" s="200">
        <v>12</v>
      </c>
      <c r="J214" s="198"/>
      <c r="K214" s="200">
        <v>0</v>
      </c>
      <c r="L214" s="198" t="s">
        <v>1018</v>
      </c>
      <c r="M214" s="198"/>
      <c r="N214" s="198" t="s">
        <v>2190</v>
      </c>
      <c r="O214" s="198" t="s">
        <v>2184</v>
      </c>
      <c r="P214" s="198"/>
      <c r="Q214" s="198" t="s">
        <v>2194</v>
      </c>
      <c r="R214" s="198" t="s">
        <v>2195</v>
      </c>
      <c r="S214" s="201">
        <v>44655</v>
      </c>
      <c r="T214" s="201">
        <v>44655</v>
      </c>
      <c r="U214" s="198" t="s">
        <v>1894</v>
      </c>
      <c r="V214" s="198">
        <v>1200</v>
      </c>
      <c r="W214" s="198">
        <v>14050</v>
      </c>
      <c r="X214" s="202">
        <v>16941.53</v>
      </c>
      <c r="Y214" s="198">
        <v>14056</v>
      </c>
      <c r="Z214" s="202">
        <v>2941.25</v>
      </c>
      <c r="AA214" s="202">
        <v>0</v>
      </c>
      <c r="AB214" s="202">
        <v>14000.279999999999</v>
      </c>
      <c r="AC214" s="202">
        <v>470.6</v>
      </c>
      <c r="AD214" s="198">
        <v>54260</v>
      </c>
      <c r="AE214" s="202">
        <v>117.65</v>
      </c>
      <c r="AF214" s="202">
        <v>0</v>
      </c>
      <c r="AG214" s="202">
        <v>117.65</v>
      </c>
      <c r="AH214" s="198" t="s">
        <v>989</v>
      </c>
      <c r="AI214" s="198"/>
      <c r="AJ214" s="198"/>
      <c r="AK214" s="198">
        <v>0</v>
      </c>
      <c r="AL214" s="198" t="s">
        <v>930</v>
      </c>
      <c r="AM214" s="198" t="s">
        <v>930</v>
      </c>
      <c r="AN214" s="196">
        <f t="shared" si="60"/>
        <v>4</v>
      </c>
      <c r="AO214" s="196">
        <f t="shared" si="61"/>
        <v>2022</v>
      </c>
      <c r="AP214" s="195">
        <f t="shared" si="62"/>
        <v>2034</v>
      </c>
      <c r="AQ214" s="194">
        <f t="shared" si="63"/>
        <v>2034.3333333333333</v>
      </c>
      <c r="AR214" s="193">
        <f t="shared" si="64"/>
        <v>117.64951388888888</v>
      </c>
      <c r="AS214" s="192">
        <f t="shared" si="65"/>
        <v>1411.7941666666666</v>
      </c>
      <c r="AT214" s="192">
        <f t="shared" si="66"/>
        <v>1411.7941666666666</v>
      </c>
      <c r="AU214" s="192">
        <f t="shared" si="67"/>
        <v>1529.4436805557707</v>
      </c>
      <c r="AV214" s="192">
        <f t="shared" si="68"/>
        <v>2941.2378472224373</v>
      </c>
      <c r="AW214" s="191">
        <f t="shared" si="69"/>
        <v>14000.292152777562</v>
      </c>
      <c r="AX214" s="190" t="s">
        <v>72</v>
      </c>
      <c r="AY214" s="184"/>
    </row>
    <row r="215" spans="2:51">
      <c r="B215" s="198">
        <v>2183</v>
      </c>
      <c r="C215" s="199">
        <v>276522</v>
      </c>
      <c r="D215" s="198" t="s">
        <v>989</v>
      </c>
      <c r="E215" s="198" t="s">
        <v>2003</v>
      </c>
      <c r="F215" s="198" t="s">
        <v>1893</v>
      </c>
      <c r="G215" s="198"/>
      <c r="H215" s="198"/>
      <c r="I215" s="200">
        <v>2</v>
      </c>
      <c r="J215" s="198"/>
      <c r="K215" s="200">
        <v>0</v>
      </c>
      <c r="L215" s="198" t="s">
        <v>1892</v>
      </c>
      <c r="M215" s="198"/>
      <c r="N215" s="198" t="s">
        <v>2199</v>
      </c>
      <c r="O215" s="198" t="s">
        <v>2184</v>
      </c>
      <c r="P215" s="198"/>
      <c r="Q215" s="198"/>
      <c r="R215" s="198"/>
      <c r="S215" s="201">
        <v>44628</v>
      </c>
      <c r="T215" s="201">
        <v>44628</v>
      </c>
      <c r="U215" s="198" t="s">
        <v>1891</v>
      </c>
      <c r="V215" s="198">
        <v>300</v>
      </c>
      <c r="W215" s="198">
        <v>14110</v>
      </c>
      <c r="X215" s="202">
        <v>2141.4299999999998</v>
      </c>
      <c r="Y215" s="198">
        <v>14116</v>
      </c>
      <c r="Z215" s="202">
        <v>1546.57</v>
      </c>
      <c r="AA215" s="202">
        <v>0</v>
      </c>
      <c r="AB215" s="202">
        <v>594.8599999999999</v>
      </c>
      <c r="AC215" s="202">
        <v>237.92</v>
      </c>
      <c r="AD215" s="198">
        <v>70260</v>
      </c>
      <c r="AE215" s="202">
        <v>59.48</v>
      </c>
      <c r="AF215" s="202">
        <v>0</v>
      </c>
      <c r="AG215" s="202">
        <v>59.48</v>
      </c>
      <c r="AH215" s="198" t="s">
        <v>989</v>
      </c>
      <c r="AI215" s="198"/>
      <c r="AJ215" s="198"/>
      <c r="AK215" s="198">
        <v>0</v>
      </c>
      <c r="AL215" s="198" t="s">
        <v>932</v>
      </c>
      <c r="AM215" s="198" t="s">
        <v>932</v>
      </c>
      <c r="AN215" s="196">
        <f t="shared" si="60"/>
        <v>3</v>
      </c>
      <c r="AO215" s="196">
        <f t="shared" si="61"/>
        <v>2022</v>
      </c>
      <c r="AP215" s="195">
        <f t="shared" si="62"/>
        <v>2025</v>
      </c>
      <c r="AQ215" s="194">
        <f t="shared" si="63"/>
        <v>2025.25</v>
      </c>
      <c r="AR215" s="193">
        <f t="shared" si="64"/>
        <v>59.48416666666666</v>
      </c>
      <c r="AS215" s="192">
        <f t="shared" si="65"/>
        <v>713.81</v>
      </c>
      <c r="AT215" s="192">
        <f t="shared" si="66"/>
        <v>713.81</v>
      </c>
      <c r="AU215" s="192">
        <f t="shared" si="67"/>
        <v>832.77833333338731</v>
      </c>
      <c r="AV215" s="192">
        <f t="shared" si="68"/>
        <v>1546.5883333333873</v>
      </c>
      <c r="AW215" s="191">
        <f t="shared" si="69"/>
        <v>594.84166666661258</v>
      </c>
      <c r="AX215" s="190" t="s">
        <v>72</v>
      </c>
      <c r="AY215" s="184"/>
    </row>
    <row r="216" spans="2:51">
      <c r="B216" s="198">
        <v>2183</v>
      </c>
      <c r="C216" s="199">
        <v>275806</v>
      </c>
      <c r="D216" s="198" t="s">
        <v>989</v>
      </c>
      <c r="E216" s="198" t="s">
        <v>2003</v>
      </c>
      <c r="F216" s="198" t="s">
        <v>1890</v>
      </c>
      <c r="G216" s="198"/>
      <c r="H216" s="198"/>
      <c r="I216" s="200">
        <v>936</v>
      </c>
      <c r="J216" s="198"/>
      <c r="K216" s="200">
        <v>0</v>
      </c>
      <c r="L216" s="198" t="s">
        <v>1001</v>
      </c>
      <c r="M216" s="198"/>
      <c r="N216" s="198" t="s">
        <v>2190</v>
      </c>
      <c r="O216" s="198" t="s">
        <v>2184</v>
      </c>
      <c r="P216" s="198"/>
      <c r="Q216" s="198"/>
      <c r="R216" s="198"/>
      <c r="S216" s="201">
        <v>44629</v>
      </c>
      <c r="T216" s="201">
        <v>44629</v>
      </c>
      <c r="U216" s="198" t="s">
        <v>1888</v>
      </c>
      <c r="V216" s="198">
        <v>700</v>
      </c>
      <c r="W216" s="198">
        <v>14050</v>
      </c>
      <c r="X216" s="202">
        <v>55960.73</v>
      </c>
      <c r="Y216" s="198">
        <v>14056</v>
      </c>
      <c r="Z216" s="202">
        <v>17321.18</v>
      </c>
      <c r="AA216" s="202">
        <v>0</v>
      </c>
      <c r="AB216" s="202">
        <v>38639.550000000003</v>
      </c>
      <c r="AC216" s="202">
        <v>2664.8</v>
      </c>
      <c r="AD216" s="198">
        <v>54260</v>
      </c>
      <c r="AE216" s="202">
        <v>666.2</v>
      </c>
      <c r="AF216" s="202">
        <v>0</v>
      </c>
      <c r="AG216" s="202">
        <v>666.2</v>
      </c>
      <c r="AH216" s="198" t="s">
        <v>989</v>
      </c>
      <c r="AI216" s="198"/>
      <c r="AJ216" s="198"/>
      <c r="AK216" s="198">
        <v>0</v>
      </c>
      <c r="AL216" s="198" t="s">
        <v>929</v>
      </c>
      <c r="AM216" s="198" t="s">
        <v>929</v>
      </c>
      <c r="AN216" s="196">
        <f t="shared" si="60"/>
        <v>3</v>
      </c>
      <c r="AO216" s="196">
        <f t="shared" si="61"/>
        <v>2022</v>
      </c>
      <c r="AP216" s="195">
        <f t="shared" si="62"/>
        <v>2029</v>
      </c>
      <c r="AQ216" s="194">
        <f t="shared" si="63"/>
        <v>2029.25</v>
      </c>
      <c r="AR216" s="193">
        <f t="shared" si="64"/>
        <v>666.19916666666666</v>
      </c>
      <c r="AS216" s="192">
        <f t="shared" si="65"/>
        <v>7994.3899999999994</v>
      </c>
      <c r="AT216" s="192">
        <f t="shared" si="66"/>
        <v>7994.3899999999994</v>
      </c>
      <c r="AU216" s="192">
        <f t="shared" si="67"/>
        <v>9326.7883333339414</v>
      </c>
      <c r="AV216" s="192">
        <f t="shared" si="68"/>
        <v>17321.178333333941</v>
      </c>
      <c r="AW216" s="191">
        <f t="shared" si="69"/>
        <v>38639.551666666062</v>
      </c>
      <c r="AX216" s="190" t="s">
        <v>72</v>
      </c>
      <c r="AY216" s="184"/>
    </row>
    <row r="217" spans="2:51">
      <c r="B217" s="198">
        <v>2183</v>
      </c>
      <c r="C217" s="199">
        <v>275232</v>
      </c>
      <c r="D217" s="198" t="s">
        <v>989</v>
      </c>
      <c r="E217" s="198" t="s">
        <v>2003</v>
      </c>
      <c r="F217" s="198" t="s">
        <v>1889</v>
      </c>
      <c r="G217" s="198"/>
      <c r="H217" s="198"/>
      <c r="I217" s="200">
        <v>702</v>
      </c>
      <c r="J217" s="198"/>
      <c r="K217" s="200">
        <v>0</v>
      </c>
      <c r="L217" s="198" t="s">
        <v>1001</v>
      </c>
      <c r="M217" s="198"/>
      <c r="N217" s="198" t="s">
        <v>2190</v>
      </c>
      <c r="O217" s="198" t="s">
        <v>2184</v>
      </c>
      <c r="P217" s="198"/>
      <c r="Q217" s="198"/>
      <c r="R217" s="198"/>
      <c r="S217" s="201">
        <v>44629</v>
      </c>
      <c r="T217" s="201">
        <v>44629</v>
      </c>
      <c r="U217" s="198" t="s">
        <v>1888</v>
      </c>
      <c r="V217" s="198">
        <v>700</v>
      </c>
      <c r="W217" s="198">
        <v>14050</v>
      </c>
      <c r="X217" s="202">
        <v>46202.15</v>
      </c>
      <c r="Y217" s="198">
        <v>14056</v>
      </c>
      <c r="Z217" s="202">
        <v>14300.69</v>
      </c>
      <c r="AA217" s="202">
        <v>0</v>
      </c>
      <c r="AB217" s="202">
        <v>31901.46</v>
      </c>
      <c r="AC217" s="202">
        <v>2200.12</v>
      </c>
      <c r="AD217" s="198">
        <v>54260</v>
      </c>
      <c r="AE217" s="202">
        <v>550.03</v>
      </c>
      <c r="AF217" s="202">
        <v>0</v>
      </c>
      <c r="AG217" s="202">
        <v>550.03</v>
      </c>
      <c r="AH217" s="198" t="s">
        <v>989</v>
      </c>
      <c r="AI217" s="198"/>
      <c r="AJ217" s="198"/>
      <c r="AK217" s="198">
        <v>0</v>
      </c>
      <c r="AL217" s="198" t="s">
        <v>929</v>
      </c>
      <c r="AM217" s="198" t="s">
        <v>929</v>
      </c>
      <c r="AN217" s="196">
        <f t="shared" si="60"/>
        <v>3</v>
      </c>
      <c r="AO217" s="196">
        <f t="shared" si="61"/>
        <v>2022</v>
      </c>
      <c r="AP217" s="195">
        <f t="shared" si="62"/>
        <v>2029</v>
      </c>
      <c r="AQ217" s="194">
        <f t="shared" si="63"/>
        <v>2029.25</v>
      </c>
      <c r="AR217" s="193">
        <f t="shared" si="64"/>
        <v>550.02559523809521</v>
      </c>
      <c r="AS217" s="192">
        <f t="shared" si="65"/>
        <v>6600.307142857142</v>
      </c>
      <c r="AT217" s="192">
        <f t="shared" si="66"/>
        <v>6600.307142857142</v>
      </c>
      <c r="AU217" s="192">
        <f t="shared" si="67"/>
        <v>7700.3583333338393</v>
      </c>
      <c r="AV217" s="192">
        <f t="shared" si="68"/>
        <v>14300.665476190981</v>
      </c>
      <c r="AW217" s="191">
        <f t="shared" si="69"/>
        <v>31901.48452380902</v>
      </c>
      <c r="AX217" s="190" t="s">
        <v>72</v>
      </c>
      <c r="AY217" s="184"/>
    </row>
    <row r="218" spans="2:51">
      <c r="B218" s="198">
        <v>2183</v>
      </c>
      <c r="C218" s="199">
        <v>274959</v>
      </c>
      <c r="D218" s="198" t="s">
        <v>989</v>
      </c>
      <c r="E218" s="198" t="s">
        <v>2003</v>
      </c>
      <c r="F218" s="198" t="s">
        <v>881</v>
      </c>
      <c r="G218" s="198"/>
      <c r="H218" s="198"/>
      <c r="I218" s="200">
        <v>702</v>
      </c>
      <c r="J218" s="198"/>
      <c r="K218" s="200">
        <v>0</v>
      </c>
      <c r="L218" s="198" t="s">
        <v>1001</v>
      </c>
      <c r="M218" s="198"/>
      <c r="N218" s="198" t="s">
        <v>2190</v>
      </c>
      <c r="O218" s="198" t="s">
        <v>2184</v>
      </c>
      <c r="P218" s="198"/>
      <c r="Q218" s="198"/>
      <c r="R218" s="198"/>
      <c r="S218" s="201">
        <v>44599</v>
      </c>
      <c r="T218" s="201">
        <v>44599</v>
      </c>
      <c r="U218" s="198" t="s">
        <v>1888</v>
      </c>
      <c r="V218" s="198">
        <v>700</v>
      </c>
      <c r="W218" s="198">
        <v>14050</v>
      </c>
      <c r="X218" s="202">
        <v>46202.16</v>
      </c>
      <c r="Y218" s="198">
        <v>14056</v>
      </c>
      <c r="Z218" s="202">
        <v>14850.71</v>
      </c>
      <c r="AA218" s="202">
        <v>0</v>
      </c>
      <c r="AB218" s="202">
        <v>31351.450000000004</v>
      </c>
      <c r="AC218" s="202">
        <v>2200.12</v>
      </c>
      <c r="AD218" s="198">
        <v>54260</v>
      </c>
      <c r="AE218" s="202">
        <v>550.03</v>
      </c>
      <c r="AF218" s="202">
        <v>0</v>
      </c>
      <c r="AG218" s="202">
        <v>550.03</v>
      </c>
      <c r="AH218" s="198" t="s">
        <v>989</v>
      </c>
      <c r="AI218" s="198"/>
      <c r="AJ218" s="198"/>
      <c r="AK218" s="198">
        <v>0</v>
      </c>
      <c r="AL218" s="198" t="s">
        <v>2301</v>
      </c>
      <c r="AM218" s="198" t="s">
        <v>933</v>
      </c>
      <c r="AN218" s="196">
        <f t="shared" si="60"/>
        <v>2</v>
      </c>
      <c r="AO218" s="196">
        <f t="shared" si="61"/>
        <v>2022</v>
      </c>
      <c r="AP218" s="195">
        <f t="shared" si="62"/>
        <v>2029</v>
      </c>
      <c r="AQ218" s="194">
        <f t="shared" si="63"/>
        <v>2029.1666666666667</v>
      </c>
      <c r="AR218" s="193">
        <f t="shared" si="64"/>
        <v>550.02571428571434</v>
      </c>
      <c r="AS218" s="192">
        <f t="shared" si="65"/>
        <v>6600.3085714285717</v>
      </c>
      <c r="AT218" s="192">
        <f t="shared" si="66"/>
        <v>6600.3085714285717</v>
      </c>
      <c r="AU218" s="192">
        <f t="shared" si="67"/>
        <v>8250.3857142857159</v>
      </c>
      <c r="AV218" s="192">
        <f t="shared" si="68"/>
        <v>14850.694285714288</v>
      </c>
      <c r="AW218" s="191">
        <f t="shared" si="69"/>
        <v>31351.465714285718</v>
      </c>
      <c r="AX218" s="190" t="s">
        <v>72</v>
      </c>
      <c r="AY218" s="184"/>
    </row>
    <row r="219" spans="2:51">
      <c r="B219" s="198">
        <v>2183</v>
      </c>
      <c r="C219" s="199">
        <v>274958</v>
      </c>
      <c r="D219" s="198" t="s">
        <v>989</v>
      </c>
      <c r="E219" s="198" t="s">
        <v>2003</v>
      </c>
      <c r="F219" s="198" t="s">
        <v>880</v>
      </c>
      <c r="G219" s="198"/>
      <c r="H219" s="198"/>
      <c r="I219" s="200">
        <v>702</v>
      </c>
      <c r="J219" s="198"/>
      <c r="K219" s="200">
        <v>0</v>
      </c>
      <c r="L219" s="198" t="s">
        <v>1001</v>
      </c>
      <c r="M219" s="198"/>
      <c r="N219" s="198" t="s">
        <v>2190</v>
      </c>
      <c r="O219" s="198" t="s">
        <v>2184</v>
      </c>
      <c r="P219" s="198"/>
      <c r="Q219" s="198"/>
      <c r="R219" s="198"/>
      <c r="S219" s="201">
        <v>44599</v>
      </c>
      <c r="T219" s="201">
        <v>44599</v>
      </c>
      <c r="U219" s="198" t="s">
        <v>1888</v>
      </c>
      <c r="V219" s="198">
        <v>700</v>
      </c>
      <c r="W219" s="198">
        <v>14050</v>
      </c>
      <c r="X219" s="202">
        <v>46202.16</v>
      </c>
      <c r="Y219" s="198">
        <v>14056</v>
      </c>
      <c r="Z219" s="202">
        <v>14850.71</v>
      </c>
      <c r="AA219" s="202">
        <v>0</v>
      </c>
      <c r="AB219" s="202">
        <v>31351.450000000004</v>
      </c>
      <c r="AC219" s="202">
        <v>2200.12</v>
      </c>
      <c r="AD219" s="198">
        <v>54260</v>
      </c>
      <c r="AE219" s="202">
        <v>550.03</v>
      </c>
      <c r="AF219" s="202">
        <v>0</v>
      </c>
      <c r="AG219" s="202">
        <v>550.03</v>
      </c>
      <c r="AH219" s="198" t="s">
        <v>989</v>
      </c>
      <c r="AI219" s="198"/>
      <c r="AJ219" s="198"/>
      <c r="AK219" s="198">
        <v>0</v>
      </c>
      <c r="AL219" s="198" t="s">
        <v>424</v>
      </c>
      <c r="AM219" s="198" t="s">
        <v>424</v>
      </c>
      <c r="AN219" s="196">
        <f t="shared" si="60"/>
        <v>2</v>
      </c>
      <c r="AO219" s="196">
        <f t="shared" si="61"/>
        <v>2022</v>
      </c>
      <c r="AP219" s="195">
        <f t="shared" si="62"/>
        <v>2029</v>
      </c>
      <c r="AQ219" s="194">
        <f t="shared" si="63"/>
        <v>2029.1666666666667</v>
      </c>
      <c r="AR219" s="193">
        <f t="shared" si="64"/>
        <v>550.02571428571434</v>
      </c>
      <c r="AS219" s="192">
        <f t="shared" si="65"/>
        <v>6600.3085714285717</v>
      </c>
      <c r="AT219" s="192">
        <f t="shared" si="66"/>
        <v>6600.3085714285717</v>
      </c>
      <c r="AU219" s="192">
        <f t="shared" si="67"/>
        <v>8250.3857142857159</v>
      </c>
      <c r="AV219" s="192">
        <f t="shared" si="68"/>
        <v>14850.694285714288</v>
      </c>
      <c r="AW219" s="191">
        <f t="shared" si="69"/>
        <v>31351.465714285718</v>
      </c>
      <c r="AX219" s="190" t="s">
        <v>72</v>
      </c>
      <c r="AY219" s="184"/>
    </row>
    <row r="220" spans="2:51">
      <c r="B220" s="198">
        <v>2183</v>
      </c>
      <c r="C220" s="199">
        <v>273624</v>
      </c>
      <c r="D220" s="198" t="s">
        <v>989</v>
      </c>
      <c r="E220" s="198" t="s">
        <v>2003</v>
      </c>
      <c r="F220" s="198" t="s">
        <v>1887</v>
      </c>
      <c r="G220" s="198"/>
      <c r="H220" s="198"/>
      <c r="I220" s="200">
        <v>143</v>
      </c>
      <c r="J220" s="198"/>
      <c r="K220" s="200">
        <v>0</v>
      </c>
      <c r="L220" s="198"/>
      <c r="M220" s="198"/>
      <c r="N220" s="198" t="s">
        <v>2199</v>
      </c>
      <c r="O220" s="198" t="s">
        <v>2184</v>
      </c>
      <c r="P220" s="198"/>
      <c r="Q220" s="198"/>
      <c r="R220" s="198"/>
      <c r="S220" s="201">
        <v>44592</v>
      </c>
      <c r="T220" s="201">
        <v>44592</v>
      </c>
      <c r="U220" s="198" t="s">
        <v>1886</v>
      </c>
      <c r="V220" s="198">
        <v>100</v>
      </c>
      <c r="W220" s="198">
        <v>14110</v>
      </c>
      <c r="X220" s="202">
        <v>18320.16</v>
      </c>
      <c r="Y220" s="198">
        <v>14116</v>
      </c>
      <c r="Z220" s="202">
        <v>18320.16</v>
      </c>
      <c r="AA220" s="202">
        <v>0</v>
      </c>
      <c r="AB220" s="202">
        <v>0</v>
      </c>
      <c r="AC220" s="202">
        <v>0</v>
      </c>
      <c r="AD220" s="198">
        <v>70260</v>
      </c>
      <c r="AE220" s="202">
        <v>0</v>
      </c>
      <c r="AF220" s="202">
        <v>0</v>
      </c>
      <c r="AG220" s="202">
        <v>0</v>
      </c>
      <c r="AH220" s="198" t="s">
        <v>989</v>
      </c>
      <c r="AI220" s="198"/>
      <c r="AJ220" s="198"/>
      <c r="AK220" s="198">
        <v>0</v>
      </c>
      <c r="AL220" s="198" t="s">
        <v>932</v>
      </c>
      <c r="AM220" s="198" t="s">
        <v>932</v>
      </c>
      <c r="AN220" s="196">
        <f t="shared" si="60"/>
        <v>1</v>
      </c>
      <c r="AO220" s="196">
        <f t="shared" si="61"/>
        <v>2022</v>
      </c>
      <c r="AP220" s="195">
        <f t="shared" si="62"/>
        <v>2023</v>
      </c>
      <c r="AQ220" s="194">
        <f t="shared" si="63"/>
        <v>2023.0833333333333</v>
      </c>
      <c r="AR220" s="193">
        <f t="shared" si="64"/>
        <v>1526.68</v>
      </c>
      <c r="AS220" s="192">
        <f t="shared" si="65"/>
        <v>18320.16</v>
      </c>
      <c r="AT220" s="192">
        <f t="shared" si="66"/>
        <v>0</v>
      </c>
      <c r="AU220" s="192">
        <f t="shared" si="67"/>
        <v>18320.16</v>
      </c>
      <c r="AV220" s="192">
        <f t="shared" si="68"/>
        <v>18320.16</v>
      </c>
      <c r="AW220" s="191">
        <f t="shared" si="69"/>
        <v>0</v>
      </c>
      <c r="AX220" s="190" t="s">
        <v>72</v>
      </c>
      <c r="AY220" s="184"/>
    </row>
    <row r="221" spans="2:51">
      <c r="B221" s="198">
        <v>2183</v>
      </c>
      <c r="C221" s="199">
        <v>272996</v>
      </c>
      <c r="D221" s="198" t="s">
        <v>989</v>
      </c>
      <c r="E221" s="198" t="s">
        <v>2003</v>
      </c>
      <c r="F221" s="198" t="s">
        <v>1885</v>
      </c>
      <c r="G221" s="198"/>
      <c r="H221" s="198"/>
      <c r="I221" s="200">
        <v>40</v>
      </c>
      <c r="J221" s="198"/>
      <c r="K221" s="200">
        <v>0</v>
      </c>
      <c r="L221" s="198" t="s">
        <v>1018</v>
      </c>
      <c r="M221" s="198"/>
      <c r="N221" s="198" t="s">
        <v>2190</v>
      </c>
      <c r="O221" s="198" t="s">
        <v>2184</v>
      </c>
      <c r="P221" s="198"/>
      <c r="Q221" s="198" t="s">
        <v>2208</v>
      </c>
      <c r="R221" s="198" t="s">
        <v>2195</v>
      </c>
      <c r="S221" s="201">
        <v>44567</v>
      </c>
      <c r="T221" s="201">
        <v>44567</v>
      </c>
      <c r="U221" s="198" t="s">
        <v>1884</v>
      </c>
      <c r="V221" s="198">
        <v>1200</v>
      </c>
      <c r="W221" s="198">
        <v>14050</v>
      </c>
      <c r="X221" s="202">
        <v>37796.28</v>
      </c>
      <c r="Y221" s="198">
        <v>14056</v>
      </c>
      <c r="Z221" s="202">
        <v>7349.26</v>
      </c>
      <c r="AA221" s="202">
        <v>0</v>
      </c>
      <c r="AB221" s="202">
        <v>30447.019999999997</v>
      </c>
      <c r="AC221" s="202">
        <v>1049.8800000000001</v>
      </c>
      <c r="AD221" s="198">
        <v>54260</v>
      </c>
      <c r="AE221" s="202">
        <v>262.47000000000003</v>
      </c>
      <c r="AF221" s="202">
        <v>0</v>
      </c>
      <c r="AG221" s="202">
        <v>262.47000000000003</v>
      </c>
      <c r="AH221" s="198" t="s">
        <v>989</v>
      </c>
      <c r="AI221" s="198"/>
      <c r="AJ221" s="198"/>
      <c r="AK221" s="198">
        <v>0</v>
      </c>
      <c r="AL221" s="198" t="s">
        <v>930</v>
      </c>
      <c r="AM221" s="198" t="s">
        <v>930</v>
      </c>
      <c r="AN221" s="196">
        <f t="shared" si="60"/>
        <v>1</v>
      </c>
      <c r="AO221" s="196">
        <f t="shared" si="61"/>
        <v>2022</v>
      </c>
      <c r="AP221" s="195">
        <f t="shared" si="62"/>
        <v>2034</v>
      </c>
      <c r="AQ221" s="194">
        <f t="shared" si="63"/>
        <v>2034.0833333333333</v>
      </c>
      <c r="AR221" s="193">
        <f t="shared" si="64"/>
        <v>262.47416666666669</v>
      </c>
      <c r="AS221" s="192">
        <f t="shared" si="65"/>
        <v>3149.6900000000005</v>
      </c>
      <c r="AT221" s="192">
        <f t="shared" si="66"/>
        <v>3149.6900000000005</v>
      </c>
      <c r="AU221" s="192">
        <f t="shared" si="67"/>
        <v>4199.5866666671427</v>
      </c>
      <c r="AV221" s="192">
        <f t="shared" si="68"/>
        <v>7349.2766666671432</v>
      </c>
      <c r="AW221" s="191">
        <f t="shared" si="69"/>
        <v>30447.003333332854</v>
      </c>
      <c r="AX221" s="190" t="s">
        <v>72</v>
      </c>
      <c r="AY221" s="184"/>
    </row>
    <row r="222" spans="2:51" hidden="1">
      <c r="B222" s="198">
        <v>2183</v>
      </c>
      <c r="C222" s="199">
        <v>272790</v>
      </c>
      <c r="D222" s="198">
        <v>264419</v>
      </c>
      <c r="E222" s="198" t="s">
        <v>2003</v>
      </c>
      <c r="F222" s="198" t="s">
        <v>1883</v>
      </c>
      <c r="G222" s="198"/>
      <c r="H222" s="198"/>
      <c r="I222" s="200">
        <v>3</v>
      </c>
      <c r="J222" s="198"/>
      <c r="K222" s="200">
        <v>0</v>
      </c>
      <c r="L222" s="198" t="s">
        <v>1037</v>
      </c>
      <c r="M222" s="198"/>
      <c r="N222" s="198" t="s">
        <v>2198</v>
      </c>
      <c r="O222" s="198" t="s">
        <v>2184</v>
      </c>
      <c r="P222" s="198"/>
      <c r="Q222" s="198"/>
      <c r="R222" s="198"/>
      <c r="S222" s="201">
        <v>44563</v>
      </c>
      <c r="T222" s="201">
        <v>44563</v>
      </c>
      <c r="U222" s="198" t="s">
        <v>1882</v>
      </c>
      <c r="V222" s="198">
        <v>500</v>
      </c>
      <c r="W222" s="198">
        <v>14070</v>
      </c>
      <c r="X222" s="202">
        <v>3416.18</v>
      </c>
      <c r="Y222" s="198">
        <v>14076</v>
      </c>
      <c r="Z222" s="202">
        <v>1594.24</v>
      </c>
      <c r="AA222" s="202">
        <v>0</v>
      </c>
      <c r="AB222" s="202">
        <v>1821.9399999999998</v>
      </c>
      <c r="AC222" s="202">
        <v>227.76</v>
      </c>
      <c r="AD222" s="198">
        <v>51260</v>
      </c>
      <c r="AE222" s="202">
        <v>56.94</v>
      </c>
      <c r="AF222" s="202">
        <v>0</v>
      </c>
      <c r="AG222" s="202">
        <v>56.94</v>
      </c>
      <c r="AH222" s="198" t="s">
        <v>989</v>
      </c>
      <c r="AI222" s="198"/>
      <c r="AJ222" s="198"/>
      <c r="AK222" s="198">
        <v>3720</v>
      </c>
      <c r="AL222" s="198" t="s">
        <v>1857</v>
      </c>
      <c r="AM222" s="198" t="s">
        <v>1857</v>
      </c>
      <c r="AN222" s="196">
        <f t="shared" si="60"/>
        <v>1</v>
      </c>
      <c r="AO222" s="196">
        <f t="shared" si="61"/>
        <v>2022</v>
      </c>
      <c r="AP222" s="195">
        <f t="shared" si="62"/>
        <v>2027</v>
      </c>
      <c r="AQ222" s="194">
        <f t="shared" si="63"/>
        <v>2027.0833333333333</v>
      </c>
      <c r="AR222" s="193">
        <f t="shared" si="64"/>
        <v>56.93633333333333</v>
      </c>
      <c r="AS222" s="192">
        <f t="shared" si="65"/>
        <v>683.23599999999999</v>
      </c>
      <c r="AT222" s="192">
        <f t="shared" si="66"/>
        <v>683.23599999999999</v>
      </c>
      <c r="AU222" s="192">
        <f t="shared" si="67"/>
        <v>910.98133333343685</v>
      </c>
      <c r="AV222" s="192">
        <f t="shared" si="68"/>
        <v>1594.2173333334367</v>
      </c>
      <c r="AW222" s="191">
        <f t="shared" si="69"/>
        <v>1821.9626666665631</v>
      </c>
      <c r="AX222" s="190" t="s">
        <v>72</v>
      </c>
      <c r="AY222" s="184"/>
    </row>
    <row r="223" spans="2:51">
      <c r="B223" s="198">
        <v>2183</v>
      </c>
      <c r="C223" s="199">
        <v>272576</v>
      </c>
      <c r="D223" s="198" t="s">
        <v>989</v>
      </c>
      <c r="E223" s="198" t="s">
        <v>2003</v>
      </c>
      <c r="F223" s="198" t="s">
        <v>1881</v>
      </c>
      <c r="G223" s="198"/>
      <c r="H223" s="198"/>
      <c r="I223" s="200">
        <v>20</v>
      </c>
      <c r="J223" s="198"/>
      <c r="K223" s="200">
        <v>0</v>
      </c>
      <c r="L223" s="198" t="s">
        <v>1018</v>
      </c>
      <c r="M223" s="198"/>
      <c r="N223" s="198" t="s">
        <v>2190</v>
      </c>
      <c r="O223" s="198" t="s">
        <v>2184</v>
      </c>
      <c r="P223" s="198"/>
      <c r="Q223" s="198" t="s">
        <v>2203</v>
      </c>
      <c r="R223" s="198" t="s">
        <v>2195</v>
      </c>
      <c r="S223" s="201">
        <v>44563</v>
      </c>
      <c r="T223" s="201">
        <v>44563</v>
      </c>
      <c r="U223" s="198" t="s">
        <v>1879</v>
      </c>
      <c r="V223" s="198">
        <v>1200</v>
      </c>
      <c r="W223" s="198">
        <v>14050</v>
      </c>
      <c r="X223" s="202">
        <v>20923.3</v>
      </c>
      <c r="Y223" s="198">
        <v>14056</v>
      </c>
      <c r="Z223" s="202">
        <v>4068.38</v>
      </c>
      <c r="AA223" s="202">
        <v>0</v>
      </c>
      <c r="AB223" s="202">
        <v>16854.919999999998</v>
      </c>
      <c r="AC223" s="202">
        <v>581.20000000000005</v>
      </c>
      <c r="AD223" s="198">
        <v>54260</v>
      </c>
      <c r="AE223" s="202">
        <v>145.30000000000001</v>
      </c>
      <c r="AF223" s="202">
        <v>0</v>
      </c>
      <c r="AG223" s="202">
        <v>145.30000000000001</v>
      </c>
      <c r="AH223" s="198" t="s">
        <v>989</v>
      </c>
      <c r="AI223" s="198"/>
      <c r="AJ223" s="198"/>
      <c r="AK223" s="198">
        <v>0</v>
      </c>
      <c r="AL223" s="198" t="s">
        <v>930</v>
      </c>
      <c r="AM223" s="198" t="s">
        <v>930</v>
      </c>
      <c r="AN223" s="196">
        <f t="shared" si="60"/>
        <v>1</v>
      </c>
      <c r="AO223" s="196">
        <f t="shared" si="61"/>
        <v>2022</v>
      </c>
      <c r="AP223" s="195">
        <f t="shared" si="62"/>
        <v>2034</v>
      </c>
      <c r="AQ223" s="194">
        <f t="shared" si="63"/>
        <v>2034.0833333333333</v>
      </c>
      <c r="AR223" s="193">
        <f t="shared" si="64"/>
        <v>145.30069444444445</v>
      </c>
      <c r="AS223" s="192">
        <f t="shared" si="65"/>
        <v>1743.6083333333333</v>
      </c>
      <c r="AT223" s="192">
        <f t="shared" si="66"/>
        <v>1743.6083333333333</v>
      </c>
      <c r="AU223" s="192">
        <f t="shared" si="67"/>
        <v>2324.8111111113758</v>
      </c>
      <c r="AV223" s="192">
        <f t="shared" si="68"/>
        <v>4068.4194444447094</v>
      </c>
      <c r="AW223" s="191">
        <f t="shared" si="69"/>
        <v>16854.88055555529</v>
      </c>
      <c r="AX223" s="190" t="s">
        <v>72</v>
      </c>
      <c r="AY223" s="184"/>
    </row>
    <row r="224" spans="2:51">
      <c r="B224" s="198">
        <v>2183</v>
      </c>
      <c r="C224" s="199">
        <v>272358</v>
      </c>
      <c r="D224" s="198" t="s">
        <v>989</v>
      </c>
      <c r="E224" s="198" t="s">
        <v>2003</v>
      </c>
      <c r="F224" s="198" t="s">
        <v>1876</v>
      </c>
      <c r="G224" s="198"/>
      <c r="H224" s="198"/>
      <c r="I224" s="200">
        <v>1</v>
      </c>
      <c r="J224" s="198" t="s">
        <v>1878</v>
      </c>
      <c r="K224" s="200">
        <v>2022</v>
      </c>
      <c r="L224" s="198" t="s">
        <v>1097</v>
      </c>
      <c r="M224" s="198" t="s">
        <v>1098</v>
      </c>
      <c r="N224" s="198" t="s">
        <v>2183</v>
      </c>
      <c r="O224" s="198" t="s">
        <v>2184</v>
      </c>
      <c r="P224" s="198" t="s">
        <v>2186</v>
      </c>
      <c r="Q224" s="198"/>
      <c r="R224" s="198"/>
      <c r="S224" s="201">
        <v>44563</v>
      </c>
      <c r="T224" s="201">
        <v>44563</v>
      </c>
      <c r="U224" s="198" t="s">
        <v>1877</v>
      </c>
      <c r="V224" s="198">
        <v>1000</v>
      </c>
      <c r="W224" s="198">
        <v>14040</v>
      </c>
      <c r="X224" s="202">
        <v>318571.82</v>
      </c>
      <c r="Y224" s="198">
        <v>14046</v>
      </c>
      <c r="Z224" s="202">
        <v>74333.440000000002</v>
      </c>
      <c r="AA224" s="202">
        <v>0</v>
      </c>
      <c r="AB224" s="202">
        <v>244238.38</v>
      </c>
      <c r="AC224" s="202">
        <v>10619.08</v>
      </c>
      <c r="AD224" s="198">
        <v>51260</v>
      </c>
      <c r="AE224" s="202">
        <v>2654.77</v>
      </c>
      <c r="AF224" s="202">
        <v>0</v>
      </c>
      <c r="AG224" s="202">
        <v>2654.77</v>
      </c>
      <c r="AH224" s="198" t="s">
        <v>989</v>
      </c>
      <c r="AI224" s="198"/>
      <c r="AJ224" s="198">
        <v>1093</v>
      </c>
      <c r="AK224" s="198">
        <v>1093</v>
      </c>
      <c r="AL224" s="198" t="s">
        <v>1852</v>
      </c>
      <c r="AM224" s="198" t="s">
        <v>1852</v>
      </c>
      <c r="AN224" s="196">
        <f t="shared" si="60"/>
        <v>1</v>
      </c>
      <c r="AO224" s="196">
        <f t="shared" si="61"/>
        <v>2022</v>
      </c>
      <c r="AP224" s="195">
        <f t="shared" si="62"/>
        <v>2032</v>
      </c>
      <c r="AQ224" s="194">
        <f t="shared" si="63"/>
        <v>2032.0833333333333</v>
      </c>
      <c r="AR224" s="193">
        <f t="shared" si="64"/>
        <v>2654.7651666666666</v>
      </c>
      <c r="AS224" s="192">
        <f t="shared" si="65"/>
        <v>31857.182000000001</v>
      </c>
      <c r="AT224" s="192">
        <f t="shared" si="66"/>
        <v>31857.182000000001</v>
      </c>
      <c r="AU224" s="192">
        <f t="shared" si="67"/>
        <v>42476.242666671518</v>
      </c>
      <c r="AV224" s="192">
        <f t="shared" si="68"/>
        <v>74333.424666671519</v>
      </c>
      <c r="AW224" s="191">
        <f t="shared" si="69"/>
        <v>244238.39533332849</v>
      </c>
      <c r="AX224" s="190" t="s">
        <v>72</v>
      </c>
      <c r="AY224" s="184"/>
    </row>
    <row r="225" spans="2:51">
      <c r="B225" s="198">
        <v>2183</v>
      </c>
      <c r="C225" s="199">
        <v>272357</v>
      </c>
      <c r="D225" s="198" t="s">
        <v>989</v>
      </c>
      <c r="E225" s="198" t="s">
        <v>2003</v>
      </c>
      <c r="F225" s="198" t="s">
        <v>1876</v>
      </c>
      <c r="G225" s="198"/>
      <c r="H225" s="198"/>
      <c r="I225" s="200">
        <v>1</v>
      </c>
      <c r="J225" s="198" t="s">
        <v>1875</v>
      </c>
      <c r="K225" s="200">
        <v>2022</v>
      </c>
      <c r="L225" s="198" t="s">
        <v>1097</v>
      </c>
      <c r="M225" s="198" t="s">
        <v>1098</v>
      </c>
      <c r="N225" s="198" t="s">
        <v>2183</v>
      </c>
      <c r="O225" s="198" t="s">
        <v>2184</v>
      </c>
      <c r="P225" s="198" t="s">
        <v>2186</v>
      </c>
      <c r="Q225" s="198"/>
      <c r="R225" s="198"/>
      <c r="S225" s="201">
        <v>44563</v>
      </c>
      <c r="T225" s="201">
        <v>44563</v>
      </c>
      <c r="U225" s="198" t="s">
        <v>1874</v>
      </c>
      <c r="V225" s="198">
        <v>1000</v>
      </c>
      <c r="W225" s="198">
        <v>14040</v>
      </c>
      <c r="X225" s="202">
        <v>306118.53000000003</v>
      </c>
      <c r="Y225" s="198">
        <v>14046</v>
      </c>
      <c r="Z225" s="202">
        <v>71427.66</v>
      </c>
      <c r="AA225" s="202">
        <v>0</v>
      </c>
      <c r="AB225" s="202">
        <v>234690.87000000002</v>
      </c>
      <c r="AC225" s="202">
        <v>10203.959999999999</v>
      </c>
      <c r="AD225" s="198">
        <v>51260</v>
      </c>
      <c r="AE225" s="202">
        <v>2550.9899999999998</v>
      </c>
      <c r="AF225" s="202">
        <v>0</v>
      </c>
      <c r="AG225" s="202">
        <v>2550.9899999999998</v>
      </c>
      <c r="AH225" s="198" t="s">
        <v>989</v>
      </c>
      <c r="AI225" s="198"/>
      <c r="AJ225" s="198">
        <v>1092</v>
      </c>
      <c r="AK225" s="198">
        <v>1092</v>
      </c>
      <c r="AL225" s="198" t="s">
        <v>1852</v>
      </c>
      <c r="AM225" s="198" t="s">
        <v>1852</v>
      </c>
      <c r="AN225" s="196">
        <f t="shared" si="60"/>
        <v>1</v>
      </c>
      <c r="AO225" s="196">
        <f t="shared" si="61"/>
        <v>2022</v>
      </c>
      <c r="AP225" s="195">
        <f t="shared" si="62"/>
        <v>2032</v>
      </c>
      <c r="AQ225" s="194">
        <f t="shared" si="63"/>
        <v>2032.0833333333333</v>
      </c>
      <c r="AR225" s="193">
        <f t="shared" si="64"/>
        <v>2550.9877500000002</v>
      </c>
      <c r="AS225" s="192">
        <f t="shared" si="65"/>
        <v>30611.853000000003</v>
      </c>
      <c r="AT225" s="192">
        <f t="shared" si="66"/>
        <v>30611.853000000003</v>
      </c>
      <c r="AU225" s="192">
        <f t="shared" si="67"/>
        <v>40815.80400000466</v>
      </c>
      <c r="AV225" s="192">
        <f t="shared" si="68"/>
        <v>71427.657000004663</v>
      </c>
      <c r="AW225" s="191">
        <f t="shared" si="69"/>
        <v>234690.87299999536</v>
      </c>
      <c r="AX225" s="190" t="s">
        <v>72</v>
      </c>
      <c r="AY225" s="184"/>
    </row>
    <row r="226" spans="2:51">
      <c r="B226" s="198">
        <v>2183</v>
      </c>
      <c r="C226" s="199">
        <v>270758</v>
      </c>
      <c r="D226" s="198" t="s">
        <v>989</v>
      </c>
      <c r="E226" s="198" t="s">
        <v>2003</v>
      </c>
      <c r="F226" s="198" t="s">
        <v>1869</v>
      </c>
      <c r="G226" s="198"/>
      <c r="H226" s="198"/>
      <c r="I226" s="200">
        <v>1</v>
      </c>
      <c r="J226" s="198"/>
      <c r="K226" s="200">
        <v>0</v>
      </c>
      <c r="L226" s="198"/>
      <c r="M226" s="198"/>
      <c r="N226" s="198" t="s">
        <v>2198</v>
      </c>
      <c r="O226" s="198" t="s">
        <v>2184</v>
      </c>
      <c r="P226" s="198"/>
      <c r="Q226" s="198"/>
      <c r="R226" s="198"/>
      <c r="S226" s="201">
        <v>44561</v>
      </c>
      <c r="T226" s="201">
        <v>44561</v>
      </c>
      <c r="U226" s="198" t="s">
        <v>1864</v>
      </c>
      <c r="V226" s="198">
        <v>500</v>
      </c>
      <c r="W226" s="198">
        <v>14070</v>
      </c>
      <c r="X226" s="202">
        <v>44854</v>
      </c>
      <c r="Y226" s="198">
        <v>14076</v>
      </c>
      <c r="Z226" s="202">
        <v>20931.88</v>
      </c>
      <c r="AA226" s="202">
        <v>0</v>
      </c>
      <c r="AB226" s="202">
        <v>23922.12</v>
      </c>
      <c r="AC226" s="202">
        <v>2990.28</v>
      </c>
      <c r="AD226" s="198">
        <v>51260</v>
      </c>
      <c r="AE226" s="202">
        <v>747.57</v>
      </c>
      <c r="AF226" s="202">
        <v>0</v>
      </c>
      <c r="AG226" s="202">
        <v>747.57</v>
      </c>
      <c r="AH226" s="198" t="s">
        <v>989</v>
      </c>
      <c r="AI226" s="198"/>
      <c r="AJ226" s="198"/>
      <c r="AK226" s="198">
        <v>0</v>
      </c>
      <c r="AL226" s="198" t="s">
        <v>932</v>
      </c>
      <c r="AM226" s="198" t="s">
        <v>932</v>
      </c>
      <c r="AN226" s="196">
        <f t="shared" si="60"/>
        <v>12</v>
      </c>
      <c r="AO226" s="196">
        <f t="shared" si="61"/>
        <v>2021</v>
      </c>
      <c r="AP226" s="195">
        <f t="shared" si="62"/>
        <v>2026</v>
      </c>
      <c r="AQ226" s="194">
        <f t="shared" si="63"/>
        <v>2027</v>
      </c>
      <c r="AR226" s="193">
        <f t="shared" si="64"/>
        <v>747.56666666666661</v>
      </c>
      <c r="AS226" s="192">
        <f t="shared" si="65"/>
        <v>8970.7999999999993</v>
      </c>
      <c r="AT226" s="192">
        <f t="shared" si="66"/>
        <v>8970.7999999999993</v>
      </c>
      <c r="AU226" s="192">
        <f t="shared" si="67"/>
        <v>12708.633333334015</v>
      </c>
      <c r="AV226" s="192">
        <f t="shared" si="68"/>
        <v>21679.433333334015</v>
      </c>
      <c r="AW226" s="191">
        <f t="shared" si="69"/>
        <v>23174.566666665985</v>
      </c>
      <c r="AX226" s="190" t="s">
        <v>72</v>
      </c>
      <c r="AY226" s="184"/>
    </row>
    <row r="227" spans="2:51">
      <c r="B227" s="198">
        <v>2183</v>
      </c>
      <c r="C227" s="199">
        <v>270732</v>
      </c>
      <c r="D227" s="198" t="s">
        <v>989</v>
      </c>
      <c r="E227" s="198" t="s">
        <v>2003</v>
      </c>
      <c r="F227" s="198" t="s">
        <v>1868</v>
      </c>
      <c r="G227" s="198"/>
      <c r="H227" s="198"/>
      <c r="I227" s="200">
        <v>1</v>
      </c>
      <c r="J227" s="198"/>
      <c r="K227" s="200">
        <v>0</v>
      </c>
      <c r="L227" s="198"/>
      <c r="M227" s="198"/>
      <c r="N227" s="198" t="s">
        <v>2198</v>
      </c>
      <c r="O227" s="198" t="s">
        <v>2184</v>
      </c>
      <c r="P227" s="198"/>
      <c r="Q227" s="198"/>
      <c r="R227" s="198"/>
      <c r="S227" s="201">
        <v>44561</v>
      </c>
      <c r="T227" s="201">
        <v>44561</v>
      </c>
      <c r="U227" s="198" t="s">
        <v>1864</v>
      </c>
      <c r="V227" s="198">
        <v>500</v>
      </c>
      <c r="W227" s="198">
        <v>14070</v>
      </c>
      <c r="X227" s="202">
        <v>428.86</v>
      </c>
      <c r="Y227" s="198">
        <v>14076</v>
      </c>
      <c r="Z227" s="202">
        <v>200.14</v>
      </c>
      <c r="AA227" s="202">
        <v>0</v>
      </c>
      <c r="AB227" s="202">
        <v>228.72000000000003</v>
      </c>
      <c r="AC227" s="202">
        <v>28.6</v>
      </c>
      <c r="AD227" s="198">
        <v>51260</v>
      </c>
      <c r="AE227" s="202">
        <v>7.15</v>
      </c>
      <c r="AF227" s="202">
        <v>0</v>
      </c>
      <c r="AG227" s="202">
        <v>7.15</v>
      </c>
      <c r="AH227" s="198" t="s">
        <v>989</v>
      </c>
      <c r="AI227" s="198"/>
      <c r="AJ227" s="198"/>
      <c r="AK227" s="198">
        <v>0</v>
      </c>
      <c r="AL227" s="198" t="s">
        <v>932</v>
      </c>
      <c r="AM227" s="198" t="s">
        <v>932</v>
      </c>
      <c r="AN227" s="196">
        <f t="shared" si="60"/>
        <v>12</v>
      </c>
      <c r="AO227" s="196">
        <f t="shared" si="61"/>
        <v>2021</v>
      </c>
      <c r="AP227" s="195">
        <f t="shared" si="62"/>
        <v>2026</v>
      </c>
      <c r="AQ227" s="194">
        <f t="shared" si="63"/>
        <v>2027</v>
      </c>
      <c r="AR227" s="193">
        <f t="shared" si="64"/>
        <v>7.1476666666666668</v>
      </c>
      <c r="AS227" s="192">
        <f t="shared" si="65"/>
        <v>85.772000000000006</v>
      </c>
      <c r="AT227" s="192">
        <f t="shared" si="66"/>
        <v>85.772000000000006</v>
      </c>
      <c r="AU227" s="192">
        <f t="shared" si="67"/>
        <v>121.51033333333982</v>
      </c>
      <c r="AV227" s="192">
        <f t="shared" si="68"/>
        <v>207.28233333333981</v>
      </c>
      <c r="AW227" s="191">
        <f t="shared" si="69"/>
        <v>221.57766666666021</v>
      </c>
      <c r="AX227" s="190" t="s">
        <v>72</v>
      </c>
      <c r="AY227" s="184"/>
    </row>
    <row r="228" spans="2:51">
      <c r="B228" s="198">
        <v>2183</v>
      </c>
      <c r="C228" s="199">
        <v>270715</v>
      </c>
      <c r="D228" s="198" t="s">
        <v>989</v>
      </c>
      <c r="E228" s="198" t="s">
        <v>2003</v>
      </c>
      <c r="F228" s="198" t="s">
        <v>1867</v>
      </c>
      <c r="G228" s="198"/>
      <c r="H228" s="198"/>
      <c r="I228" s="200">
        <v>1</v>
      </c>
      <c r="J228" s="198"/>
      <c r="K228" s="200">
        <v>0</v>
      </c>
      <c r="L228" s="198"/>
      <c r="M228" s="198"/>
      <c r="N228" s="198" t="s">
        <v>2198</v>
      </c>
      <c r="O228" s="198" t="s">
        <v>2184</v>
      </c>
      <c r="P228" s="198"/>
      <c r="Q228" s="198"/>
      <c r="R228" s="198"/>
      <c r="S228" s="201">
        <v>44561</v>
      </c>
      <c r="T228" s="201">
        <v>44561</v>
      </c>
      <c r="U228" s="198" t="s">
        <v>1864</v>
      </c>
      <c r="V228" s="198">
        <v>500</v>
      </c>
      <c r="W228" s="198">
        <v>14070</v>
      </c>
      <c r="X228" s="202">
        <v>22513.95</v>
      </c>
      <c r="Y228" s="198">
        <v>14076</v>
      </c>
      <c r="Z228" s="202">
        <v>10506.5</v>
      </c>
      <c r="AA228" s="202">
        <v>0</v>
      </c>
      <c r="AB228" s="202">
        <v>12007.45</v>
      </c>
      <c r="AC228" s="202">
        <v>1500.92</v>
      </c>
      <c r="AD228" s="198">
        <v>51260</v>
      </c>
      <c r="AE228" s="202">
        <v>375.23</v>
      </c>
      <c r="AF228" s="202">
        <v>0</v>
      </c>
      <c r="AG228" s="202">
        <v>375.23</v>
      </c>
      <c r="AH228" s="198" t="s">
        <v>989</v>
      </c>
      <c r="AI228" s="198"/>
      <c r="AJ228" s="198"/>
      <c r="AK228" s="198">
        <v>0</v>
      </c>
      <c r="AL228" s="198" t="s">
        <v>932</v>
      </c>
      <c r="AM228" s="198" t="s">
        <v>932</v>
      </c>
      <c r="AN228" s="196">
        <f t="shared" si="60"/>
        <v>12</v>
      </c>
      <c r="AO228" s="196">
        <f t="shared" si="61"/>
        <v>2021</v>
      </c>
      <c r="AP228" s="195">
        <f t="shared" si="62"/>
        <v>2026</v>
      </c>
      <c r="AQ228" s="194">
        <f t="shared" si="63"/>
        <v>2027</v>
      </c>
      <c r="AR228" s="193">
        <f t="shared" si="64"/>
        <v>375.23250000000002</v>
      </c>
      <c r="AS228" s="192">
        <f t="shared" si="65"/>
        <v>4502.79</v>
      </c>
      <c r="AT228" s="192">
        <f t="shared" si="66"/>
        <v>4502.79</v>
      </c>
      <c r="AU228" s="192">
        <f t="shared" si="67"/>
        <v>6378.9525000003414</v>
      </c>
      <c r="AV228" s="192">
        <f t="shared" si="68"/>
        <v>10881.742500000342</v>
      </c>
      <c r="AW228" s="191">
        <f t="shared" si="69"/>
        <v>11632.207499999658</v>
      </c>
      <c r="AX228" s="190" t="s">
        <v>72</v>
      </c>
      <c r="AY228" s="184"/>
    </row>
    <row r="229" spans="2:51">
      <c r="B229" s="198">
        <v>2183</v>
      </c>
      <c r="C229" s="199">
        <v>270648</v>
      </c>
      <c r="D229" s="198" t="s">
        <v>989</v>
      </c>
      <c r="E229" s="198" t="s">
        <v>2003</v>
      </c>
      <c r="F229" s="198" t="s">
        <v>1866</v>
      </c>
      <c r="G229" s="198"/>
      <c r="H229" s="198"/>
      <c r="I229" s="200">
        <v>1</v>
      </c>
      <c r="J229" s="198"/>
      <c r="K229" s="200">
        <v>0</v>
      </c>
      <c r="L229" s="198"/>
      <c r="M229" s="198"/>
      <c r="N229" s="198" t="s">
        <v>2198</v>
      </c>
      <c r="O229" s="198" t="s">
        <v>2184</v>
      </c>
      <c r="P229" s="198"/>
      <c r="Q229" s="198"/>
      <c r="R229" s="198"/>
      <c r="S229" s="201">
        <v>44561</v>
      </c>
      <c r="T229" s="201">
        <v>44561</v>
      </c>
      <c r="U229" s="198" t="s">
        <v>1864</v>
      </c>
      <c r="V229" s="198">
        <v>500</v>
      </c>
      <c r="W229" s="198">
        <v>14070</v>
      </c>
      <c r="X229" s="202">
        <v>-2714.22</v>
      </c>
      <c r="Y229" s="198">
        <v>14076</v>
      </c>
      <c r="Z229" s="202">
        <v>-1266.6400000000001</v>
      </c>
      <c r="AA229" s="202">
        <v>0</v>
      </c>
      <c r="AB229" s="202">
        <v>-1447.5799999999997</v>
      </c>
      <c r="AC229" s="202">
        <v>-180.96</v>
      </c>
      <c r="AD229" s="198">
        <v>51260</v>
      </c>
      <c r="AE229" s="202">
        <v>-45.24</v>
      </c>
      <c r="AF229" s="202">
        <v>0</v>
      </c>
      <c r="AG229" s="202">
        <v>-45.24</v>
      </c>
      <c r="AH229" s="198" t="s">
        <v>989</v>
      </c>
      <c r="AI229" s="198"/>
      <c r="AJ229" s="198"/>
      <c r="AK229" s="198">
        <v>0</v>
      </c>
      <c r="AL229" s="198" t="s">
        <v>932</v>
      </c>
      <c r="AM229" s="198" t="s">
        <v>932</v>
      </c>
      <c r="AN229" s="196">
        <f t="shared" si="60"/>
        <v>12</v>
      </c>
      <c r="AO229" s="196">
        <f t="shared" si="61"/>
        <v>2021</v>
      </c>
      <c r="AP229" s="195">
        <f t="shared" si="62"/>
        <v>2026</v>
      </c>
      <c r="AQ229" s="194">
        <f t="shared" si="63"/>
        <v>2027</v>
      </c>
      <c r="AR229" s="193">
        <f t="shared" si="64"/>
        <v>-45.236999999999995</v>
      </c>
      <c r="AS229" s="192">
        <f t="shared" si="65"/>
        <v>-542.84399999999994</v>
      </c>
      <c r="AT229" s="192">
        <f t="shared" si="66"/>
        <v>-542.84399999999994</v>
      </c>
      <c r="AU229" s="192">
        <f t="shared" si="67"/>
        <v>-769.02900000004115</v>
      </c>
      <c r="AV229" s="192">
        <f t="shared" si="68"/>
        <v>-1311.873000000041</v>
      </c>
      <c r="AW229" s="191">
        <f t="shared" si="69"/>
        <v>-1402.3469999999588</v>
      </c>
      <c r="AX229" s="190" t="s">
        <v>72</v>
      </c>
      <c r="AY229" s="184"/>
    </row>
    <row r="230" spans="2:51">
      <c r="B230" s="198">
        <v>2183</v>
      </c>
      <c r="C230" s="199">
        <v>270644</v>
      </c>
      <c r="D230" s="198" t="s">
        <v>989</v>
      </c>
      <c r="E230" s="198" t="s">
        <v>2003</v>
      </c>
      <c r="F230" s="198" t="s">
        <v>1865</v>
      </c>
      <c r="G230" s="198"/>
      <c r="H230" s="198"/>
      <c r="I230" s="200">
        <v>102</v>
      </c>
      <c r="J230" s="198"/>
      <c r="K230" s="200">
        <v>0</v>
      </c>
      <c r="L230" s="198"/>
      <c r="M230" s="198"/>
      <c r="N230" s="198" t="s">
        <v>2198</v>
      </c>
      <c r="O230" s="198" t="s">
        <v>2184</v>
      </c>
      <c r="P230" s="198"/>
      <c r="Q230" s="198"/>
      <c r="R230" s="198"/>
      <c r="S230" s="201">
        <v>44561</v>
      </c>
      <c r="T230" s="201">
        <v>44561</v>
      </c>
      <c r="U230" s="198" t="s">
        <v>1864</v>
      </c>
      <c r="V230" s="198">
        <v>500</v>
      </c>
      <c r="W230" s="198">
        <v>14070</v>
      </c>
      <c r="X230" s="202">
        <v>24865.51</v>
      </c>
      <c r="Y230" s="198">
        <v>14076</v>
      </c>
      <c r="Z230" s="202">
        <v>11603.92</v>
      </c>
      <c r="AA230" s="202">
        <v>0</v>
      </c>
      <c r="AB230" s="202">
        <v>13261.589999999998</v>
      </c>
      <c r="AC230" s="202">
        <v>1657.72</v>
      </c>
      <c r="AD230" s="198">
        <v>51260</v>
      </c>
      <c r="AE230" s="202">
        <v>414.43</v>
      </c>
      <c r="AF230" s="202">
        <v>0</v>
      </c>
      <c r="AG230" s="202">
        <v>414.43</v>
      </c>
      <c r="AH230" s="198" t="s">
        <v>989</v>
      </c>
      <c r="AI230" s="198"/>
      <c r="AJ230" s="198"/>
      <c r="AK230" s="198">
        <v>0</v>
      </c>
      <c r="AL230" s="198" t="s">
        <v>932</v>
      </c>
      <c r="AM230" s="198" t="s">
        <v>932</v>
      </c>
      <c r="AN230" s="196">
        <f t="shared" si="60"/>
        <v>12</v>
      </c>
      <c r="AO230" s="196">
        <f t="shared" si="61"/>
        <v>2021</v>
      </c>
      <c r="AP230" s="195">
        <f t="shared" si="62"/>
        <v>2026</v>
      </c>
      <c r="AQ230" s="194">
        <f t="shared" si="63"/>
        <v>2027</v>
      </c>
      <c r="AR230" s="193">
        <f t="shared" si="64"/>
        <v>414.42516666666666</v>
      </c>
      <c r="AS230" s="192">
        <f t="shared" si="65"/>
        <v>4973.1019999999999</v>
      </c>
      <c r="AT230" s="192">
        <f t="shared" si="66"/>
        <v>4973.1019999999999</v>
      </c>
      <c r="AU230" s="192">
        <f t="shared" si="67"/>
        <v>7045.227833333709</v>
      </c>
      <c r="AV230" s="192">
        <f t="shared" si="68"/>
        <v>12018.329833333708</v>
      </c>
      <c r="AW230" s="191">
        <f t="shared" si="69"/>
        <v>12847.18016666629</v>
      </c>
      <c r="AX230" s="190" t="s">
        <v>72</v>
      </c>
      <c r="AY230" s="184"/>
    </row>
    <row r="231" spans="2:51" hidden="1">
      <c r="B231" s="198">
        <v>2183</v>
      </c>
      <c r="C231" s="199">
        <v>270603</v>
      </c>
      <c r="D231" s="198">
        <v>257730</v>
      </c>
      <c r="E231" s="198" t="s">
        <v>2003</v>
      </c>
      <c r="F231" s="198" t="s">
        <v>1863</v>
      </c>
      <c r="G231" s="198"/>
      <c r="H231" s="198"/>
      <c r="I231" s="200">
        <v>1</v>
      </c>
      <c r="J231" s="198"/>
      <c r="K231" s="200">
        <v>0</v>
      </c>
      <c r="L231" s="198"/>
      <c r="M231" s="198"/>
      <c r="N231" s="198" t="s">
        <v>2196</v>
      </c>
      <c r="O231" s="198" t="s">
        <v>2184</v>
      </c>
      <c r="P231" s="198"/>
      <c r="Q231" s="198"/>
      <c r="R231" s="198"/>
      <c r="S231" s="201">
        <v>44439</v>
      </c>
      <c r="T231" s="201">
        <v>44439</v>
      </c>
      <c r="U231" s="198"/>
      <c r="V231" s="198">
        <v>0</v>
      </c>
      <c r="W231" s="198">
        <v>14080</v>
      </c>
      <c r="X231" s="202">
        <v>0</v>
      </c>
      <c r="Y231" s="198">
        <v>14086</v>
      </c>
      <c r="Z231" s="202">
        <v>0</v>
      </c>
      <c r="AA231" s="202">
        <v>0</v>
      </c>
      <c r="AB231" s="202">
        <v>0</v>
      </c>
      <c r="AC231" s="202">
        <v>0</v>
      </c>
      <c r="AD231" s="198">
        <v>57260</v>
      </c>
      <c r="AE231" s="202">
        <v>0</v>
      </c>
      <c r="AF231" s="202">
        <v>0</v>
      </c>
      <c r="AG231" s="202">
        <v>0</v>
      </c>
      <c r="AH231" s="198" t="s">
        <v>994</v>
      </c>
      <c r="AI231" s="198"/>
      <c r="AJ231" s="198" t="s">
        <v>1296</v>
      </c>
      <c r="AK231" s="198">
        <v>0</v>
      </c>
      <c r="AL231" s="198" t="s">
        <v>138</v>
      </c>
      <c r="AM231" s="198" t="s">
        <v>138</v>
      </c>
      <c r="AN231" s="196">
        <f t="shared" si="60"/>
        <v>8</v>
      </c>
      <c r="AO231" s="196">
        <f t="shared" si="61"/>
        <v>2021</v>
      </c>
      <c r="AP231" s="195">
        <f t="shared" si="62"/>
        <v>2021</v>
      </c>
      <c r="AQ231" s="194">
        <f t="shared" si="63"/>
        <v>2021.6666666666667</v>
      </c>
      <c r="AR231" s="193">
        <f t="shared" si="64"/>
        <v>0</v>
      </c>
      <c r="AS231" s="192">
        <f t="shared" si="65"/>
        <v>0</v>
      </c>
      <c r="AT231" s="192">
        <f t="shared" si="66"/>
        <v>0</v>
      </c>
      <c r="AU231" s="192">
        <f t="shared" si="67"/>
        <v>0</v>
      </c>
      <c r="AV231" s="192">
        <f t="shared" si="68"/>
        <v>0</v>
      </c>
      <c r="AW231" s="191">
        <f t="shared" si="69"/>
        <v>0</v>
      </c>
      <c r="AX231" s="190" t="s">
        <v>72</v>
      </c>
      <c r="AY231" s="184"/>
    </row>
    <row r="232" spans="2:51" hidden="1">
      <c r="B232" s="198">
        <v>2183</v>
      </c>
      <c r="C232" s="199">
        <v>270602</v>
      </c>
      <c r="D232" s="198">
        <v>257730</v>
      </c>
      <c r="E232" s="198" t="s">
        <v>2003</v>
      </c>
      <c r="F232" s="198" t="s">
        <v>1862</v>
      </c>
      <c r="G232" s="198"/>
      <c r="H232" s="198"/>
      <c r="I232" s="200">
        <v>1</v>
      </c>
      <c r="J232" s="198"/>
      <c r="K232" s="200">
        <v>0</v>
      </c>
      <c r="L232" s="198"/>
      <c r="M232" s="198"/>
      <c r="N232" s="198" t="s">
        <v>2196</v>
      </c>
      <c r="O232" s="198" t="s">
        <v>2184</v>
      </c>
      <c r="P232" s="198"/>
      <c r="Q232" s="198"/>
      <c r="R232" s="198"/>
      <c r="S232" s="201">
        <v>44439</v>
      </c>
      <c r="T232" s="201">
        <v>44439</v>
      </c>
      <c r="U232" s="198"/>
      <c r="V232" s="198">
        <v>0</v>
      </c>
      <c r="W232" s="198">
        <v>14080</v>
      </c>
      <c r="X232" s="202">
        <v>0</v>
      </c>
      <c r="Y232" s="198">
        <v>14086</v>
      </c>
      <c r="Z232" s="202">
        <v>0</v>
      </c>
      <c r="AA232" s="202">
        <v>0</v>
      </c>
      <c r="AB232" s="202">
        <v>0</v>
      </c>
      <c r="AC232" s="202">
        <v>0</v>
      </c>
      <c r="AD232" s="198">
        <v>57260</v>
      </c>
      <c r="AE232" s="202">
        <v>0</v>
      </c>
      <c r="AF232" s="202">
        <v>0</v>
      </c>
      <c r="AG232" s="202">
        <v>0</v>
      </c>
      <c r="AH232" s="198" t="s">
        <v>994</v>
      </c>
      <c r="AI232" s="198"/>
      <c r="AJ232" s="198" t="s">
        <v>1296</v>
      </c>
      <c r="AK232" s="198">
        <v>0</v>
      </c>
      <c r="AL232" s="198" t="s">
        <v>138</v>
      </c>
      <c r="AM232" s="198" t="s">
        <v>138</v>
      </c>
      <c r="AN232" s="196">
        <f t="shared" si="60"/>
        <v>8</v>
      </c>
      <c r="AO232" s="196">
        <f t="shared" si="61"/>
        <v>2021</v>
      </c>
      <c r="AP232" s="195">
        <f t="shared" si="62"/>
        <v>2021</v>
      </c>
      <c r="AQ232" s="194">
        <f t="shared" si="63"/>
        <v>2021.6666666666667</v>
      </c>
      <c r="AR232" s="193">
        <f t="shared" si="64"/>
        <v>0</v>
      </c>
      <c r="AS232" s="192">
        <f t="shared" si="65"/>
        <v>0</v>
      </c>
      <c r="AT232" s="192">
        <f t="shared" si="66"/>
        <v>0</v>
      </c>
      <c r="AU232" s="192">
        <f t="shared" si="67"/>
        <v>0</v>
      </c>
      <c r="AV232" s="192">
        <f t="shared" si="68"/>
        <v>0</v>
      </c>
      <c r="AW232" s="191">
        <f t="shared" si="69"/>
        <v>0</v>
      </c>
      <c r="AX232" s="190" t="s">
        <v>72</v>
      </c>
      <c r="AY232" s="184"/>
    </row>
    <row r="233" spans="2:51" hidden="1">
      <c r="B233" s="198">
        <v>2183</v>
      </c>
      <c r="C233" s="199">
        <v>270601</v>
      </c>
      <c r="D233" s="198">
        <v>257730</v>
      </c>
      <c r="E233" s="198" t="s">
        <v>2003</v>
      </c>
      <c r="F233" s="198" t="s">
        <v>1861</v>
      </c>
      <c r="G233" s="198"/>
      <c r="H233" s="198"/>
      <c r="I233" s="200">
        <v>1</v>
      </c>
      <c r="J233" s="198"/>
      <c r="K233" s="200">
        <v>0</v>
      </c>
      <c r="L233" s="198"/>
      <c r="M233" s="198"/>
      <c r="N233" s="198" t="s">
        <v>2196</v>
      </c>
      <c r="O233" s="198" t="s">
        <v>2184</v>
      </c>
      <c r="P233" s="198"/>
      <c r="Q233" s="198"/>
      <c r="R233" s="198"/>
      <c r="S233" s="201">
        <v>44439</v>
      </c>
      <c r="T233" s="201">
        <v>44439</v>
      </c>
      <c r="U233" s="198"/>
      <c r="V233" s="198">
        <v>0</v>
      </c>
      <c r="W233" s="198">
        <v>14080</v>
      </c>
      <c r="X233" s="202">
        <v>0</v>
      </c>
      <c r="Y233" s="198">
        <v>14086</v>
      </c>
      <c r="Z233" s="202">
        <v>0</v>
      </c>
      <c r="AA233" s="202">
        <v>0</v>
      </c>
      <c r="AB233" s="202">
        <v>0</v>
      </c>
      <c r="AC233" s="202">
        <v>0</v>
      </c>
      <c r="AD233" s="198">
        <v>57260</v>
      </c>
      <c r="AE233" s="202">
        <v>0</v>
      </c>
      <c r="AF233" s="202">
        <v>0</v>
      </c>
      <c r="AG233" s="202">
        <v>0</v>
      </c>
      <c r="AH233" s="198" t="s">
        <v>994</v>
      </c>
      <c r="AI233" s="198"/>
      <c r="AJ233" s="198" t="s">
        <v>1296</v>
      </c>
      <c r="AK233" s="198">
        <v>0</v>
      </c>
      <c r="AL233" s="198" t="s">
        <v>138</v>
      </c>
      <c r="AM233" s="198" t="s">
        <v>138</v>
      </c>
      <c r="AN233" s="196">
        <f t="shared" si="60"/>
        <v>8</v>
      </c>
      <c r="AO233" s="196">
        <f t="shared" si="61"/>
        <v>2021</v>
      </c>
      <c r="AP233" s="195">
        <f t="shared" si="62"/>
        <v>2021</v>
      </c>
      <c r="AQ233" s="194">
        <f t="shared" si="63"/>
        <v>2021.6666666666667</v>
      </c>
      <c r="AR233" s="193">
        <f t="shared" si="64"/>
        <v>0</v>
      </c>
      <c r="AS233" s="192">
        <f t="shared" si="65"/>
        <v>0</v>
      </c>
      <c r="AT233" s="192">
        <f t="shared" si="66"/>
        <v>0</v>
      </c>
      <c r="AU233" s="192">
        <f t="shared" si="67"/>
        <v>0</v>
      </c>
      <c r="AV233" s="192">
        <f t="shared" si="68"/>
        <v>0</v>
      </c>
      <c r="AW233" s="191">
        <f t="shared" si="69"/>
        <v>0</v>
      </c>
      <c r="AX233" s="190" t="s">
        <v>72</v>
      </c>
      <c r="AY233" s="184"/>
    </row>
    <row r="234" spans="2:51" hidden="1">
      <c r="B234" s="198">
        <v>2183</v>
      </c>
      <c r="C234" s="199">
        <v>270600</v>
      </c>
      <c r="D234" s="198">
        <v>257730</v>
      </c>
      <c r="E234" s="198" t="s">
        <v>2003</v>
      </c>
      <c r="F234" s="198" t="s">
        <v>1860</v>
      </c>
      <c r="G234" s="198"/>
      <c r="H234" s="198"/>
      <c r="I234" s="200">
        <v>1</v>
      </c>
      <c r="J234" s="198"/>
      <c r="K234" s="200">
        <v>0</v>
      </c>
      <c r="L234" s="198"/>
      <c r="M234" s="198"/>
      <c r="N234" s="198" t="s">
        <v>2196</v>
      </c>
      <c r="O234" s="198" t="s">
        <v>2184</v>
      </c>
      <c r="P234" s="198"/>
      <c r="Q234" s="198"/>
      <c r="R234" s="198"/>
      <c r="S234" s="201">
        <v>44439</v>
      </c>
      <c r="T234" s="201">
        <v>44439</v>
      </c>
      <c r="U234" s="198"/>
      <c r="V234" s="198">
        <v>0</v>
      </c>
      <c r="W234" s="198">
        <v>14080</v>
      </c>
      <c r="X234" s="202">
        <v>0</v>
      </c>
      <c r="Y234" s="198">
        <v>14086</v>
      </c>
      <c r="Z234" s="202">
        <v>0</v>
      </c>
      <c r="AA234" s="202">
        <v>0</v>
      </c>
      <c r="AB234" s="202">
        <v>0</v>
      </c>
      <c r="AC234" s="202">
        <v>0</v>
      </c>
      <c r="AD234" s="198">
        <v>57260</v>
      </c>
      <c r="AE234" s="202">
        <v>0</v>
      </c>
      <c r="AF234" s="202">
        <v>0</v>
      </c>
      <c r="AG234" s="202">
        <v>0</v>
      </c>
      <c r="AH234" s="198" t="s">
        <v>994</v>
      </c>
      <c r="AI234" s="198"/>
      <c r="AJ234" s="198" t="s">
        <v>1296</v>
      </c>
      <c r="AK234" s="198">
        <v>0</v>
      </c>
      <c r="AL234" s="198" t="s">
        <v>138</v>
      </c>
      <c r="AM234" s="198" t="s">
        <v>138</v>
      </c>
      <c r="AN234" s="196">
        <f t="shared" si="60"/>
        <v>8</v>
      </c>
      <c r="AO234" s="196">
        <f t="shared" si="61"/>
        <v>2021</v>
      </c>
      <c r="AP234" s="195">
        <f t="shared" si="62"/>
        <v>2021</v>
      </c>
      <c r="AQ234" s="194">
        <f t="shared" si="63"/>
        <v>2021.6666666666667</v>
      </c>
      <c r="AR234" s="193">
        <f t="shared" si="64"/>
        <v>0</v>
      </c>
      <c r="AS234" s="192">
        <f t="shared" si="65"/>
        <v>0</v>
      </c>
      <c r="AT234" s="192">
        <f t="shared" si="66"/>
        <v>0</v>
      </c>
      <c r="AU234" s="192">
        <f t="shared" si="67"/>
        <v>0</v>
      </c>
      <c r="AV234" s="192">
        <f t="shared" si="68"/>
        <v>0</v>
      </c>
      <c r="AW234" s="191">
        <f t="shared" si="69"/>
        <v>0</v>
      </c>
      <c r="AX234" s="190" t="s">
        <v>72</v>
      </c>
      <c r="AY234" s="184"/>
    </row>
    <row r="235" spans="2:51" hidden="1">
      <c r="B235" s="198">
        <v>2183</v>
      </c>
      <c r="C235" s="199">
        <v>270599</v>
      </c>
      <c r="D235" s="198">
        <v>257730</v>
      </c>
      <c r="E235" s="198" t="s">
        <v>2003</v>
      </c>
      <c r="F235" s="198" t="s">
        <v>1859</v>
      </c>
      <c r="G235" s="198"/>
      <c r="H235" s="198"/>
      <c r="I235" s="200">
        <v>1</v>
      </c>
      <c r="J235" s="198"/>
      <c r="K235" s="200">
        <v>0</v>
      </c>
      <c r="L235" s="198"/>
      <c r="M235" s="198"/>
      <c r="N235" s="198" t="s">
        <v>2196</v>
      </c>
      <c r="O235" s="198" t="s">
        <v>2184</v>
      </c>
      <c r="P235" s="198"/>
      <c r="Q235" s="198"/>
      <c r="R235" s="198"/>
      <c r="S235" s="201">
        <v>44439</v>
      </c>
      <c r="T235" s="201">
        <v>44439</v>
      </c>
      <c r="U235" s="198"/>
      <c r="V235" s="198">
        <v>0</v>
      </c>
      <c r="W235" s="198">
        <v>14080</v>
      </c>
      <c r="X235" s="202">
        <v>0</v>
      </c>
      <c r="Y235" s="198">
        <v>14086</v>
      </c>
      <c r="Z235" s="202">
        <v>0</v>
      </c>
      <c r="AA235" s="202">
        <v>0</v>
      </c>
      <c r="AB235" s="202">
        <v>0</v>
      </c>
      <c r="AC235" s="202">
        <v>0</v>
      </c>
      <c r="AD235" s="198">
        <v>57260</v>
      </c>
      <c r="AE235" s="202">
        <v>0</v>
      </c>
      <c r="AF235" s="202">
        <v>0</v>
      </c>
      <c r="AG235" s="202">
        <v>0</v>
      </c>
      <c r="AH235" s="198" t="s">
        <v>994</v>
      </c>
      <c r="AI235" s="198"/>
      <c r="AJ235" s="198" t="s">
        <v>1296</v>
      </c>
      <c r="AK235" s="198">
        <v>0</v>
      </c>
      <c r="AL235" s="198" t="s">
        <v>138</v>
      </c>
      <c r="AM235" s="198" t="s">
        <v>138</v>
      </c>
      <c r="AN235" s="196">
        <f t="shared" si="60"/>
        <v>8</v>
      </c>
      <c r="AO235" s="196">
        <f t="shared" si="61"/>
        <v>2021</v>
      </c>
      <c r="AP235" s="195">
        <f t="shared" si="62"/>
        <v>2021</v>
      </c>
      <c r="AQ235" s="194">
        <f t="shared" si="63"/>
        <v>2021.6666666666667</v>
      </c>
      <c r="AR235" s="193">
        <f t="shared" si="64"/>
        <v>0</v>
      </c>
      <c r="AS235" s="192">
        <f t="shared" si="65"/>
        <v>0</v>
      </c>
      <c r="AT235" s="192">
        <f t="shared" si="66"/>
        <v>0</v>
      </c>
      <c r="AU235" s="192">
        <f t="shared" si="67"/>
        <v>0</v>
      </c>
      <c r="AV235" s="192">
        <f t="shared" si="68"/>
        <v>0</v>
      </c>
      <c r="AW235" s="191">
        <f t="shared" si="69"/>
        <v>0</v>
      </c>
      <c r="AX235" s="190" t="s">
        <v>72</v>
      </c>
      <c r="AY235" s="184"/>
    </row>
    <row r="236" spans="2:51">
      <c r="B236" s="198">
        <v>2183</v>
      </c>
      <c r="C236" s="199">
        <v>270329</v>
      </c>
      <c r="D236" s="198" t="s">
        <v>989</v>
      </c>
      <c r="E236" s="198" t="s">
        <v>2003</v>
      </c>
      <c r="F236" s="198" t="s">
        <v>990</v>
      </c>
      <c r="G236" s="198"/>
      <c r="H236" s="198"/>
      <c r="I236" s="200">
        <v>1</v>
      </c>
      <c r="J236" s="198"/>
      <c r="K236" s="200">
        <v>0</v>
      </c>
      <c r="L236" s="198" t="s">
        <v>991</v>
      </c>
      <c r="M236" s="198"/>
      <c r="N236" s="198" t="s">
        <v>2199</v>
      </c>
      <c r="O236" s="198" t="s">
        <v>2184</v>
      </c>
      <c r="P236" s="198"/>
      <c r="Q236" s="198"/>
      <c r="R236" s="198"/>
      <c r="S236" s="201">
        <v>43946</v>
      </c>
      <c r="T236" s="201">
        <v>43946</v>
      </c>
      <c r="U236" s="198" t="s">
        <v>992</v>
      </c>
      <c r="V236" s="198">
        <v>300</v>
      </c>
      <c r="W236" s="198">
        <v>14110</v>
      </c>
      <c r="X236" s="202">
        <v>6335.92</v>
      </c>
      <c r="Y236" s="198">
        <v>14116</v>
      </c>
      <c r="Z236" s="202">
        <v>6335.92</v>
      </c>
      <c r="AA236" s="202">
        <v>0</v>
      </c>
      <c r="AB236" s="202">
        <v>0</v>
      </c>
      <c r="AC236" s="202">
        <v>0</v>
      </c>
      <c r="AD236" s="198">
        <v>70260</v>
      </c>
      <c r="AE236" s="202">
        <v>0</v>
      </c>
      <c r="AF236" s="202">
        <v>0</v>
      </c>
      <c r="AG236" s="202">
        <v>0</v>
      </c>
      <c r="AH236" s="198" t="s">
        <v>989</v>
      </c>
      <c r="AI236" s="198"/>
      <c r="AJ236" s="198"/>
      <c r="AK236" s="198" t="s">
        <v>316</v>
      </c>
      <c r="AL236" s="198" t="s">
        <v>932</v>
      </c>
      <c r="AM236" s="198" t="s">
        <v>932</v>
      </c>
      <c r="AN236" s="196">
        <f t="shared" si="60"/>
        <v>4</v>
      </c>
      <c r="AO236" s="196">
        <f t="shared" si="61"/>
        <v>2020</v>
      </c>
      <c r="AP236" s="195">
        <f t="shared" si="62"/>
        <v>2023</v>
      </c>
      <c r="AQ236" s="194">
        <f t="shared" si="63"/>
        <v>2023.3333333333333</v>
      </c>
      <c r="AR236" s="193">
        <f t="shared" si="64"/>
        <v>175.99777777777777</v>
      </c>
      <c r="AS236" s="192">
        <f t="shared" si="65"/>
        <v>2111.9733333333334</v>
      </c>
      <c r="AT236" s="192">
        <f t="shared" si="66"/>
        <v>0</v>
      </c>
      <c r="AU236" s="192">
        <f t="shared" si="67"/>
        <v>6335.92</v>
      </c>
      <c r="AV236" s="192">
        <f t="shared" si="68"/>
        <v>6335.92</v>
      </c>
      <c r="AW236" s="191">
        <f t="shared" si="69"/>
        <v>0</v>
      </c>
      <c r="AX236" s="190" t="s">
        <v>72</v>
      </c>
      <c r="AY236" s="184"/>
    </row>
    <row r="237" spans="2:51">
      <c r="B237" s="198">
        <v>2183</v>
      </c>
      <c r="C237" s="199">
        <v>270328</v>
      </c>
      <c r="D237" s="198" t="s">
        <v>989</v>
      </c>
      <c r="E237" s="198" t="s">
        <v>2003</v>
      </c>
      <c r="F237" s="198" t="s">
        <v>995</v>
      </c>
      <c r="G237" s="198"/>
      <c r="H237" s="198"/>
      <c r="I237" s="200">
        <v>1</v>
      </c>
      <c r="J237" s="198"/>
      <c r="K237" s="200">
        <v>0</v>
      </c>
      <c r="L237" s="198" t="s">
        <v>991</v>
      </c>
      <c r="M237" s="198"/>
      <c r="N237" s="198" t="s">
        <v>2199</v>
      </c>
      <c r="O237" s="198" t="s">
        <v>2184</v>
      </c>
      <c r="P237" s="198"/>
      <c r="Q237" s="198"/>
      <c r="R237" s="198"/>
      <c r="S237" s="201">
        <v>43946</v>
      </c>
      <c r="T237" s="201">
        <v>43946</v>
      </c>
      <c r="U237" s="198" t="s">
        <v>992</v>
      </c>
      <c r="V237" s="198">
        <v>300</v>
      </c>
      <c r="W237" s="198">
        <v>14110</v>
      </c>
      <c r="X237" s="202">
        <v>1267.19</v>
      </c>
      <c r="Y237" s="198">
        <v>14116</v>
      </c>
      <c r="Z237" s="202">
        <v>1267.19</v>
      </c>
      <c r="AA237" s="202">
        <v>0</v>
      </c>
      <c r="AB237" s="202">
        <v>0</v>
      </c>
      <c r="AC237" s="202">
        <v>0</v>
      </c>
      <c r="AD237" s="198">
        <v>70260</v>
      </c>
      <c r="AE237" s="202">
        <v>0</v>
      </c>
      <c r="AF237" s="202">
        <v>0</v>
      </c>
      <c r="AG237" s="202">
        <v>0</v>
      </c>
      <c r="AH237" s="198" t="s">
        <v>989</v>
      </c>
      <c r="AI237" s="198"/>
      <c r="AJ237" s="198"/>
      <c r="AK237" s="198" t="s">
        <v>316</v>
      </c>
      <c r="AL237" s="198" t="s">
        <v>932</v>
      </c>
      <c r="AM237" s="198" t="s">
        <v>932</v>
      </c>
      <c r="AN237" s="196">
        <f t="shared" si="60"/>
        <v>4</v>
      </c>
      <c r="AO237" s="196">
        <f t="shared" si="61"/>
        <v>2020</v>
      </c>
      <c r="AP237" s="195">
        <f t="shared" si="62"/>
        <v>2023</v>
      </c>
      <c r="AQ237" s="194">
        <f t="shared" si="63"/>
        <v>2023.3333333333333</v>
      </c>
      <c r="AR237" s="193">
        <f t="shared" si="64"/>
        <v>35.199722222222228</v>
      </c>
      <c r="AS237" s="192">
        <f t="shared" si="65"/>
        <v>422.39666666666676</v>
      </c>
      <c r="AT237" s="192">
        <f t="shared" si="66"/>
        <v>0</v>
      </c>
      <c r="AU237" s="192">
        <f t="shared" si="67"/>
        <v>1267.19</v>
      </c>
      <c r="AV237" s="192">
        <f t="shared" si="68"/>
        <v>1267.19</v>
      </c>
      <c r="AW237" s="191">
        <f t="shared" si="69"/>
        <v>0</v>
      </c>
      <c r="AX237" s="190" t="s">
        <v>72</v>
      </c>
      <c r="AY237" s="184"/>
    </row>
    <row r="238" spans="2:51">
      <c r="B238" s="198">
        <v>2183</v>
      </c>
      <c r="C238" s="199">
        <v>270327</v>
      </c>
      <c r="D238" s="198" t="s">
        <v>989</v>
      </c>
      <c r="E238" s="198" t="s">
        <v>2003</v>
      </c>
      <c r="F238" s="198" t="s">
        <v>996</v>
      </c>
      <c r="G238" s="198"/>
      <c r="H238" s="198"/>
      <c r="I238" s="200">
        <v>1</v>
      </c>
      <c r="J238" s="198"/>
      <c r="K238" s="200">
        <v>0</v>
      </c>
      <c r="L238" s="198" t="s">
        <v>997</v>
      </c>
      <c r="M238" s="198"/>
      <c r="N238" s="198" t="s">
        <v>2199</v>
      </c>
      <c r="O238" s="198" t="s">
        <v>2184</v>
      </c>
      <c r="P238" s="198"/>
      <c r="Q238" s="198"/>
      <c r="R238" s="198"/>
      <c r="S238" s="201">
        <v>43936</v>
      </c>
      <c r="T238" s="201">
        <v>43936</v>
      </c>
      <c r="U238" s="198" t="s">
        <v>998</v>
      </c>
      <c r="V238" s="198">
        <v>100</v>
      </c>
      <c r="W238" s="198">
        <v>14110</v>
      </c>
      <c r="X238" s="202">
        <v>5473.36</v>
      </c>
      <c r="Y238" s="198">
        <v>14116</v>
      </c>
      <c r="Z238" s="202">
        <v>5473.36</v>
      </c>
      <c r="AA238" s="202">
        <v>0</v>
      </c>
      <c r="AB238" s="202">
        <v>0</v>
      </c>
      <c r="AC238" s="202">
        <v>0</v>
      </c>
      <c r="AD238" s="198">
        <v>70260</v>
      </c>
      <c r="AE238" s="202">
        <v>0</v>
      </c>
      <c r="AF238" s="202">
        <v>0</v>
      </c>
      <c r="AG238" s="202">
        <v>0</v>
      </c>
      <c r="AH238" s="198" t="s">
        <v>989</v>
      </c>
      <c r="AI238" s="198"/>
      <c r="AJ238" s="198"/>
      <c r="AK238" s="198" t="s">
        <v>316</v>
      </c>
      <c r="AL238" s="198" t="s">
        <v>932</v>
      </c>
      <c r="AM238" s="198" t="s">
        <v>932</v>
      </c>
      <c r="AN238" s="196">
        <f t="shared" si="60"/>
        <v>4</v>
      </c>
      <c r="AO238" s="196">
        <f t="shared" si="61"/>
        <v>2020</v>
      </c>
      <c r="AP238" s="195">
        <f t="shared" si="62"/>
        <v>2021</v>
      </c>
      <c r="AQ238" s="194">
        <f t="shared" si="63"/>
        <v>2021.3333333333333</v>
      </c>
      <c r="AR238" s="193">
        <f t="shared" si="64"/>
        <v>456.11333333333329</v>
      </c>
      <c r="AS238" s="192">
        <f t="shared" si="65"/>
        <v>5473.36</v>
      </c>
      <c r="AT238" s="192">
        <f t="shared" si="66"/>
        <v>0</v>
      </c>
      <c r="AU238" s="192">
        <f t="shared" si="67"/>
        <v>5473.36</v>
      </c>
      <c r="AV238" s="192">
        <f t="shared" si="68"/>
        <v>5473.36</v>
      </c>
      <c r="AW238" s="191">
        <f t="shared" si="69"/>
        <v>0</v>
      </c>
      <c r="AX238" s="190" t="s">
        <v>72</v>
      </c>
      <c r="AY238" s="184"/>
    </row>
    <row r="239" spans="2:51">
      <c r="B239" s="198">
        <v>2183</v>
      </c>
      <c r="C239" s="199">
        <v>268710</v>
      </c>
      <c r="D239" s="198" t="s">
        <v>989</v>
      </c>
      <c r="E239" s="198" t="s">
        <v>2003</v>
      </c>
      <c r="F239" s="198" t="s">
        <v>999</v>
      </c>
      <c r="G239" s="198"/>
      <c r="H239" s="198"/>
      <c r="I239" s="200">
        <v>1</v>
      </c>
      <c r="J239" s="198"/>
      <c r="K239" s="200">
        <v>0</v>
      </c>
      <c r="L239" s="198" t="s">
        <v>1000</v>
      </c>
      <c r="M239" s="198"/>
      <c r="N239" s="198" t="s">
        <v>409</v>
      </c>
      <c r="O239" s="198" t="s">
        <v>2184</v>
      </c>
      <c r="P239" s="198"/>
      <c r="Q239" s="198"/>
      <c r="R239" s="198"/>
      <c r="S239" s="201">
        <v>44517</v>
      </c>
      <c r="T239" s="201">
        <v>44517</v>
      </c>
      <c r="U239" s="198" t="s">
        <v>943</v>
      </c>
      <c r="V239" s="198">
        <v>1000</v>
      </c>
      <c r="W239" s="198">
        <v>14100</v>
      </c>
      <c r="X239" s="202">
        <v>95331.73</v>
      </c>
      <c r="Y239" s="198">
        <v>14106</v>
      </c>
      <c r="Z239" s="202">
        <v>23038.49</v>
      </c>
      <c r="AA239" s="202">
        <v>0</v>
      </c>
      <c r="AB239" s="202">
        <v>72293.239999999991</v>
      </c>
      <c r="AC239" s="202">
        <v>3177.72</v>
      </c>
      <c r="AD239" s="198">
        <v>70260</v>
      </c>
      <c r="AE239" s="202">
        <v>794.43</v>
      </c>
      <c r="AF239" s="202">
        <v>0</v>
      </c>
      <c r="AG239" s="202">
        <v>794.43</v>
      </c>
      <c r="AH239" s="198" t="s">
        <v>989</v>
      </c>
      <c r="AI239" s="198"/>
      <c r="AJ239" s="198"/>
      <c r="AK239" s="198" t="s">
        <v>316</v>
      </c>
      <c r="AL239" s="198" t="s">
        <v>138</v>
      </c>
      <c r="AM239" s="198" t="s">
        <v>138</v>
      </c>
      <c r="AN239" s="196">
        <f t="shared" si="60"/>
        <v>11</v>
      </c>
      <c r="AO239" s="196">
        <f t="shared" si="61"/>
        <v>2021</v>
      </c>
      <c r="AP239" s="195">
        <f t="shared" si="62"/>
        <v>2031</v>
      </c>
      <c r="AQ239" s="194">
        <f t="shared" si="63"/>
        <v>2031.9166666666667</v>
      </c>
      <c r="AR239" s="193">
        <f t="shared" si="64"/>
        <v>794.43108333333328</v>
      </c>
      <c r="AS239" s="192">
        <f t="shared" si="65"/>
        <v>9533.1729999999989</v>
      </c>
      <c r="AT239" s="192">
        <f t="shared" si="66"/>
        <v>9533.1729999999989</v>
      </c>
      <c r="AU239" s="192">
        <f t="shared" si="67"/>
        <v>14299.7595</v>
      </c>
      <c r="AV239" s="192">
        <f t="shared" si="68"/>
        <v>23832.932499999999</v>
      </c>
      <c r="AW239" s="191">
        <f t="shared" si="69"/>
        <v>71498.797500000001</v>
      </c>
      <c r="AX239" s="190" t="s">
        <v>72</v>
      </c>
      <c r="AY239" s="184"/>
    </row>
    <row r="240" spans="2:51">
      <c r="B240" s="198">
        <v>2183</v>
      </c>
      <c r="C240" s="199">
        <v>268628</v>
      </c>
      <c r="D240" s="198" t="s">
        <v>989</v>
      </c>
      <c r="E240" s="198" t="s">
        <v>2003</v>
      </c>
      <c r="F240" s="198" t="s">
        <v>859</v>
      </c>
      <c r="G240" s="198"/>
      <c r="H240" s="198"/>
      <c r="I240" s="200">
        <v>542</v>
      </c>
      <c r="J240" s="198"/>
      <c r="K240" s="200">
        <v>0</v>
      </c>
      <c r="L240" s="198" t="s">
        <v>1001</v>
      </c>
      <c r="M240" s="198"/>
      <c r="N240" s="198" t="s">
        <v>2190</v>
      </c>
      <c r="O240" s="198" t="s">
        <v>2184</v>
      </c>
      <c r="P240" s="198"/>
      <c r="Q240" s="198"/>
      <c r="R240" s="198"/>
      <c r="S240" s="201">
        <v>44543</v>
      </c>
      <c r="T240" s="201">
        <v>44543</v>
      </c>
      <c r="U240" s="198" t="s">
        <v>1003</v>
      </c>
      <c r="V240" s="198">
        <v>700</v>
      </c>
      <c r="W240" s="198">
        <v>14050</v>
      </c>
      <c r="X240" s="202">
        <v>39911.4</v>
      </c>
      <c r="Y240" s="198">
        <v>14056</v>
      </c>
      <c r="Z240" s="202">
        <v>13778.96</v>
      </c>
      <c r="AA240" s="202">
        <v>0</v>
      </c>
      <c r="AB240" s="202">
        <v>26132.440000000002</v>
      </c>
      <c r="AC240" s="202">
        <v>1900.56</v>
      </c>
      <c r="AD240" s="198">
        <v>54260</v>
      </c>
      <c r="AE240" s="202">
        <v>475.14</v>
      </c>
      <c r="AF240" s="202">
        <v>0</v>
      </c>
      <c r="AG240" s="202">
        <v>475.14</v>
      </c>
      <c r="AH240" s="198" t="s">
        <v>989</v>
      </c>
      <c r="AI240" s="198"/>
      <c r="AJ240" s="198"/>
      <c r="AK240" s="198" t="s">
        <v>316</v>
      </c>
      <c r="AL240" s="198" t="s">
        <v>929</v>
      </c>
      <c r="AM240" s="198" t="s">
        <v>929</v>
      </c>
      <c r="AN240" s="196">
        <f t="shared" si="60"/>
        <v>12</v>
      </c>
      <c r="AO240" s="196">
        <f t="shared" si="61"/>
        <v>2021</v>
      </c>
      <c r="AP240" s="195">
        <f t="shared" si="62"/>
        <v>2028</v>
      </c>
      <c r="AQ240" s="194">
        <f t="shared" si="63"/>
        <v>2029</v>
      </c>
      <c r="AR240" s="193">
        <f t="shared" si="64"/>
        <v>475.1357142857143</v>
      </c>
      <c r="AS240" s="192">
        <f t="shared" si="65"/>
        <v>5701.6285714285714</v>
      </c>
      <c r="AT240" s="192">
        <f t="shared" si="66"/>
        <v>5701.6285714285714</v>
      </c>
      <c r="AU240" s="192">
        <f t="shared" si="67"/>
        <v>8077.3071428575749</v>
      </c>
      <c r="AV240" s="192">
        <f t="shared" si="68"/>
        <v>13778.935714286146</v>
      </c>
      <c r="AW240" s="191">
        <f t="shared" si="69"/>
        <v>26132.464285713853</v>
      </c>
      <c r="AX240" s="190" t="s">
        <v>72</v>
      </c>
      <c r="AY240" s="184"/>
    </row>
    <row r="241" spans="2:51" hidden="1">
      <c r="B241" s="198">
        <v>2183</v>
      </c>
      <c r="C241" s="199">
        <v>267048</v>
      </c>
      <c r="D241" s="198">
        <v>257730</v>
      </c>
      <c r="E241" s="198" t="s">
        <v>2003</v>
      </c>
      <c r="F241" s="198" t="s">
        <v>1004</v>
      </c>
      <c r="G241" s="198"/>
      <c r="H241" s="198"/>
      <c r="I241" s="200">
        <v>1</v>
      </c>
      <c r="J241" s="198"/>
      <c r="K241" s="200">
        <v>0</v>
      </c>
      <c r="L241" s="198" t="s">
        <v>1005</v>
      </c>
      <c r="M241" s="198"/>
      <c r="N241" s="198" t="s">
        <v>2196</v>
      </c>
      <c r="O241" s="198" t="s">
        <v>2184</v>
      </c>
      <c r="P241" s="198"/>
      <c r="Q241" s="198"/>
      <c r="R241" s="198"/>
      <c r="S241" s="201">
        <v>44538</v>
      </c>
      <c r="T241" s="201">
        <v>44538</v>
      </c>
      <c r="U241" s="198" t="s">
        <v>941</v>
      </c>
      <c r="V241" s="198">
        <v>2000</v>
      </c>
      <c r="W241" s="198">
        <v>14080</v>
      </c>
      <c r="X241" s="202">
        <v>3947.5</v>
      </c>
      <c r="Y241" s="198">
        <v>14086</v>
      </c>
      <c r="Z241" s="202">
        <v>477.01</v>
      </c>
      <c r="AA241" s="202">
        <v>0</v>
      </c>
      <c r="AB241" s="202">
        <v>3470.49</v>
      </c>
      <c r="AC241" s="202">
        <v>65.8</v>
      </c>
      <c r="AD241" s="198">
        <v>57260</v>
      </c>
      <c r="AE241" s="202">
        <v>16.45</v>
      </c>
      <c r="AF241" s="202">
        <v>0</v>
      </c>
      <c r="AG241" s="202">
        <v>16.45</v>
      </c>
      <c r="AH241" s="198" t="s">
        <v>989</v>
      </c>
      <c r="AI241" s="198"/>
      <c r="AJ241" s="198"/>
      <c r="AK241" s="198" t="s">
        <v>316</v>
      </c>
      <c r="AL241" s="198" t="s">
        <v>138</v>
      </c>
      <c r="AM241" s="198" t="s">
        <v>138</v>
      </c>
      <c r="AN241" s="196">
        <f t="shared" si="60"/>
        <v>12</v>
      </c>
      <c r="AO241" s="196">
        <f t="shared" si="61"/>
        <v>2021</v>
      </c>
      <c r="AP241" s="195">
        <f t="shared" si="62"/>
        <v>2041</v>
      </c>
      <c r="AQ241" s="194">
        <f t="shared" si="63"/>
        <v>2042</v>
      </c>
      <c r="AR241" s="193">
        <f t="shared" si="64"/>
        <v>16.447916666666668</v>
      </c>
      <c r="AS241" s="192">
        <f t="shared" si="65"/>
        <v>197.375</v>
      </c>
      <c r="AT241" s="192">
        <f t="shared" si="66"/>
        <v>197.375</v>
      </c>
      <c r="AU241" s="192">
        <f t="shared" si="67"/>
        <v>279.61458333334804</v>
      </c>
      <c r="AV241" s="192">
        <f t="shared" si="68"/>
        <v>476.98958333334804</v>
      </c>
      <c r="AW241" s="191">
        <f t="shared" si="69"/>
        <v>3470.510416666652</v>
      </c>
      <c r="AX241" s="190" t="s">
        <v>72</v>
      </c>
      <c r="AY241" s="184"/>
    </row>
    <row r="242" spans="2:51" hidden="1">
      <c r="B242" s="198">
        <v>2183</v>
      </c>
      <c r="C242" s="199">
        <v>266895</v>
      </c>
      <c r="D242" s="198">
        <v>264418</v>
      </c>
      <c r="E242" s="198" t="s">
        <v>2003</v>
      </c>
      <c r="F242" s="198" t="s">
        <v>1006</v>
      </c>
      <c r="G242" s="198"/>
      <c r="H242" s="198"/>
      <c r="I242" s="200">
        <v>1</v>
      </c>
      <c r="J242" s="198"/>
      <c r="K242" s="200">
        <v>0</v>
      </c>
      <c r="L242" s="198" t="s">
        <v>1000</v>
      </c>
      <c r="M242" s="198"/>
      <c r="N242" s="198" t="s">
        <v>409</v>
      </c>
      <c r="O242" s="198" t="s">
        <v>2184</v>
      </c>
      <c r="P242" s="198"/>
      <c r="Q242" s="198"/>
      <c r="R242" s="198"/>
      <c r="S242" s="201">
        <v>44487</v>
      </c>
      <c r="T242" s="201">
        <v>44487</v>
      </c>
      <c r="U242" s="198" t="s">
        <v>943</v>
      </c>
      <c r="V242" s="198">
        <v>1000</v>
      </c>
      <c r="W242" s="198">
        <v>14100</v>
      </c>
      <c r="X242" s="202">
        <v>18025.939999999999</v>
      </c>
      <c r="Y242" s="198">
        <v>14106</v>
      </c>
      <c r="Z242" s="202">
        <v>4506.49</v>
      </c>
      <c r="AA242" s="202">
        <v>0</v>
      </c>
      <c r="AB242" s="202">
        <v>13519.449999999999</v>
      </c>
      <c r="AC242" s="202">
        <v>600.88</v>
      </c>
      <c r="AD242" s="198">
        <v>70260</v>
      </c>
      <c r="AE242" s="202">
        <v>150.22</v>
      </c>
      <c r="AF242" s="202">
        <v>0</v>
      </c>
      <c r="AG242" s="202">
        <v>150.22</v>
      </c>
      <c r="AH242" s="198" t="s">
        <v>989</v>
      </c>
      <c r="AI242" s="198"/>
      <c r="AJ242" s="198"/>
      <c r="AK242" s="198" t="s">
        <v>316</v>
      </c>
      <c r="AL242" s="198" t="s">
        <v>138</v>
      </c>
      <c r="AM242" s="198" t="s">
        <v>138</v>
      </c>
      <c r="AN242" s="196">
        <f t="shared" si="60"/>
        <v>10</v>
      </c>
      <c r="AO242" s="196">
        <f t="shared" si="61"/>
        <v>2021</v>
      </c>
      <c r="AP242" s="195">
        <f t="shared" si="62"/>
        <v>2031</v>
      </c>
      <c r="AQ242" s="194">
        <f t="shared" si="63"/>
        <v>2031.8333333333333</v>
      </c>
      <c r="AR242" s="193">
        <f t="shared" si="64"/>
        <v>150.21616666666665</v>
      </c>
      <c r="AS242" s="192">
        <f t="shared" si="65"/>
        <v>1802.5939999999998</v>
      </c>
      <c r="AT242" s="192">
        <f t="shared" si="66"/>
        <v>1802.5939999999998</v>
      </c>
      <c r="AU242" s="192">
        <f t="shared" si="67"/>
        <v>2854.1071666669395</v>
      </c>
      <c r="AV242" s="192">
        <f t="shared" si="68"/>
        <v>4656.7011666669396</v>
      </c>
      <c r="AW242" s="191">
        <f t="shared" si="69"/>
        <v>13369.23883333306</v>
      </c>
      <c r="AX242" s="190" t="s">
        <v>72</v>
      </c>
      <c r="AY242" s="184"/>
    </row>
    <row r="243" spans="2:51" hidden="1">
      <c r="B243" s="198">
        <v>2183</v>
      </c>
      <c r="C243" s="199">
        <v>266891</v>
      </c>
      <c r="D243" s="198">
        <v>257730</v>
      </c>
      <c r="E243" s="198" t="s">
        <v>2003</v>
      </c>
      <c r="F243" s="198" t="s">
        <v>1004</v>
      </c>
      <c r="G243" s="198"/>
      <c r="H243" s="198"/>
      <c r="I243" s="200">
        <v>1</v>
      </c>
      <c r="J243" s="198"/>
      <c r="K243" s="200">
        <v>0</v>
      </c>
      <c r="L243" s="198" t="s">
        <v>1007</v>
      </c>
      <c r="M243" s="198"/>
      <c r="N243" s="198" t="s">
        <v>2196</v>
      </c>
      <c r="O243" s="198" t="s">
        <v>2184</v>
      </c>
      <c r="P243" s="198"/>
      <c r="Q243" s="198"/>
      <c r="R243" s="198"/>
      <c r="S243" s="201">
        <v>44503</v>
      </c>
      <c r="T243" s="201">
        <v>44503</v>
      </c>
      <c r="U243" s="198" t="s">
        <v>941</v>
      </c>
      <c r="V243" s="198">
        <v>2000</v>
      </c>
      <c r="W243" s="198">
        <v>14080</v>
      </c>
      <c r="X243" s="202">
        <v>164062.15</v>
      </c>
      <c r="Y243" s="198">
        <v>14086</v>
      </c>
      <c r="Z243" s="202">
        <v>20507.77</v>
      </c>
      <c r="AA243" s="202">
        <v>0</v>
      </c>
      <c r="AB243" s="202">
        <v>143554.38</v>
      </c>
      <c r="AC243" s="202">
        <v>2734.36</v>
      </c>
      <c r="AD243" s="198">
        <v>57260</v>
      </c>
      <c r="AE243" s="202">
        <v>683.59</v>
      </c>
      <c r="AF243" s="202">
        <v>0</v>
      </c>
      <c r="AG243" s="202">
        <v>683.59</v>
      </c>
      <c r="AH243" s="198" t="s">
        <v>989</v>
      </c>
      <c r="AI243" s="198"/>
      <c r="AJ243" s="198"/>
      <c r="AK243" s="198" t="s">
        <v>316</v>
      </c>
      <c r="AL243" s="198" t="s">
        <v>138</v>
      </c>
      <c r="AM243" s="198" t="s">
        <v>138</v>
      </c>
      <c r="AN243" s="196">
        <f t="shared" si="60"/>
        <v>11</v>
      </c>
      <c r="AO243" s="196">
        <f t="shared" si="61"/>
        <v>2021</v>
      </c>
      <c r="AP243" s="195">
        <f t="shared" si="62"/>
        <v>2041</v>
      </c>
      <c r="AQ243" s="194">
        <f t="shared" si="63"/>
        <v>2041.9166666666667</v>
      </c>
      <c r="AR243" s="193">
        <f t="shared" si="64"/>
        <v>683.59229166666671</v>
      </c>
      <c r="AS243" s="192">
        <f t="shared" si="65"/>
        <v>8203.1075000000001</v>
      </c>
      <c r="AT243" s="192">
        <f t="shared" si="66"/>
        <v>8203.1075000000001</v>
      </c>
      <c r="AU243" s="192">
        <f t="shared" si="67"/>
        <v>12304.661249999976</v>
      </c>
      <c r="AV243" s="192">
        <f t="shared" si="68"/>
        <v>20507.768749999974</v>
      </c>
      <c r="AW243" s="191">
        <f t="shared" si="69"/>
        <v>143554.38125000003</v>
      </c>
      <c r="AX243" s="190" t="s">
        <v>72</v>
      </c>
      <c r="AY243" s="184"/>
    </row>
    <row r="244" spans="2:51" hidden="1">
      <c r="B244" s="198">
        <v>2183</v>
      </c>
      <c r="C244" s="199">
        <v>265747</v>
      </c>
      <c r="D244" s="198">
        <v>264418</v>
      </c>
      <c r="E244" s="198" t="s">
        <v>2003</v>
      </c>
      <c r="F244" s="198" t="s">
        <v>2223</v>
      </c>
      <c r="G244" s="198"/>
      <c r="H244" s="198"/>
      <c r="I244" s="200">
        <v>1</v>
      </c>
      <c r="J244" s="198"/>
      <c r="K244" s="200">
        <v>0</v>
      </c>
      <c r="L244" s="198" t="s">
        <v>1008</v>
      </c>
      <c r="M244" s="198"/>
      <c r="N244" s="198" t="s">
        <v>409</v>
      </c>
      <c r="O244" s="198" t="s">
        <v>2184</v>
      </c>
      <c r="P244" s="198"/>
      <c r="Q244" s="198"/>
      <c r="R244" s="198"/>
      <c r="S244" s="201">
        <v>44487</v>
      </c>
      <c r="T244" s="201">
        <v>44487</v>
      </c>
      <c r="U244" s="198" t="s">
        <v>943</v>
      </c>
      <c r="V244" s="198">
        <v>1000</v>
      </c>
      <c r="W244" s="198">
        <v>14100</v>
      </c>
      <c r="X244" s="202">
        <v>1358.09</v>
      </c>
      <c r="Y244" s="198">
        <v>14106</v>
      </c>
      <c r="Z244" s="202">
        <v>339.54</v>
      </c>
      <c r="AA244" s="202">
        <v>0</v>
      </c>
      <c r="AB244" s="202">
        <v>1018.55</v>
      </c>
      <c r="AC244" s="202">
        <v>45.28</v>
      </c>
      <c r="AD244" s="198">
        <v>70260</v>
      </c>
      <c r="AE244" s="202">
        <v>11.32</v>
      </c>
      <c r="AF244" s="202">
        <v>0</v>
      </c>
      <c r="AG244" s="202">
        <v>11.32</v>
      </c>
      <c r="AH244" s="198" t="s">
        <v>989</v>
      </c>
      <c r="AI244" s="198"/>
      <c r="AJ244" s="198"/>
      <c r="AK244" s="198" t="s">
        <v>316</v>
      </c>
      <c r="AL244" s="198" t="s">
        <v>138</v>
      </c>
      <c r="AM244" s="198" t="s">
        <v>138</v>
      </c>
      <c r="AN244" s="196">
        <f t="shared" si="60"/>
        <v>10</v>
      </c>
      <c r="AO244" s="196">
        <f t="shared" si="61"/>
        <v>2021</v>
      </c>
      <c r="AP244" s="195">
        <f t="shared" si="62"/>
        <v>2031</v>
      </c>
      <c r="AQ244" s="194">
        <f t="shared" si="63"/>
        <v>2031.8333333333333</v>
      </c>
      <c r="AR244" s="193">
        <f t="shared" si="64"/>
        <v>11.317416666666666</v>
      </c>
      <c r="AS244" s="192">
        <f t="shared" si="65"/>
        <v>135.809</v>
      </c>
      <c r="AT244" s="192">
        <f t="shared" si="66"/>
        <v>135.809</v>
      </c>
      <c r="AU244" s="192">
        <f t="shared" si="67"/>
        <v>215.03091666668729</v>
      </c>
      <c r="AV244" s="192">
        <f t="shared" si="68"/>
        <v>350.83991666668726</v>
      </c>
      <c r="AW244" s="191">
        <f t="shared" si="69"/>
        <v>1007.2500833333127</v>
      </c>
      <c r="AX244" s="190" t="s">
        <v>72</v>
      </c>
      <c r="AY244" s="184"/>
    </row>
    <row r="245" spans="2:51">
      <c r="B245" s="198">
        <v>2183</v>
      </c>
      <c r="C245" s="199">
        <v>265458</v>
      </c>
      <c r="D245" s="198" t="s">
        <v>989</v>
      </c>
      <c r="E245" s="198" t="s">
        <v>2003</v>
      </c>
      <c r="F245" s="198" t="s">
        <v>1009</v>
      </c>
      <c r="G245" s="198"/>
      <c r="H245" s="198"/>
      <c r="I245" s="200">
        <v>3</v>
      </c>
      <c r="J245" s="198"/>
      <c r="K245" s="200">
        <v>0</v>
      </c>
      <c r="L245" s="198"/>
      <c r="M245" s="198"/>
      <c r="N245" s="198" t="s">
        <v>2198</v>
      </c>
      <c r="O245" s="198" t="s">
        <v>2184</v>
      </c>
      <c r="P245" s="198"/>
      <c r="Q245" s="198"/>
      <c r="R245" s="198"/>
      <c r="S245" s="201">
        <v>44501</v>
      </c>
      <c r="T245" s="201">
        <v>44501</v>
      </c>
      <c r="U245" s="198" t="s">
        <v>1010</v>
      </c>
      <c r="V245" s="198">
        <v>500</v>
      </c>
      <c r="W245" s="198">
        <v>14070</v>
      </c>
      <c r="X245" s="202">
        <v>1617.15</v>
      </c>
      <c r="Y245" s="198">
        <v>14076</v>
      </c>
      <c r="Z245" s="202">
        <v>808.57</v>
      </c>
      <c r="AA245" s="202">
        <v>0</v>
      </c>
      <c r="AB245" s="202">
        <v>808.58</v>
      </c>
      <c r="AC245" s="202">
        <v>107.8</v>
      </c>
      <c r="AD245" s="198">
        <v>51260</v>
      </c>
      <c r="AE245" s="202">
        <v>26.95</v>
      </c>
      <c r="AF245" s="202">
        <v>0</v>
      </c>
      <c r="AG245" s="202">
        <v>26.95</v>
      </c>
      <c r="AH245" s="198" t="s">
        <v>989</v>
      </c>
      <c r="AI245" s="198"/>
      <c r="AJ245" s="198"/>
      <c r="AK245" s="198" t="s">
        <v>316</v>
      </c>
      <c r="AL245" s="198" t="s">
        <v>932</v>
      </c>
      <c r="AM245" s="198" t="s">
        <v>932</v>
      </c>
      <c r="AN245" s="196">
        <f t="shared" si="60"/>
        <v>11</v>
      </c>
      <c r="AO245" s="196">
        <f t="shared" si="61"/>
        <v>2021</v>
      </c>
      <c r="AP245" s="195">
        <f t="shared" si="62"/>
        <v>2026</v>
      </c>
      <c r="AQ245" s="194">
        <f t="shared" si="63"/>
        <v>2026.9166666666667</v>
      </c>
      <c r="AR245" s="193">
        <f t="shared" si="64"/>
        <v>26.952500000000001</v>
      </c>
      <c r="AS245" s="192">
        <f t="shared" si="65"/>
        <v>323.43</v>
      </c>
      <c r="AT245" s="192">
        <f t="shared" si="66"/>
        <v>323.43</v>
      </c>
      <c r="AU245" s="192">
        <f t="shared" si="67"/>
        <v>485.14499999999998</v>
      </c>
      <c r="AV245" s="192">
        <f t="shared" si="68"/>
        <v>808.57500000000005</v>
      </c>
      <c r="AW245" s="191">
        <f t="shared" si="69"/>
        <v>808.57500000000005</v>
      </c>
      <c r="AX245" s="190" t="s">
        <v>72</v>
      </c>
      <c r="AY245" s="184"/>
    </row>
    <row r="246" spans="2:51" hidden="1">
      <c r="B246" s="198">
        <v>2183</v>
      </c>
      <c r="C246" s="199">
        <v>264808</v>
      </c>
      <c r="D246" s="198">
        <v>257730</v>
      </c>
      <c r="E246" s="198" t="s">
        <v>2003</v>
      </c>
      <c r="F246" s="198" t="s">
        <v>1004</v>
      </c>
      <c r="G246" s="198"/>
      <c r="H246" s="198"/>
      <c r="I246" s="200">
        <v>1</v>
      </c>
      <c r="J246" s="198"/>
      <c r="K246" s="200">
        <v>0</v>
      </c>
      <c r="L246" s="198" t="s">
        <v>1005</v>
      </c>
      <c r="M246" s="198"/>
      <c r="N246" s="198" t="s">
        <v>2196</v>
      </c>
      <c r="O246" s="198" t="s">
        <v>2184</v>
      </c>
      <c r="P246" s="198"/>
      <c r="Q246" s="198"/>
      <c r="R246" s="198"/>
      <c r="S246" s="201">
        <v>44503</v>
      </c>
      <c r="T246" s="201">
        <v>44503</v>
      </c>
      <c r="U246" s="198" t="s">
        <v>941</v>
      </c>
      <c r="V246" s="198">
        <v>2000</v>
      </c>
      <c r="W246" s="198">
        <v>14080</v>
      </c>
      <c r="X246" s="202">
        <v>2298.5</v>
      </c>
      <c r="Y246" s="198">
        <v>14086</v>
      </c>
      <c r="Z246" s="202">
        <v>287.33999999999997</v>
      </c>
      <c r="AA246" s="202">
        <v>0</v>
      </c>
      <c r="AB246" s="202">
        <v>2011.16</v>
      </c>
      <c r="AC246" s="202">
        <v>38.32</v>
      </c>
      <c r="AD246" s="198">
        <v>57260</v>
      </c>
      <c r="AE246" s="202">
        <v>9.58</v>
      </c>
      <c r="AF246" s="202">
        <v>0</v>
      </c>
      <c r="AG246" s="202">
        <v>9.58</v>
      </c>
      <c r="AH246" s="198" t="s">
        <v>989</v>
      </c>
      <c r="AI246" s="198"/>
      <c r="AJ246" s="198"/>
      <c r="AK246" s="198" t="s">
        <v>316</v>
      </c>
      <c r="AL246" s="198" t="s">
        <v>138</v>
      </c>
      <c r="AM246" s="198" t="s">
        <v>138</v>
      </c>
      <c r="AN246" s="196">
        <f t="shared" si="60"/>
        <v>11</v>
      </c>
      <c r="AO246" s="196">
        <f t="shared" si="61"/>
        <v>2021</v>
      </c>
      <c r="AP246" s="195">
        <f t="shared" si="62"/>
        <v>2041</v>
      </c>
      <c r="AQ246" s="194">
        <f t="shared" si="63"/>
        <v>2041.9166666666667</v>
      </c>
      <c r="AR246" s="193">
        <f t="shared" si="64"/>
        <v>9.5770833333333325</v>
      </c>
      <c r="AS246" s="192">
        <f t="shared" si="65"/>
        <v>114.92499999999998</v>
      </c>
      <c r="AT246" s="192">
        <f t="shared" si="66"/>
        <v>114.92499999999998</v>
      </c>
      <c r="AU246" s="192">
        <f t="shared" si="67"/>
        <v>172.38750000000027</v>
      </c>
      <c r="AV246" s="192">
        <f t="shared" si="68"/>
        <v>287.31250000000023</v>
      </c>
      <c r="AW246" s="191">
        <f t="shared" si="69"/>
        <v>2011.1874999999998</v>
      </c>
      <c r="AX246" s="190" t="s">
        <v>72</v>
      </c>
      <c r="AY246" s="184"/>
    </row>
    <row r="247" spans="2:51" hidden="1">
      <c r="B247" s="198">
        <v>2183</v>
      </c>
      <c r="C247" s="199">
        <v>264420</v>
      </c>
      <c r="D247" s="198">
        <v>264419</v>
      </c>
      <c r="E247" s="198" t="s">
        <v>2003</v>
      </c>
      <c r="F247" s="198" t="s">
        <v>1011</v>
      </c>
      <c r="G247" s="198"/>
      <c r="H247" s="198"/>
      <c r="I247" s="200">
        <v>1</v>
      </c>
      <c r="J247" s="198"/>
      <c r="K247" s="200">
        <v>0</v>
      </c>
      <c r="L247" s="198"/>
      <c r="M247" s="198"/>
      <c r="N247" s="198" t="s">
        <v>2199</v>
      </c>
      <c r="O247" s="198" t="s">
        <v>2184</v>
      </c>
      <c r="P247" s="198"/>
      <c r="Q247" s="198"/>
      <c r="R247" s="198"/>
      <c r="S247" s="201">
        <v>44487</v>
      </c>
      <c r="T247" s="201">
        <v>44487</v>
      </c>
      <c r="U247" s="198" t="s">
        <v>944</v>
      </c>
      <c r="V247" s="198">
        <v>300</v>
      </c>
      <c r="W247" s="198">
        <v>14110</v>
      </c>
      <c r="X247" s="202">
        <v>19435.64</v>
      </c>
      <c r="Y247" s="198">
        <v>14116</v>
      </c>
      <c r="Z247" s="202">
        <v>16196.38</v>
      </c>
      <c r="AA247" s="202">
        <v>0</v>
      </c>
      <c r="AB247" s="202">
        <v>3239.26</v>
      </c>
      <c r="AC247" s="202">
        <v>2159.52</v>
      </c>
      <c r="AD247" s="198">
        <v>70260</v>
      </c>
      <c r="AE247" s="202">
        <v>539.88</v>
      </c>
      <c r="AF247" s="202">
        <v>0</v>
      </c>
      <c r="AG247" s="202">
        <v>539.88</v>
      </c>
      <c r="AH247" s="198" t="s">
        <v>989</v>
      </c>
      <c r="AI247" s="198"/>
      <c r="AJ247" s="198"/>
      <c r="AK247" s="198" t="s">
        <v>316</v>
      </c>
      <c r="AL247" s="198" t="s">
        <v>138</v>
      </c>
      <c r="AM247" s="198" t="s">
        <v>138</v>
      </c>
      <c r="AN247" s="196">
        <f t="shared" si="60"/>
        <v>10</v>
      </c>
      <c r="AO247" s="196">
        <f t="shared" si="61"/>
        <v>2021</v>
      </c>
      <c r="AP247" s="195">
        <f t="shared" si="62"/>
        <v>2024</v>
      </c>
      <c r="AQ247" s="194">
        <f t="shared" si="63"/>
        <v>2024.8333333333333</v>
      </c>
      <c r="AR247" s="193">
        <f t="shared" si="64"/>
        <v>539.87888888888881</v>
      </c>
      <c r="AS247" s="192">
        <f t="shared" si="65"/>
        <v>6478.5466666666653</v>
      </c>
      <c r="AT247" s="192">
        <f t="shared" si="66"/>
        <v>6478.5466666666653</v>
      </c>
      <c r="AU247" s="192">
        <f t="shared" si="67"/>
        <v>10257.698888889872</v>
      </c>
      <c r="AV247" s="192">
        <f t="shared" si="68"/>
        <v>16736.245555556539</v>
      </c>
      <c r="AW247" s="191">
        <f t="shared" si="69"/>
        <v>2699.3944444434601</v>
      </c>
      <c r="AX247" s="190" t="s">
        <v>72</v>
      </c>
      <c r="AY247" s="184"/>
    </row>
    <row r="248" spans="2:51">
      <c r="B248" s="198">
        <v>2183</v>
      </c>
      <c r="C248" s="199">
        <v>264419</v>
      </c>
      <c r="D248" s="198" t="s">
        <v>989</v>
      </c>
      <c r="E248" s="198" t="s">
        <v>2003</v>
      </c>
      <c r="F248" s="198" t="s">
        <v>1012</v>
      </c>
      <c r="G248" s="198"/>
      <c r="H248" s="198"/>
      <c r="I248" s="200">
        <v>1</v>
      </c>
      <c r="J248" s="198"/>
      <c r="K248" s="200">
        <v>0</v>
      </c>
      <c r="L248" s="198"/>
      <c r="M248" s="198"/>
      <c r="N248" s="198" t="s">
        <v>2198</v>
      </c>
      <c r="O248" s="198" t="s">
        <v>2184</v>
      </c>
      <c r="P248" s="198"/>
      <c r="Q248" s="198"/>
      <c r="R248" s="198"/>
      <c r="S248" s="201">
        <v>44487</v>
      </c>
      <c r="T248" s="201">
        <v>44487</v>
      </c>
      <c r="U248" s="198" t="s">
        <v>944</v>
      </c>
      <c r="V248" s="198">
        <v>500</v>
      </c>
      <c r="W248" s="198">
        <v>14070</v>
      </c>
      <c r="X248" s="202">
        <v>2122.54</v>
      </c>
      <c r="Y248" s="198">
        <v>14076</v>
      </c>
      <c r="Z248" s="202">
        <v>1061.29</v>
      </c>
      <c r="AA248" s="202">
        <v>0</v>
      </c>
      <c r="AB248" s="202">
        <v>1061.25</v>
      </c>
      <c r="AC248" s="202">
        <v>141.52000000000001</v>
      </c>
      <c r="AD248" s="198">
        <v>51260</v>
      </c>
      <c r="AE248" s="202">
        <v>35.380000000000003</v>
      </c>
      <c r="AF248" s="202">
        <v>0</v>
      </c>
      <c r="AG248" s="202">
        <v>35.380000000000003</v>
      </c>
      <c r="AH248" s="198" t="s">
        <v>989</v>
      </c>
      <c r="AI248" s="198"/>
      <c r="AJ248" s="198"/>
      <c r="AK248" s="198" t="s">
        <v>316</v>
      </c>
      <c r="AL248" s="198" t="s">
        <v>138</v>
      </c>
      <c r="AM248" s="198" t="s">
        <v>138</v>
      </c>
      <c r="AN248" s="196">
        <f t="shared" si="60"/>
        <v>10</v>
      </c>
      <c r="AO248" s="196">
        <f t="shared" si="61"/>
        <v>2021</v>
      </c>
      <c r="AP248" s="195">
        <f t="shared" si="62"/>
        <v>2026</v>
      </c>
      <c r="AQ248" s="194">
        <f t="shared" si="63"/>
        <v>2026.8333333333333</v>
      </c>
      <c r="AR248" s="193">
        <f t="shared" si="64"/>
        <v>35.375666666666667</v>
      </c>
      <c r="AS248" s="192">
        <f t="shared" si="65"/>
        <v>424.50800000000004</v>
      </c>
      <c r="AT248" s="192">
        <f t="shared" si="66"/>
        <v>424.50800000000004</v>
      </c>
      <c r="AU248" s="192">
        <f t="shared" si="67"/>
        <v>672.13766666673087</v>
      </c>
      <c r="AV248" s="192">
        <f t="shared" si="68"/>
        <v>1096.6456666667309</v>
      </c>
      <c r="AW248" s="191">
        <f t="shared" si="69"/>
        <v>1025.8943333332691</v>
      </c>
      <c r="AX248" s="190" t="s">
        <v>72</v>
      </c>
      <c r="AY248" s="184"/>
    </row>
    <row r="249" spans="2:51">
      <c r="B249" s="198">
        <v>2183</v>
      </c>
      <c r="C249" s="199">
        <v>264418</v>
      </c>
      <c r="D249" s="198" t="s">
        <v>989</v>
      </c>
      <c r="E249" s="198" t="s">
        <v>2003</v>
      </c>
      <c r="F249" s="198" t="s">
        <v>999</v>
      </c>
      <c r="G249" s="198"/>
      <c r="H249" s="198"/>
      <c r="I249" s="200">
        <v>1</v>
      </c>
      <c r="J249" s="198"/>
      <c r="K249" s="200">
        <v>0</v>
      </c>
      <c r="L249" s="198"/>
      <c r="M249" s="198"/>
      <c r="N249" s="198" t="s">
        <v>409</v>
      </c>
      <c r="O249" s="198" t="s">
        <v>2184</v>
      </c>
      <c r="P249" s="198"/>
      <c r="Q249" s="198"/>
      <c r="R249" s="198"/>
      <c r="S249" s="201">
        <v>44487</v>
      </c>
      <c r="T249" s="201">
        <v>44487</v>
      </c>
      <c r="U249" s="198" t="s">
        <v>942</v>
      </c>
      <c r="V249" s="198">
        <v>1000</v>
      </c>
      <c r="W249" s="198">
        <v>14100</v>
      </c>
      <c r="X249" s="202">
        <v>139900.24</v>
      </c>
      <c r="Y249" s="198">
        <v>14106</v>
      </c>
      <c r="Z249" s="202">
        <v>34975.07</v>
      </c>
      <c r="AA249" s="202">
        <v>0</v>
      </c>
      <c r="AB249" s="202">
        <v>104925.16999999998</v>
      </c>
      <c r="AC249" s="202">
        <v>4663.3599999999997</v>
      </c>
      <c r="AD249" s="198">
        <v>70260</v>
      </c>
      <c r="AE249" s="202">
        <v>1165.8399999999999</v>
      </c>
      <c r="AF249" s="202">
        <v>0</v>
      </c>
      <c r="AG249" s="202">
        <v>1165.8399999999999</v>
      </c>
      <c r="AH249" s="198" t="s">
        <v>989</v>
      </c>
      <c r="AI249" s="198"/>
      <c r="AJ249" s="198"/>
      <c r="AK249" s="198" t="s">
        <v>316</v>
      </c>
      <c r="AL249" s="198" t="s">
        <v>138</v>
      </c>
      <c r="AM249" s="198" t="s">
        <v>138</v>
      </c>
      <c r="AN249" s="196">
        <f t="shared" si="60"/>
        <v>10</v>
      </c>
      <c r="AO249" s="196">
        <f t="shared" si="61"/>
        <v>2021</v>
      </c>
      <c r="AP249" s="195">
        <f t="shared" si="62"/>
        <v>2031</v>
      </c>
      <c r="AQ249" s="194">
        <f t="shared" si="63"/>
        <v>2031.8333333333333</v>
      </c>
      <c r="AR249" s="193">
        <f t="shared" si="64"/>
        <v>1165.8353333333332</v>
      </c>
      <c r="AS249" s="192">
        <f t="shared" si="65"/>
        <v>13990.023999999998</v>
      </c>
      <c r="AT249" s="192">
        <f t="shared" si="66"/>
        <v>13990.023999999998</v>
      </c>
      <c r="AU249" s="192">
        <f t="shared" si="67"/>
        <v>22150.871333335454</v>
      </c>
      <c r="AV249" s="192">
        <f t="shared" si="68"/>
        <v>36140.895333335451</v>
      </c>
      <c r="AW249" s="191">
        <f t="shared" si="69"/>
        <v>103759.34466666455</v>
      </c>
      <c r="AX249" s="190" t="s">
        <v>72</v>
      </c>
      <c r="AY249" s="184"/>
    </row>
    <row r="250" spans="2:51">
      <c r="B250" s="198">
        <v>2183</v>
      </c>
      <c r="C250" s="199">
        <v>263291</v>
      </c>
      <c r="D250" s="198" t="s">
        <v>989</v>
      </c>
      <c r="E250" s="198" t="s">
        <v>2003</v>
      </c>
      <c r="F250" s="198" t="s">
        <v>861</v>
      </c>
      <c r="G250" s="198"/>
      <c r="H250" s="198"/>
      <c r="I250" s="200">
        <v>702</v>
      </c>
      <c r="J250" s="198"/>
      <c r="K250" s="200">
        <v>0</v>
      </c>
      <c r="L250" s="198" t="s">
        <v>1001</v>
      </c>
      <c r="M250" s="198"/>
      <c r="N250" s="198" t="s">
        <v>2190</v>
      </c>
      <c r="O250" s="198" t="s">
        <v>2184</v>
      </c>
      <c r="P250" s="198"/>
      <c r="Q250" s="198"/>
      <c r="R250" s="198"/>
      <c r="S250" s="201">
        <v>44484</v>
      </c>
      <c r="T250" s="201">
        <v>44484</v>
      </c>
      <c r="U250" s="198" t="s">
        <v>1003</v>
      </c>
      <c r="V250" s="198">
        <v>700</v>
      </c>
      <c r="W250" s="198">
        <v>14050</v>
      </c>
      <c r="X250" s="202">
        <v>40388.5</v>
      </c>
      <c r="Y250" s="198">
        <v>14056</v>
      </c>
      <c r="Z250" s="202">
        <v>14905.31</v>
      </c>
      <c r="AA250" s="202">
        <v>0</v>
      </c>
      <c r="AB250" s="202">
        <v>25483.190000000002</v>
      </c>
      <c r="AC250" s="202">
        <v>1923.28</v>
      </c>
      <c r="AD250" s="198">
        <v>54260</v>
      </c>
      <c r="AE250" s="202">
        <v>480.82</v>
      </c>
      <c r="AF250" s="202">
        <v>0</v>
      </c>
      <c r="AG250" s="202">
        <v>480.82</v>
      </c>
      <c r="AH250" s="198" t="s">
        <v>989</v>
      </c>
      <c r="AI250" s="198"/>
      <c r="AJ250" s="198"/>
      <c r="AK250" s="198" t="s">
        <v>316</v>
      </c>
      <c r="AL250" s="198" t="s">
        <v>424</v>
      </c>
      <c r="AM250" s="198" t="s">
        <v>424</v>
      </c>
      <c r="AN250" s="196">
        <f t="shared" si="60"/>
        <v>10</v>
      </c>
      <c r="AO250" s="196">
        <f t="shared" si="61"/>
        <v>2021</v>
      </c>
      <c r="AP250" s="195">
        <f t="shared" si="62"/>
        <v>2028</v>
      </c>
      <c r="AQ250" s="194">
        <f t="shared" si="63"/>
        <v>2028.8333333333333</v>
      </c>
      <c r="AR250" s="193">
        <f t="shared" si="64"/>
        <v>480.8154761904762</v>
      </c>
      <c r="AS250" s="192">
        <f t="shared" si="65"/>
        <v>5769.7857142857147</v>
      </c>
      <c r="AT250" s="192">
        <f t="shared" si="66"/>
        <v>5769.7857142857147</v>
      </c>
      <c r="AU250" s="192">
        <f t="shared" si="67"/>
        <v>9135.4940476199226</v>
      </c>
      <c r="AV250" s="192">
        <f t="shared" si="68"/>
        <v>14905.279761905636</v>
      </c>
      <c r="AW250" s="191">
        <f t="shared" si="69"/>
        <v>25483.220238094364</v>
      </c>
      <c r="AX250" s="190" t="s">
        <v>72</v>
      </c>
      <c r="AY250" s="184"/>
    </row>
    <row r="251" spans="2:51">
      <c r="B251" s="198">
        <v>2183</v>
      </c>
      <c r="C251" s="199">
        <v>263290</v>
      </c>
      <c r="D251" s="198" t="s">
        <v>989</v>
      </c>
      <c r="E251" s="198" t="s">
        <v>2003</v>
      </c>
      <c r="F251" s="198" t="s">
        <v>1013</v>
      </c>
      <c r="G251" s="198"/>
      <c r="H251" s="198"/>
      <c r="I251" s="200">
        <v>1080</v>
      </c>
      <c r="J251" s="198"/>
      <c r="K251" s="200">
        <v>0</v>
      </c>
      <c r="L251" s="198" t="s">
        <v>1001</v>
      </c>
      <c r="M251" s="198"/>
      <c r="N251" s="198" t="s">
        <v>2190</v>
      </c>
      <c r="O251" s="198" t="s">
        <v>2184</v>
      </c>
      <c r="P251" s="198"/>
      <c r="Q251" s="198"/>
      <c r="R251" s="198"/>
      <c r="S251" s="201">
        <v>44484</v>
      </c>
      <c r="T251" s="201">
        <v>44484</v>
      </c>
      <c r="U251" s="198" t="s">
        <v>1003</v>
      </c>
      <c r="V251" s="198">
        <v>700</v>
      </c>
      <c r="W251" s="198">
        <v>14050</v>
      </c>
      <c r="X251" s="202">
        <v>47461.65</v>
      </c>
      <c r="Y251" s="198">
        <v>14056</v>
      </c>
      <c r="Z251" s="202">
        <v>17515.62</v>
      </c>
      <c r="AA251" s="202">
        <v>0</v>
      </c>
      <c r="AB251" s="202">
        <v>29946.030000000002</v>
      </c>
      <c r="AC251" s="202">
        <v>2260.08</v>
      </c>
      <c r="AD251" s="198">
        <v>54260</v>
      </c>
      <c r="AE251" s="202">
        <v>565.02</v>
      </c>
      <c r="AF251" s="202">
        <v>0</v>
      </c>
      <c r="AG251" s="202">
        <v>565.02</v>
      </c>
      <c r="AH251" s="198" t="s">
        <v>989</v>
      </c>
      <c r="AI251" s="198"/>
      <c r="AJ251" s="198"/>
      <c r="AK251" s="198" t="s">
        <v>316</v>
      </c>
      <c r="AL251" s="198" t="s">
        <v>929</v>
      </c>
      <c r="AM251" s="198" t="s">
        <v>929</v>
      </c>
      <c r="AN251" s="196">
        <f t="shared" si="60"/>
        <v>10</v>
      </c>
      <c r="AO251" s="196">
        <f t="shared" si="61"/>
        <v>2021</v>
      </c>
      <c r="AP251" s="195">
        <f t="shared" si="62"/>
        <v>2028</v>
      </c>
      <c r="AQ251" s="194">
        <f t="shared" si="63"/>
        <v>2028.8333333333333</v>
      </c>
      <c r="AR251" s="193">
        <f t="shared" si="64"/>
        <v>565.01964285714291</v>
      </c>
      <c r="AS251" s="192">
        <f t="shared" si="65"/>
        <v>6780.2357142857145</v>
      </c>
      <c r="AT251" s="192">
        <f t="shared" si="66"/>
        <v>6780.2357142857145</v>
      </c>
      <c r="AU251" s="192">
        <f t="shared" si="67"/>
        <v>10735.373214286737</v>
      </c>
      <c r="AV251" s="192">
        <f t="shared" si="68"/>
        <v>17515.608928572452</v>
      </c>
      <c r="AW251" s="191">
        <f t="shared" si="69"/>
        <v>29946.041071427549</v>
      </c>
      <c r="AX251" s="190" t="s">
        <v>72</v>
      </c>
      <c r="AY251" s="184"/>
    </row>
    <row r="252" spans="2:51">
      <c r="B252" s="198">
        <v>2183</v>
      </c>
      <c r="C252" s="199">
        <v>261231</v>
      </c>
      <c r="D252" s="198" t="s">
        <v>989</v>
      </c>
      <c r="E252" s="198" t="s">
        <v>2003</v>
      </c>
      <c r="F252" s="198" t="s">
        <v>1014</v>
      </c>
      <c r="G252" s="198"/>
      <c r="H252" s="198"/>
      <c r="I252" s="200">
        <v>702</v>
      </c>
      <c r="J252" s="198"/>
      <c r="K252" s="200">
        <v>0</v>
      </c>
      <c r="L252" s="198" t="s">
        <v>1001</v>
      </c>
      <c r="M252" s="198"/>
      <c r="N252" s="198" t="s">
        <v>2190</v>
      </c>
      <c r="O252" s="198" t="s">
        <v>2184</v>
      </c>
      <c r="P252" s="198"/>
      <c r="Q252" s="198"/>
      <c r="R252" s="198"/>
      <c r="S252" s="201">
        <v>44452</v>
      </c>
      <c r="T252" s="201">
        <v>44452</v>
      </c>
      <c r="U252" s="198" t="s">
        <v>1003</v>
      </c>
      <c r="V252" s="198">
        <v>700</v>
      </c>
      <c r="W252" s="198">
        <v>14050</v>
      </c>
      <c r="X252" s="202">
        <v>40388.49</v>
      </c>
      <c r="Y252" s="198">
        <v>14056</v>
      </c>
      <c r="Z252" s="202">
        <v>15386.12</v>
      </c>
      <c r="AA252" s="202">
        <v>0</v>
      </c>
      <c r="AB252" s="202">
        <v>25002.369999999995</v>
      </c>
      <c r="AC252" s="202">
        <v>1923.28</v>
      </c>
      <c r="AD252" s="198">
        <v>54260</v>
      </c>
      <c r="AE252" s="202">
        <v>480.82</v>
      </c>
      <c r="AF252" s="202">
        <v>0</v>
      </c>
      <c r="AG252" s="202">
        <v>480.82</v>
      </c>
      <c r="AH252" s="198" t="s">
        <v>989</v>
      </c>
      <c r="AI252" s="198"/>
      <c r="AJ252" s="198"/>
      <c r="AK252" s="198" t="s">
        <v>316</v>
      </c>
      <c r="AL252" s="198" t="s">
        <v>2301</v>
      </c>
      <c r="AM252" s="198" t="s">
        <v>933</v>
      </c>
      <c r="AN252" s="196">
        <f t="shared" si="60"/>
        <v>9</v>
      </c>
      <c r="AO252" s="196">
        <f t="shared" si="61"/>
        <v>2021</v>
      </c>
      <c r="AP252" s="195">
        <f t="shared" si="62"/>
        <v>2028</v>
      </c>
      <c r="AQ252" s="194">
        <f t="shared" si="63"/>
        <v>2028.75</v>
      </c>
      <c r="AR252" s="193">
        <f t="shared" si="64"/>
        <v>480.81535714285707</v>
      </c>
      <c r="AS252" s="192">
        <f t="shared" si="65"/>
        <v>5769.784285714285</v>
      </c>
      <c r="AT252" s="192">
        <f t="shared" si="66"/>
        <v>5769.784285714285</v>
      </c>
      <c r="AU252" s="192">
        <f t="shared" si="67"/>
        <v>9616.3071428575822</v>
      </c>
      <c r="AV252" s="192">
        <f t="shared" si="68"/>
        <v>15386.091428571868</v>
      </c>
      <c r="AW252" s="191">
        <f t="shared" si="69"/>
        <v>25002.39857142813</v>
      </c>
      <c r="AX252" s="190" t="s">
        <v>72</v>
      </c>
      <c r="AY252" s="184"/>
    </row>
    <row r="253" spans="2:51">
      <c r="B253" s="198">
        <v>2183</v>
      </c>
      <c r="C253" s="199">
        <v>261230</v>
      </c>
      <c r="D253" s="198" t="s">
        <v>989</v>
      </c>
      <c r="E253" s="198" t="s">
        <v>2003</v>
      </c>
      <c r="F253" s="198" t="s">
        <v>1015</v>
      </c>
      <c r="G253" s="198"/>
      <c r="H253" s="198"/>
      <c r="I253" s="200">
        <v>936</v>
      </c>
      <c r="J253" s="198"/>
      <c r="K253" s="200">
        <v>0</v>
      </c>
      <c r="L253" s="198" t="s">
        <v>1001</v>
      </c>
      <c r="M253" s="198"/>
      <c r="N253" s="198" t="s">
        <v>2190</v>
      </c>
      <c r="O253" s="198" t="s">
        <v>2184</v>
      </c>
      <c r="P253" s="198"/>
      <c r="Q253" s="198"/>
      <c r="R253" s="198"/>
      <c r="S253" s="201">
        <v>44441</v>
      </c>
      <c r="T253" s="201">
        <v>44441</v>
      </c>
      <c r="U253" s="198" t="s">
        <v>1003</v>
      </c>
      <c r="V253" s="198">
        <v>700</v>
      </c>
      <c r="W253" s="198">
        <v>14050</v>
      </c>
      <c r="X253" s="202">
        <v>47461.66</v>
      </c>
      <c r="Y253" s="198">
        <v>14056</v>
      </c>
      <c r="Z253" s="202">
        <v>18080.64</v>
      </c>
      <c r="AA253" s="202">
        <v>0</v>
      </c>
      <c r="AB253" s="202">
        <v>29381.020000000004</v>
      </c>
      <c r="AC253" s="202">
        <v>2260.08</v>
      </c>
      <c r="AD253" s="198">
        <v>54260</v>
      </c>
      <c r="AE253" s="202">
        <v>565.02</v>
      </c>
      <c r="AF253" s="202">
        <v>0</v>
      </c>
      <c r="AG253" s="202">
        <v>565.02</v>
      </c>
      <c r="AH253" s="198" t="s">
        <v>989</v>
      </c>
      <c r="AI253" s="198"/>
      <c r="AJ253" s="198"/>
      <c r="AK253" s="198" t="s">
        <v>316</v>
      </c>
      <c r="AL253" s="198" t="s">
        <v>929</v>
      </c>
      <c r="AM253" s="198" t="s">
        <v>929</v>
      </c>
      <c r="AN253" s="196">
        <f t="shared" si="60"/>
        <v>9</v>
      </c>
      <c r="AO253" s="196">
        <f t="shared" si="61"/>
        <v>2021</v>
      </c>
      <c r="AP253" s="195">
        <f t="shared" si="62"/>
        <v>2028</v>
      </c>
      <c r="AQ253" s="194">
        <f t="shared" si="63"/>
        <v>2028.75</v>
      </c>
      <c r="AR253" s="193">
        <f t="shared" si="64"/>
        <v>565.01976190476194</v>
      </c>
      <c r="AS253" s="192">
        <f t="shared" si="65"/>
        <v>6780.2371428571432</v>
      </c>
      <c r="AT253" s="192">
        <f t="shared" si="66"/>
        <v>6780.2371428571432</v>
      </c>
      <c r="AU253" s="192">
        <f t="shared" si="67"/>
        <v>11300.395238095756</v>
      </c>
      <c r="AV253" s="192">
        <f t="shared" si="68"/>
        <v>18080.632380952899</v>
      </c>
      <c r="AW253" s="191">
        <f t="shared" si="69"/>
        <v>29381.027619047105</v>
      </c>
      <c r="AX253" s="190" t="s">
        <v>72</v>
      </c>
      <c r="AY253" s="184"/>
    </row>
    <row r="254" spans="2:51" hidden="1">
      <c r="B254" s="198">
        <v>2183</v>
      </c>
      <c r="C254" s="199">
        <v>260754</v>
      </c>
      <c r="D254" s="198">
        <v>257730</v>
      </c>
      <c r="E254" s="198" t="s">
        <v>2003</v>
      </c>
      <c r="F254" s="198" t="s">
        <v>1004</v>
      </c>
      <c r="G254" s="198"/>
      <c r="H254" s="198"/>
      <c r="I254" s="200">
        <v>1</v>
      </c>
      <c r="J254" s="198"/>
      <c r="K254" s="200">
        <v>0</v>
      </c>
      <c r="L254" s="198" t="s">
        <v>1016</v>
      </c>
      <c r="M254" s="198"/>
      <c r="N254" s="198" t="s">
        <v>2196</v>
      </c>
      <c r="O254" s="198" t="s">
        <v>2184</v>
      </c>
      <c r="P254" s="198"/>
      <c r="Q254" s="198"/>
      <c r="R254" s="198"/>
      <c r="S254" s="201">
        <v>44439</v>
      </c>
      <c r="T254" s="201">
        <v>44439</v>
      </c>
      <c r="U254" s="198" t="s">
        <v>941</v>
      </c>
      <c r="V254" s="198">
        <v>2000</v>
      </c>
      <c r="W254" s="198">
        <v>14080</v>
      </c>
      <c r="X254" s="202">
        <v>520</v>
      </c>
      <c r="Y254" s="198">
        <v>14086</v>
      </c>
      <c r="Z254" s="202">
        <v>69.349999999999994</v>
      </c>
      <c r="AA254" s="202">
        <v>0</v>
      </c>
      <c r="AB254" s="202">
        <v>450.65</v>
      </c>
      <c r="AC254" s="202">
        <v>8.68</v>
      </c>
      <c r="AD254" s="198">
        <v>57260</v>
      </c>
      <c r="AE254" s="202">
        <v>2.17</v>
      </c>
      <c r="AF254" s="202">
        <v>0</v>
      </c>
      <c r="AG254" s="202">
        <v>2.17</v>
      </c>
      <c r="AH254" s="198" t="s">
        <v>989</v>
      </c>
      <c r="AI254" s="198"/>
      <c r="AJ254" s="198"/>
      <c r="AK254" s="198" t="s">
        <v>316</v>
      </c>
      <c r="AL254" s="198" t="s">
        <v>138</v>
      </c>
      <c r="AM254" s="198" t="s">
        <v>138</v>
      </c>
      <c r="AN254" s="196">
        <f t="shared" si="60"/>
        <v>8</v>
      </c>
      <c r="AO254" s="196">
        <f t="shared" si="61"/>
        <v>2021</v>
      </c>
      <c r="AP254" s="195">
        <f t="shared" si="62"/>
        <v>2041</v>
      </c>
      <c r="AQ254" s="194">
        <f t="shared" si="63"/>
        <v>2041.6666666666667</v>
      </c>
      <c r="AR254" s="193">
        <f t="shared" si="64"/>
        <v>2.1666666666666665</v>
      </c>
      <c r="AS254" s="192">
        <f t="shared" si="65"/>
        <v>26</v>
      </c>
      <c r="AT254" s="192">
        <f t="shared" si="66"/>
        <v>26</v>
      </c>
      <c r="AU254" s="192">
        <f t="shared" si="67"/>
        <v>45.500000000000057</v>
      </c>
      <c r="AV254" s="192">
        <f t="shared" si="68"/>
        <v>71.500000000000057</v>
      </c>
      <c r="AW254" s="191">
        <f t="shared" si="69"/>
        <v>448.49999999999994</v>
      </c>
      <c r="AX254" s="190" t="s">
        <v>72</v>
      </c>
      <c r="AY254" s="184"/>
    </row>
    <row r="255" spans="2:51" hidden="1">
      <c r="B255" s="198">
        <v>2183</v>
      </c>
      <c r="C255" s="199">
        <v>260344</v>
      </c>
      <c r="D255" s="198">
        <v>257730</v>
      </c>
      <c r="E255" s="198" t="s">
        <v>2003</v>
      </c>
      <c r="F255" s="198" t="s">
        <v>1004</v>
      </c>
      <c r="G255" s="198"/>
      <c r="H255" s="198"/>
      <c r="I255" s="200">
        <v>1</v>
      </c>
      <c r="J255" s="198"/>
      <c r="K255" s="200">
        <v>0</v>
      </c>
      <c r="L255" s="198" t="s">
        <v>1007</v>
      </c>
      <c r="M255" s="198"/>
      <c r="N255" s="198" t="s">
        <v>2196</v>
      </c>
      <c r="O255" s="198" t="s">
        <v>2184</v>
      </c>
      <c r="P255" s="198"/>
      <c r="Q255" s="198"/>
      <c r="R255" s="198"/>
      <c r="S255" s="201">
        <v>44439</v>
      </c>
      <c r="T255" s="201">
        <v>44439</v>
      </c>
      <c r="U255" s="198" t="s">
        <v>941</v>
      </c>
      <c r="V255" s="198">
        <v>2000</v>
      </c>
      <c r="W255" s="198">
        <v>14080</v>
      </c>
      <c r="X255" s="202">
        <v>237461.87</v>
      </c>
      <c r="Y255" s="198">
        <v>14086</v>
      </c>
      <c r="Z255" s="202">
        <v>31661.56</v>
      </c>
      <c r="AA255" s="202">
        <v>0</v>
      </c>
      <c r="AB255" s="202">
        <v>205800.31</v>
      </c>
      <c r="AC255" s="202">
        <v>3957.68</v>
      </c>
      <c r="AD255" s="198">
        <v>57260</v>
      </c>
      <c r="AE255" s="202">
        <v>989.42</v>
      </c>
      <c r="AF255" s="202">
        <v>0</v>
      </c>
      <c r="AG255" s="202">
        <v>989.42</v>
      </c>
      <c r="AH255" s="198" t="s">
        <v>989</v>
      </c>
      <c r="AI255" s="198"/>
      <c r="AJ255" s="198"/>
      <c r="AK255" s="198" t="s">
        <v>316</v>
      </c>
      <c r="AL255" s="198" t="s">
        <v>138</v>
      </c>
      <c r="AM255" s="198" t="s">
        <v>138</v>
      </c>
      <c r="AN255" s="196">
        <f t="shared" si="60"/>
        <v>8</v>
      </c>
      <c r="AO255" s="196">
        <f t="shared" si="61"/>
        <v>2021</v>
      </c>
      <c r="AP255" s="195">
        <f t="shared" si="62"/>
        <v>2041</v>
      </c>
      <c r="AQ255" s="194">
        <f t="shared" si="63"/>
        <v>2041.6666666666667</v>
      </c>
      <c r="AR255" s="193">
        <f t="shared" si="64"/>
        <v>989.42445833333329</v>
      </c>
      <c r="AS255" s="192">
        <f t="shared" si="65"/>
        <v>11873.093499999999</v>
      </c>
      <c r="AT255" s="192">
        <f t="shared" si="66"/>
        <v>11873.093499999999</v>
      </c>
      <c r="AU255" s="192">
        <f t="shared" si="67"/>
        <v>20777.913625000016</v>
      </c>
      <c r="AV255" s="192">
        <f t="shared" si="68"/>
        <v>32651.007125000015</v>
      </c>
      <c r="AW255" s="191">
        <f t="shared" si="69"/>
        <v>204810.86287499999</v>
      </c>
      <c r="AX255" s="190" t="s">
        <v>72</v>
      </c>
      <c r="AY255" s="184"/>
    </row>
    <row r="256" spans="2:51" hidden="1">
      <c r="B256" s="198">
        <v>2183</v>
      </c>
      <c r="C256" s="199">
        <v>260210</v>
      </c>
      <c r="D256" s="198">
        <v>257730</v>
      </c>
      <c r="E256" s="198" t="s">
        <v>2003</v>
      </c>
      <c r="F256" s="198" t="s">
        <v>1004</v>
      </c>
      <c r="G256" s="198"/>
      <c r="H256" s="198"/>
      <c r="I256" s="200">
        <v>1</v>
      </c>
      <c r="J256" s="198"/>
      <c r="K256" s="200">
        <v>0</v>
      </c>
      <c r="L256" s="198"/>
      <c r="M256" s="198"/>
      <c r="N256" s="198" t="s">
        <v>2196</v>
      </c>
      <c r="O256" s="198" t="s">
        <v>2184</v>
      </c>
      <c r="P256" s="198"/>
      <c r="Q256" s="198"/>
      <c r="R256" s="198"/>
      <c r="S256" s="201">
        <v>44439</v>
      </c>
      <c r="T256" s="201">
        <v>44439</v>
      </c>
      <c r="U256" s="198" t="s">
        <v>940</v>
      </c>
      <c r="V256" s="198">
        <v>2000</v>
      </c>
      <c r="W256" s="198">
        <v>14080</v>
      </c>
      <c r="X256" s="202">
        <v>2394.5</v>
      </c>
      <c r="Y256" s="198">
        <v>14086</v>
      </c>
      <c r="Z256" s="202">
        <v>319.29000000000002</v>
      </c>
      <c r="AA256" s="202">
        <v>0</v>
      </c>
      <c r="AB256" s="202">
        <v>2075.21</v>
      </c>
      <c r="AC256" s="202">
        <v>39.92</v>
      </c>
      <c r="AD256" s="198">
        <v>57260</v>
      </c>
      <c r="AE256" s="202">
        <v>9.98</v>
      </c>
      <c r="AF256" s="202">
        <v>0</v>
      </c>
      <c r="AG256" s="202">
        <v>9.98</v>
      </c>
      <c r="AH256" s="198" t="s">
        <v>989</v>
      </c>
      <c r="AI256" s="198"/>
      <c r="AJ256" s="198"/>
      <c r="AK256" s="198" t="s">
        <v>316</v>
      </c>
      <c r="AL256" s="198" t="s">
        <v>138</v>
      </c>
      <c r="AM256" s="198" t="s">
        <v>138</v>
      </c>
      <c r="AN256" s="196">
        <f t="shared" si="60"/>
        <v>8</v>
      </c>
      <c r="AO256" s="196">
        <f t="shared" si="61"/>
        <v>2021</v>
      </c>
      <c r="AP256" s="195">
        <f t="shared" si="62"/>
        <v>2041</v>
      </c>
      <c r="AQ256" s="194">
        <f t="shared" si="63"/>
        <v>2041.6666666666667</v>
      </c>
      <c r="AR256" s="193">
        <f t="shared" si="64"/>
        <v>9.9770833333333329</v>
      </c>
      <c r="AS256" s="192">
        <f t="shared" si="65"/>
        <v>119.72499999999999</v>
      </c>
      <c r="AT256" s="192">
        <f t="shared" si="66"/>
        <v>119.72499999999999</v>
      </c>
      <c r="AU256" s="192">
        <f t="shared" si="67"/>
        <v>209.51875000000018</v>
      </c>
      <c r="AV256" s="192">
        <f t="shared" si="68"/>
        <v>329.2437500000002</v>
      </c>
      <c r="AW256" s="191">
        <f t="shared" si="69"/>
        <v>2065.2562499999999</v>
      </c>
      <c r="AX256" s="190" t="s">
        <v>72</v>
      </c>
      <c r="AY256" s="184"/>
    </row>
    <row r="257" spans="2:51">
      <c r="B257" s="198">
        <v>2183</v>
      </c>
      <c r="C257" s="199">
        <v>260019</v>
      </c>
      <c r="D257" s="198" t="s">
        <v>989</v>
      </c>
      <c r="E257" s="198" t="s">
        <v>2003</v>
      </c>
      <c r="F257" s="198" t="s">
        <v>1017</v>
      </c>
      <c r="G257" s="198"/>
      <c r="H257" s="198"/>
      <c r="I257" s="200">
        <v>13</v>
      </c>
      <c r="J257" s="198"/>
      <c r="K257" s="200">
        <v>0</v>
      </c>
      <c r="L257" s="198" t="s">
        <v>1018</v>
      </c>
      <c r="M257" s="198"/>
      <c r="N257" s="198" t="s">
        <v>2190</v>
      </c>
      <c r="O257" s="198" t="s">
        <v>2184</v>
      </c>
      <c r="P257" s="198"/>
      <c r="Q257" s="198" t="s">
        <v>2194</v>
      </c>
      <c r="R257" s="198" t="s">
        <v>2195</v>
      </c>
      <c r="S257" s="201">
        <v>44431</v>
      </c>
      <c r="T257" s="201">
        <v>44431</v>
      </c>
      <c r="U257" s="198" t="s">
        <v>1020</v>
      </c>
      <c r="V257" s="198">
        <v>1200</v>
      </c>
      <c r="W257" s="198">
        <v>14050</v>
      </c>
      <c r="X257" s="202">
        <v>15080.79</v>
      </c>
      <c r="Y257" s="198">
        <v>14056</v>
      </c>
      <c r="Z257" s="202">
        <v>3351.29</v>
      </c>
      <c r="AA257" s="202">
        <v>0</v>
      </c>
      <c r="AB257" s="202">
        <v>11729.5</v>
      </c>
      <c r="AC257" s="202">
        <v>418.92</v>
      </c>
      <c r="AD257" s="198">
        <v>54260</v>
      </c>
      <c r="AE257" s="202">
        <v>104.73</v>
      </c>
      <c r="AF257" s="202">
        <v>0</v>
      </c>
      <c r="AG257" s="202">
        <v>104.73</v>
      </c>
      <c r="AH257" s="198" t="s">
        <v>989</v>
      </c>
      <c r="AI257" s="198"/>
      <c r="AJ257" s="198"/>
      <c r="AK257" s="198" t="s">
        <v>316</v>
      </c>
      <c r="AL257" s="198" t="s">
        <v>930</v>
      </c>
      <c r="AM257" s="198" t="s">
        <v>930</v>
      </c>
      <c r="AN257" s="196">
        <f t="shared" si="60"/>
        <v>8</v>
      </c>
      <c r="AO257" s="196">
        <f t="shared" si="61"/>
        <v>2021</v>
      </c>
      <c r="AP257" s="195">
        <f t="shared" si="62"/>
        <v>2033</v>
      </c>
      <c r="AQ257" s="194">
        <f t="shared" si="63"/>
        <v>2033.6666666666667</v>
      </c>
      <c r="AR257" s="193">
        <f t="shared" si="64"/>
        <v>104.72770833333334</v>
      </c>
      <c r="AS257" s="192">
        <f t="shared" si="65"/>
        <v>1256.7325000000001</v>
      </c>
      <c r="AT257" s="192">
        <f t="shared" si="66"/>
        <v>1256.7325000000001</v>
      </c>
      <c r="AU257" s="192">
        <f t="shared" si="67"/>
        <v>2199.2818750000006</v>
      </c>
      <c r="AV257" s="192">
        <f t="shared" si="68"/>
        <v>3456.0143750000007</v>
      </c>
      <c r="AW257" s="191">
        <f t="shared" si="69"/>
        <v>11624.775625</v>
      </c>
      <c r="AX257" s="190" t="s">
        <v>72</v>
      </c>
      <c r="AY257" s="184"/>
    </row>
    <row r="258" spans="2:51">
      <c r="B258" s="198">
        <v>2183</v>
      </c>
      <c r="C258" s="199">
        <v>260018</v>
      </c>
      <c r="D258" s="198" t="s">
        <v>989</v>
      </c>
      <c r="E258" s="198" t="s">
        <v>2003</v>
      </c>
      <c r="F258" s="198" t="s">
        <v>1017</v>
      </c>
      <c r="G258" s="198"/>
      <c r="H258" s="198"/>
      <c r="I258" s="200">
        <v>2</v>
      </c>
      <c r="J258" s="198"/>
      <c r="K258" s="200">
        <v>0</v>
      </c>
      <c r="L258" s="198" t="s">
        <v>1018</v>
      </c>
      <c r="M258" s="198"/>
      <c r="N258" s="198" t="s">
        <v>2190</v>
      </c>
      <c r="O258" s="198" t="s">
        <v>2184</v>
      </c>
      <c r="P258" s="198"/>
      <c r="Q258" s="198" t="s">
        <v>2194</v>
      </c>
      <c r="R258" s="198" t="s">
        <v>2195</v>
      </c>
      <c r="S258" s="201">
        <v>44427</v>
      </c>
      <c r="T258" s="201">
        <v>44427</v>
      </c>
      <c r="U258" s="198" t="s">
        <v>1020</v>
      </c>
      <c r="V258" s="198">
        <v>1200</v>
      </c>
      <c r="W258" s="198">
        <v>14050</v>
      </c>
      <c r="X258" s="202">
        <v>2249.0700000000002</v>
      </c>
      <c r="Y258" s="198">
        <v>14056</v>
      </c>
      <c r="Z258" s="202">
        <v>499.8</v>
      </c>
      <c r="AA258" s="202">
        <v>0</v>
      </c>
      <c r="AB258" s="202">
        <v>1749.2700000000002</v>
      </c>
      <c r="AC258" s="202">
        <v>62.48</v>
      </c>
      <c r="AD258" s="198">
        <v>54260</v>
      </c>
      <c r="AE258" s="202">
        <v>15.62</v>
      </c>
      <c r="AF258" s="202">
        <v>0</v>
      </c>
      <c r="AG258" s="202">
        <v>15.62</v>
      </c>
      <c r="AH258" s="198" t="s">
        <v>989</v>
      </c>
      <c r="AI258" s="198"/>
      <c r="AJ258" s="198"/>
      <c r="AK258" s="198" t="s">
        <v>316</v>
      </c>
      <c r="AL258" s="198" t="s">
        <v>930</v>
      </c>
      <c r="AM258" s="198" t="s">
        <v>930</v>
      </c>
      <c r="AN258" s="196">
        <f t="shared" si="60"/>
        <v>8</v>
      </c>
      <c r="AO258" s="196">
        <f t="shared" si="61"/>
        <v>2021</v>
      </c>
      <c r="AP258" s="195">
        <f t="shared" si="62"/>
        <v>2033</v>
      </c>
      <c r="AQ258" s="194">
        <f t="shared" si="63"/>
        <v>2033.6666666666667</v>
      </c>
      <c r="AR258" s="193">
        <f t="shared" si="64"/>
        <v>15.618541666666667</v>
      </c>
      <c r="AS258" s="192">
        <f t="shared" si="65"/>
        <v>187.42250000000001</v>
      </c>
      <c r="AT258" s="192">
        <f t="shared" si="66"/>
        <v>187.42250000000001</v>
      </c>
      <c r="AU258" s="192">
        <f t="shared" si="67"/>
        <v>327.98937500000011</v>
      </c>
      <c r="AV258" s="192">
        <f t="shared" si="68"/>
        <v>515.41187500000012</v>
      </c>
      <c r="AW258" s="191">
        <f t="shared" si="69"/>
        <v>1733.6581249999999</v>
      </c>
      <c r="AX258" s="190" t="s">
        <v>72</v>
      </c>
      <c r="AY258" s="184"/>
    </row>
    <row r="259" spans="2:51">
      <c r="B259" s="198">
        <v>2183</v>
      </c>
      <c r="C259" s="199">
        <v>260017</v>
      </c>
      <c r="D259" s="198" t="s">
        <v>989</v>
      </c>
      <c r="E259" s="198" t="s">
        <v>2003</v>
      </c>
      <c r="F259" s="198" t="s">
        <v>1021</v>
      </c>
      <c r="G259" s="198"/>
      <c r="H259" s="198"/>
      <c r="I259" s="200">
        <v>13</v>
      </c>
      <c r="J259" s="198"/>
      <c r="K259" s="200">
        <v>0</v>
      </c>
      <c r="L259" s="198" t="s">
        <v>1018</v>
      </c>
      <c r="M259" s="198"/>
      <c r="N259" s="198" t="s">
        <v>2190</v>
      </c>
      <c r="O259" s="198" t="s">
        <v>2184</v>
      </c>
      <c r="P259" s="198"/>
      <c r="Q259" s="198" t="s">
        <v>137</v>
      </c>
      <c r="R259" s="198" t="s">
        <v>2195</v>
      </c>
      <c r="S259" s="201">
        <v>44431</v>
      </c>
      <c r="T259" s="201">
        <v>44431</v>
      </c>
      <c r="U259" s="198" t="s">
        <v>1020</v>
      </c>
      <c r="V259" s="198">
        <v>1200</v>
      </c>
      <c r="W259" s="198">
        <v>14050</v>
      </c>
      <c r="X259" s="202">
        <v>14938.59</v>
      </c>
      <c r="Y259" s="198">
        <v>14056</v>
      </c>
      <c r="Z259" s="202">
        <v>3319.68</v>
      </c>
      <c r="AA259" s="202">
        <v>0</v>
      </c>
      <c r="AB259" s="202">
        <v>11618.91</v>
      </c>
      <c r="AC259" s="202">
        <v>414.96</v>
      </c>
      <c r="AD259" s="198">
        <v>54260</v>
      </c>
      <c r="AE259" s="202">
        <v>103.74</v>
      </c>
      <c r="AF259" s="202">
        <v>0</v>
      </c>
      <c r="AG259" s="202">
        <v>103.74</v>
      </c>
      <c r="AH259" s="198" t="s">
        <v>989</v>
      </c>
      <c r="AI259" s="198"/>
      <c r="AJ259" s="198"/>
      <c r="AK259" s="198" t="s">
        <v>316</v>
      </c>
      <c r="AL259" s="198" t="s">
        <v>930</v>
      </c>
      <c r="AM259" s="198" t="s">
        <v>930</v>
      </c>
      <c r="AN259" s="196">
        <f t="shared" si="60"/>
        <v>8</v>
      </c>
      <c r="AO259" s="196">
        <f t="shared" si="61"/>
        <v>2021</v>
      </c>
      <c r="AP259" s="195">
        <f t="shared" si="62"/>
        <v>2033</v>
      </c>
      <c r="AQ259" s="194">
        <f t="shared" si="63"/>
        <v>2033.6666666666667</v>
      </c>
      <c r="AR259" s="193">
        <f t="shared" si="64"/>
        <v>103.74020833333333</v>
      </c>
      <c r="AS259" s="192">
        <f t="shared" si="65"/>
        <v>1244.8824999999999</v>
      </c>
      <c r="AT259" s="192">
        <f t="shared" si="66"/>
        <v>1244.8824999999999</v>
      </c>
      <c r="AU259" s="192">
        <f t="shared" si="67"/>
        <v>2178.5443750000013</v>
      </c>
      <c r="AV259" s="192">
        <f t="shared" si="68"/>
        <v>3423.426875000001</v>
      </c>
      <c r="AW259" s="191">
        <f t="shared" si="69"/>
        <v>11515.163124999999</v>
      </c>
      <c r="AX259" s="190" t="s">
        <v>72</v>
      </c>
      <c r="AY259" s="184"/>
    </row>
    <row r="260" spans="2:51">
      <c r="B260" s="198">
        <v>2183</v>
      </c>
      <c r="C260" s="199">
        <v>260016</v>
      </c>
      <c r="D260" s="198" t="s">
        <v>989</v>
      </c>
      <c r="E260" s="198" t="s">
        <v>2003</v>
      </c>
      <c r="F260" s="198" t="s">
        <v>1021</v>
      </c>
      <c r="G260" s="198"/>
      <c r="H260" s="198"/>
      <c r="I260" s="200">
        <v>7</v>
      </c>
      <c r="J260" s="198"/>
      <c r="K260" s="200">
        <v>0</v>
      </c>
      <c r="L260" s="198" t="s">
        <v>1018</v>
      </c>
      <c r="M260" s="198"/>
      <c r="N260" s="198" t="s">
        <v>2190</v>
      </c>
      <c r="O260" s="198" t="s">
        <v>2184</v>
      </c>
      <c r="P260" s="198"/>
      <c r="Q260" s="198" t="s">
        <v>137</v>
      </c>
      <c r="R260" s="198" t="s">
        <v>2195</v>
      </c>
      <c r="S260" s="201">
        <v>44427</v>
      </c>
      <c r="T260" s="201">
        <v>44427</v>
      </c>
      <c r="U260" s="198" t="s">
        <v>1020</v>
      </c>
      <c r="V260" s="198">
        <v>1200</v>
      </c>
      <c r="W260" s="198">
        <v>14050</v>
      </c>
      <c r="X260" s="202">
        <v>7795.15</v>
      </c>
      <c r="Y260" s="198">
        <v>14056</v>
      </c>
      <c r="Z260" s="202">
        <v>1732.25</v>
      </c>
      <c r="AA260" s="202">
        <v>0</v>
      </c>
      <c r="AB260" s="202">
        <v>6062.9</v>
      </c>
      <c r="AC260" s="202">
        <v>216.52</v>
      </c>
      <c r="AD260" s="198">
        <v>54260</v>
      </c>
      <c r="AE260" s="202">
        <v>54.13</v>
      </c>
      <c r="AF260" s="202">
        <v>0</v>
      </c>
      <c r="AG260" s="202">
        <v>54.13</v>
      </c>
      <c r="AH260" s="198" t="s">
        <v>989</v>
      </c>
      <c r="AI260" s="198"/>
      <c r="AJ260" s="198"/>
      <c r="AK260" s="198" t="s">
        <v>316</v>
      </c>
      <c r="AL260" s="198" t="s">
        <v>930</v>
      </c>
      <c r="AM260" s="198" t="s">
        <v>930</v>
      </c>
      <c r="AN260" s="196">
        <f t="shared" si="60"/>
        <v>8</v>
      </c>
      <c r="AO260" s="196">
        <f t="shared" si="61"/>
        <v>2021</v>
      </c>
      <c r="AP260" s="195">
        <f t="shared" si="62"/>
        <v>2033</v>
      </c>
      <c r="AQ260" s="194">
        <f t="shared" si="63"/>
        <v>2033.6666666666667</v>
      </c>
      <c r="AR260" s="193">
        <f t="shared" si="64"/>
        <v>54.132986111111109</v>
      </c>
      <c r="AS260" s="192">
        <f t="shared" si="65"/>
        <v>649.5958333333333</v>
      </c>
      <c r="AT260" s="192">
        <f t="shared" si="66"/>
        <v>649.5958333333333</v>
      </c>
      <c r="AU260" s="192">
        <f t="shared" si="67"/>
        <v>1136.7927083333334</v>
      </c>
      <c r="AV260" s="192">
        <f t="shared" si="68"/>
        <v>1786.3885416666667</v>
      </c>
      <c r="AW260" s="191">
        <f t="shared" si="69"/>
        <v>6008.7614583333325</v>
      </c>
      <c r="AX260" s="190" t="s">
        <v>72</v>
      </c>
      <c r="AY260" s="184"/>
    </row>
    <row r="261" spans="2:51">
      <c r="B261" s="198">
        <v>2183</v>
      </c>
      <c r="C261" s="199">
        <v>260015</v>
      </c>
      <c r="D261" s="198" t="s">
        <v>989</v>
      </c>
      <c r="E261" s="198" t="s">
        <v>2003</v>
      </c>
      <c r="F261" s="198" t="s">
        <v>1023</v>
      </c>
      <c r="G261" s="198"/>
      <c r="H261" s="198"/>
      <c r="I261" s="200">
        <v>10</v>
      </c>
      <c r="J261" s="198"/>
      <c r="K261" s="200">
        <v>0</v>
      </c>
      <c r="L261" s="198" t="s">
        <v>1018</v>
      </c>
      <c r="M261" s="198"/>
      <c r="N261" s="198" t="s">
        <v>2190</v>
      </c>
      <c r="O261" s="198" t="s">
        <v>2184</v>
      </c>
      <c r="P261" s="198"/>
      <c r="Q261" s="198" t="s">
        <v>2214</v>
      </c>
      <c r="R261" s="198" t="s">
        <v>2195</v>
      </c>
      <c r="S261" s="201">
        <v>44427</v>
      </c>
      <c r="T261" s="201">
        <v>44427</v>
      </c>
      <c r="U261" s="198" t="s">
        <v>1020</v>
      </c>
      <c r="V261" s="198">
        <v>1200</v>
      </c>
      <c r="W261" s="198">
        <v>14050</v>
      </c>
      <c r="X261" s="202">
        <v>7328.81</v>
      </c>
      <c r="Y261" s="198">
        <v>14056</v>
      </c>
      <c r="Z261" s="202">
        <v>1628.62</v>
      </c>
      <c r="AA261" s="202">
        <v>0</v>
      </c>
      <c r="AB261" s="202">
        <v>5700.1900000000005</v>
      </c>
      <c r="AC261" s="202">
        <v>203.56</v>
      </c>
      <c r="AD261" s="198">
        <v>54260</v>
      </c>
      <c r="AE261" s="202">
        <v>50.89</v>
      </c>
      <c r="AF261" s="202">
        <v>0</v>
      </c>
      <c r="AG261" s="202">
        <v>50.89</v>
      </c>
      <c r="AH261" s="198" t="s">
        <v>989</v>
      </c>
      <c r="AI261" s="198"/>
      <c r="AJ261" s="198"/>
      <c r="AK261" s="198" t="s">
        <v>316</v>
      </c>
      <c r="AL261" s="198" t="s">
        <v>930</v>
      </c>
      <c r="AM261" s="198" t="s">
        <v>930</v>
      </c>
      <c r="AN261" s="196">
        <f t="shared" si="60"/>
        <v>8</v>
      </c>
      <c r="AO261" s="196">
        <f t="shared" si="61"/>
        <v>2021</v>
      </c>
      <c r="AP261" s="195">
        <f t="shared" si="62"/>
        <v>2033</v>
      </c>
      <c r="AQ261" s="194">
        <f t="shared" si="63"/>
        <v>2033.6666666666667</v>
      </c>
      <c r="AR261" s="193">
        <f t="shared" si="64"/>
        <v>50.894513888888895</v>
      </c>
      <c r="AS261" s="192">
        <f t="shared" si="65"/>
        <v>610.73416666666674</v>
      </c>
      <c r="AT261" s="192">
        <f t="shared" si="66"/>
        <v>610.73416666666674</v>
      </c>
      <c r="AU261" s="192">
        <f t="shared" si="67"/>
        <v>1068.784791666666</v>
      </c>
      <c r="AV261" s="192">
        <f t="shared" si="68"/>
        <v>1679.5189583333326</v>
      </c>
      <c r="AW261" s="191">
        <f t="shared" si="69"/>
        <v>5649.2910416666673</v>
      </c>
      <c r="AX261" s="190" t="s">
        <v>72</v>
      </c>
      <c r="AY261" s="184"/>
    </row>
    <row r="262" spans="2:51">
      <c r="B262" s="198">
        <v>2183</v>
      </c>
      <c r="C262" s="199">
        <v>260014</v>
      </c>
      <c r="D262" s="198" t="s">
        <v>989</v>
      </c>
      <c r="E262" s="198" t="s">
        <v>2003</v>
      </c>
      <c r="F262" s="198" t="s">
        <v>1024</v>
      </c>
      <c r="G262" s="198"/>
      <c r="H262" s="198"/>
      <c r="I262" s="200">
        <v>10</v>
      </c>
      <c r="J262" s="198"/>
      <c r="K262" s="200">
        <v>0</v>
      </c>
      <c r="L262" s="198" t="s">
        <v>1018</v>
      </c>
      <c r="M262" s="198"/>
      <c r="N262" s="198" t="s">
        <v>2190</v>
      </c>
      <c r="O262" s="198" t="s">
        <v>2184</v>
      </c>
      <c r="P262" s="198"/>
      <c r="Q262" s="198" t="s">
        <v>2208</v>
      </c>
      <c r="R262" s="198" t="s">
        <v>2195</v>
      </c>
      <c r="S262" s="201">
        <v>44427</v>
      </c>
      <c r="T262" s="201">
        <v>44427</v>
      </c>
      <c r="U262" s="198" t="s">
        <v>1020</v>
      </c>
      <c r="V262" s="198">
        <v>1200</v>
      </c>
      <c r="W262" s="198">
        <v>14050</v>
      </c>
      <c r="X262" s="202">
        <v>6902.15</v>
      </c>
      <c r="Y262" s="198">
        <v>14056</v>
      </c>
      <c r="Z262" s="202">
        <v>1533.81</v>
      </c>
      <c r="AA262" s="202">
        <v>0</v>
      </c>
      <c r="AB262" s="202">
        <v>5368.34</v>
      </c>
      <c r="AC262" s="202">
        <v>191.72</v>
      </c>
      <c r="AD262" s="198">
        <v>54260</v>
      </c>
      <c r="AE262" s="202">
        <v>47.93</v>
      </c>
      <c r="AF262" s="202">
        <v>0</v>
      </c>
      <c r="AG262" s="202">
        <v>47.93</v>
      </c>
      <c r="AH262" s="198" t="s">
        <v>989</v>
      </c>
      <c r="AI262" s="198"/>
      <c r="AJ262" s="198"/>
      <c r="AK262" s="198" t="s">
        <v>316</v>
      </c>
      <c r="AL262" s="198" t="s">
        <v>930</v>
      </c>
      <c r="AM262" s="198" t="s">
        <v>930</v>
      </c>
      <c r="AN262" s="196">
        <f t="shared" si="60"/>
        <v>8</v>
      </c>
      <c r="AO262" s="196">
        <f t="shared" si="61"/>
        <v>2021</v>
      </c>
      <c r="AP262" s="195">
        <f t="shared" si="62"/>
        <v>2033</v>
      </c>
      <c r="AQ262" s="194">
        <f t="shared" si="63"/>
        <v>2033.6666666666667</v>
      </c>
      <c r="AR262" s="193">
        <f t="shared" si="64"/>
        <v>47.931597222222223</v>
      </c>
      <c r="AS262" s="192">
        <f t="shared" si="65"/>
        <v>575.17916666666667</v>
      </c>
      <c r="AT262" s="192">
        <f t="shared" si="66"/>
        <v>575.17916666666667</v>
      </c>
      <c r="AU262" s="192">
        <f t="shared" si="67"/>
        <v>1006.5635416666664</v>
      </c>
      <c r="AV262" s="192">
        <f t="shared" si="68"/>
        <v>1581.7427083333332</v>
      </c>
      <c r="AW262" s="191">
        <f t="shared" si="69"/>
        <v>5320.4072916666664</v>
      </c>
      <c r="AX262" s="190" t="s">
        <v>72</v>
      </c>
      <c r="AY262" s="184"/>
    </row>
    <row r="263" spans="2:51">
      <c r="B263" s="198">
        <v>2183</v>
      </c>
      <c r="C263" s="199">
        <v>260013</v>
      </c>
      <c r="D263" s="198" t="s">
        <v>989</v>
      </c>
      <c r="E263" s="198" t="s">
        <v>2003</v>
      </c>
      <c r="F263" s="198" t="s">
        <v>1025</v>
      </c>
      <c r="G263" s="198"/>
      <c r="H263" s="198"/>
      <c r="I263" s="200">
        <v>15</v>
      </c>
      <c r="J263" s="198"/>
      <c r="K263" s="200">
        <v>0</v>
      </c>
      <c r="L263" s="198" t="s">
        <v>1018</v>
      </c>
      <c r="M263" s="198"/>
      <c r="N263" s="198" t="s">
        <v>2190</v>
      </c>
      <c r="O263" s="198" t="s">
        <v>2184</v>
      </c>
      <c r="P263" s="198"/>
      <c r="Q263" s="198" t="s">
        <v>2200</v>
      </c>
      <c r="R263" s="198" t="s">
        <v>2195</v>
      </c>
      <c r="S263" s="201">
        <v>44427</v>
      </c>
      <c r="T263" s="201">
        <v>44427</v>
      </c>
      <c r="U263" s="198" t="s">
        <v>1020</v>
      </c>
      <c r="V263" s="198">
        <v>1200</v>
      </c>
      <c r="W263" s="198">
        <v>14050</v>
      </c>
      <c r="X263" s="202">
        <v>9893.7199999999993</v>
      </c>
      <c r="Y263" s="198">
        <v>14056</v>
      </c>
      <c r="Z263" s="202">
        <v>2198.63</v>
      </c>
      <c r="AA263" s="202">
        <v>0</v>
      </c>
      <c r="AB263" s="202">
        <v>7695.0899999999992</v>
      </c>
      <c r="AC263" s="202">
        <v>274.83999999999997</v>
      </c>
      <c r="AD263" s="198">
        <v>54260</v>
      </c>
      <c r="AE263" s="202">
        <v>68.709999999999994</v>
      </c>
      <c r="AF263" s="202">
        <v>0</v>
      </c>
      <c r="AG263" s="202">
        <v>68.709999999999994</v>
      </c>
      <c r="AH263" s="198" t="s">
        <v>989</v>
      </c>
      <c r="AI263" s="198"/>
      <c r="AJ263" s="198"/>
      <c r="AK263" s="198" t="s">
        <v>316</v>
      </c>
      <c r="AL263" s="198" t="s">
        <v>930</v>
      </c>
      <c r="AM263" s="198" t="s">
        <v>930</v>
      </c>
      <c r="AN263" s="196">
        <f t="shared" si="60"/>
        <v>8</v>
      </c>
      <c r="AO263" s="196">
        <f t="shared" si="61"/>
        <v>2021</v>
      </c>
      <c r="AP263" s="195">
        <f t="shared" si="62"/>
        <v>2033</v>
      </c>
      <c r="AQ263" s="194">
        <f t="shared" si="63"/>
        <v>2033.6666666666667</v>
      </c>
      <c r="AR263" s="193">
        <f t="shared" si="64"/>
        <v>68.706388888888881</v>
      </c>
      <c r="AS263" s="192">
        <f t="shared" si="65"/>
        <v>824.47666666666657</v>
      </c>
      <c r="AT263" s="192">
        <f t="shared" si="66"/>
        <v>824.47666666666657</v>
      </c>
      <c r="AU263" s="192">
        <f t="shared" si="67"/>
        <v>1442.8341666666674</v>
      </c>
      <c r="AV263" s="192">
        <f t="shared" si="68"/>
        <v>2267.3108333333339</v>
      </c>
      <c r="AW263" s="191">
        <f t="shared" si="69"/>
        <v>7626.4091666666654</v>
      </c>
      <c r="AX263" s="190" t="s">
        <v>72</v>
      </c>
      <c r="AY263" s="184"/>
    </row>
    <row r="264" spans="2:51" hidden="1">
      <c r="B264" s="198">
        <v>2183</v>
      </c>
      <c r="C264" s="199">
        <v>259355</v>
      </c>
      <c r="D264" s="198">
        <v>255410</v>
      </c>
      <c r="E264" s="198" t="s">
        <v>2003</v>
      </c>
      <c r="F264" s="198" t="s">
        <v>1026</v>
      </c>
      <c r="G264" s="198"/>
      <c r="H264" s="198"/>
      <c r="I264" s="200">
        <v>1</v>
      </c>
      <c r="J264" s="198"/>
      <c r="K264" s="200">
        <v>2022</v>
      </c>
      <c r="L264" s="198" t="s">
        <v>1027</v>
      </c>
      <c r="M264" s="198"/>
      <c r="N264" s="198" t="s">
        <v>2183</v>
      </c>
      <c r="O264" s="198" t="s">
        <v>2184</v>
      </c>
      <c r="P264" s="198" t="s">
        <v>1028</v>
      </c>
      <c r="Q264" s="198"/>
      <c r="R264" s="198"/>
      <c r="S264" s="201">
        <v>44412</v>
      </c>
      <c r="T264" s="201">
        <v>44412</v>
      </c>
      <c r="U264" s="198" t="s">
        <v>1029</v>
      </c>
      <c r="V264" s="198">
        <v>1000</v>
      </c>
      <c r="W264" s="198">
        <v>14040</v>
      </c>
      <c r="X264" s="202">
        <v>957.25</v>
      </c>
      <c r="Y264" s="198">
        <v>14046</v>
      </c>
      <c r="Z264" s="202">
        <v>263.27</v>
      </c>
      <c r="AA264" s="202">
        <v>0</v>
      </c>
      <c r="AB264" s="202">
        <v>693.98</v>
      </c>
      <c r="AC264" s="202">
        <v>31.92</v>
      </c>
      <c r="AD264" s="198">
        <v>51260</v>
      </c>
      <c r="AE264" s="202">
        <v>7.98</v>
      </c>
      <c r="AF264" s="202">
        <v>0</v>
      </c>
      <c r="AG264" s="202">
        <v>7.98</v>
      </c>
      <c r="AH264" s="198" t="s">
        <v>989</v>
      </c>
      <c r="AI264" s="198"/>
      <c r="AJ264" s="198"/>
      <c r="AK264" s="198">
        <v>3718</v>
      </c>
      <c r="AL264" s="198" t="s">
        <v>1857</v>
      </c>
      <c r="AM264" s="198" t="s">
        <v>1857</v>
      </c>
      <c r="AN264" s="196">
        <f t="shared" si="60"/>
        <v>8</v>
      </c>
      <c r="AO264" s="196">
        <f t="shared" si="61"/>
        <v>2021</v>
      </c>
      <c r="AP264" s="195">
        <f t="shared" si="62"/>
        <v>2031</v>
      </c>
      <c r="AQ264" s="194">
        <f t="shared" si="63"/>
        <v>2031.6666666666667</v>
      </c>
      <c r="AR264" s="193">
        <f t="shared" si="64"/>
        <v>7.9770833333333329</v>
      </c>
      <c r="AS264" s="192">
        <f t="shared" si="65"/>
        <v>95.724999999999994</v>
      </c>
      <c r="AT264" s="192">
        <f t="shared" si="66"/>
        <v>95.724999999999994</v>
      </c>
      <c r="AU264" s="192">
        <f t="shared" si="67"/>
        <v>167.51875000000007</v>
      </c>
      <c r="AV264" s="192">
        <f t="shared" si="68"/>
        <v>263.24375000000009</v>
      </c>
      <c r="AW264" s="191">
        <f t="shared" si="69"/>
        <v>694.00624999999991</v>
      </c>
      <c r="AX264" s="190" t="s">
        <v>72</v>
      </c>
      <c r="AY264" s="184"/>
    </row>
    <row r="265" spans="2:51" hidden="1">
      <c r="B265" s="198">
        <v>2183</v>
      </c>
      <c r="C265" s="199">
        <v>259331</v>
      </c>
      <c r="D265" s="198">
        <v>255410</v>
      </c>
      <c r="E265" s="198" t="s">
        <v>2003</v>
      </c>
      <c r="F265" s="198" t="s">
        <v>1030</v>
      </c>
      <c r="G265" s="198"/>
      <c r="H265" s="198"/>
      <c r="I265" s="200">
        <v>1</v>
      </c>
      <c r="J265" s="198"/>
      <c r="K265" s="200">
        <v>0</v>
      </c>
      <c r="L265" s="198" t="s">
        <v>1031</v>
      </c>
      <c r="M265" s="198"/>
      <c r="N265" s="198" t="s">
        <v>2183</v>
      </c>
      <c r="O265" s="198" t="s">
        <v>2184</v>
      </c>
      <c r="P265" s="198" t="s">
        <v>1028</v>
      </c>
      <c r="Q265" s="198"/>
      <c r="R265" s="198"/>
      <c r="S265" s="201">
        <v>44432</v>
      </c>
      <c r="T265" s="201">
        <v>44432</v>
      </c>
      <c r="U265" s="198" t="s">
        <v>1029</v>
      </c>
      <c r="V265" s="198">
        <v>1000</v>
      </c>
      <c r="W265" s="198">
        <v>14040</v>
      </c>
      <c r="X265" s="202">
        <v>389.92</v>
      </c>
      <c r="Y265" s="198">
        <v>14046</v>
      </c>
      <c r="Z265" s="202">
        <v>103.98</v>
      </c>
      <c r="AA265" s="202">
        <v>0</v>
      </c>
      <c r="AB265" s="202">
        <v>285.94</v>
      </c>
      <c r="AC265" s="202">
        <v>13</v>
      </c>
      <c r="AD265" s="198">
        <v>51260</v>
      </c>
      <c r="AE265" s="202">
        <v>3.25</v>
      </c>
      <c r="AF265" s="202">
        <v>0</v>
      </c>
      <c r="AG265" s="202">
        <v>3.25</v>
      </c>
      <c r="AH265" s="198" t="s">
        <v>989</v>
      </c>
      <c r="AI265" s="198"/>
      <c r="AJ265" s="198"/>
      <c r="AK265" s="198">
        <v>3718</v>
      </c>
      <c r="AL265" s="198" t="s">
        <v>1857</v>
      </c>
      <c r="AM265" s="198" t="s">
        <v>1857</v>
      </c>
      <c r="AN265" s="196">
        <f t="shared" si="60"/>
        <v>8</v>
      </c>
      <c r="AO265" s="196">
        <f t="shared" si="61"/>
        <v>2021</v>
      </c>
      <c r="AP265" s="195">
        <f t="shared" si="62"/>
        <v>2031</v>
      </c>
      <c r="AQ265" s="194">
        <f t="shared" si="63"/>
        <v>2031.6666666666667</v>
      </c>
      <c r="AR265" s="193">
        <f t="shared" si="64"/>
        <v>3.2493333333333339</v>
      </c>
      <c r="AS265" s="192">
        <f t="shared" si="65"/>
        <v>38.992000000000004</v>
      </c>
      <c r="AT265" s="192">
        <f t="shared" si="66"/>
        <v>38.992000000000004</v>
      </c>
      <c r="AU265" s="192">
        <f t="shared" si="67"/>
        <v>68.23599999999999</v>
      </c>
      <c r="AV265" s="192">
        <f t="shared" si="68"/>
        <v>107.22799999999999</v>
      </c>
      <c r="AW265" s="191">
        <f t="shared" si="69"/>
        <v>282.69200000000001</v>
      </c>
      <c r="AX265" s="190" t="s">
        <v>72</v>
      </c>
      <c r="AY265" s="184"/>
    </row>
    <row r="266" spans="2:51" hidden="1">
      <c r="B266" s="198">
        <v>2183</v>
      </c>
      <c r="C266" s="199">
        <v>259256</v>
      </c>
      <c r="D266" s="198">
        <v>257730</v>
      </c>
      <c r="E266" s="198" t="s">
        <v>2003</v>
      </c>
      <c r="F266" s="198" t="s">
        <v>1004</v>
      </c>
      <c r="G266" s="198"/>
      <c r="H266" s="198"/>
      <c r="I266" s="200">
        <v>1</v>
      </c>
      <c r="J266" s="198"/>
      <c r="K266" s="200">
        <v>0</v>
      </c>
      <c r="L266" s="198" t="s">
        <v>1032</v>
      </c>
      <c r="M266" s="198"/>
      <c r="N266" s="198" t="s">
        <v>2196</v>
      </c>
      <c r="O266" s="198" t="s">
        <v>2184</v>
      </c>
      <c r="P266" s="198"/>
      <c r="Q266" s="198"/>
      <c r="R266" s="198"/>
      <c r="S266" s="201">
        <v>44439</v>
      </c>
      <c r="T266" s="201">
        <v>44439</v>
      </c>
      <c r="U266" s="198" t="s">
        <v>941</v>
      </c>
      <c r="V266" s="198">
        <v>2000</v>
      </c>
      <c r="W266" s="198">
        <v>14080</v>
      </c>
      <c r="X266" s="202">
        <v>975.05</v>
      </c>
      <c r="Y266" s="198">
        <v>14086</v>
      </c>
      <c r="Z266" s="202">
        <v>129.93</v>
      </c>
      <c r="AA266" s="202">
        <v>0</v>
      </c>
      <c r="AB266" s="202">
        <v>845.11999999999989</v>
      </c>
      <c r="AC266" s="202">
        <v>16.239999999999998</v>
      </c>
      <c r="AD266" s="198">
        <v>57260</v>
      </c>
      <c r="AE266" s="202">
        <v>4.0599999999999996</v>
      </c>
      <c r="AF266" s="202">
        <v>0</v>
      </c>
      <c r="AG266" s="202">
        <v>4.0599999999999996</v>
      </c>
      <c r="AH266" s="198" t="s">
        <v>989</v>
      </c>
      <c r="AI266" s="198"/>
      <c r="AJ266" s="198"/>
      <c r="AK266" s="198" t="s">
        <v>316</v>
      </c>
      <c r="AL266" s="198" t="s">
        <v>138</v>
      </c>
      <c r="AM266" s="198" t="s">
        <v>138</v>
      </c>
      <c r="AN266" s="196">
        <f t="shared" si="60"/>
        <v>8</v>
      </c>
      <c r="AO266" s="196">
        <f t="shared" si="61"/>
        <v>2021</v>
      </c>
      <c r="AP266" s="195">
        <f t="shared" si="62"/>
        <v>2041</v>
      </c>
      <c r="AQ266" s="194">
        <f t="shared" si="63"/>
        <v>2041.6666666666667</v>
      </c>
      <c r="AR266" s="193">
        <f t="shared" si="64"/>
        <v>4.0627083333333331</v>
      </c>
      <c r="AS266" s="192">
        <f t="shared" si="65"/>
        <v>48.752499999999998</v>
      </c>
      <c r="AT266" s="192">
        <f t="shared" si="66"/>
        <v>48.752499999999998</v>
      </c>
      <c r="AU266" s="192">
        <f t="shared" si="67"/>
        <v>85.316874999999982</v>
      </c>
      <c r="AV266" s="192">
        <f t="shared" si="68"/>
        <v>134.06937499999998</v>
      </c>
      <c r="AW266" s="191">
        <f t="shared" si="69"/>
        <v>840.98062499999992</v>
      </c>
      <c r="AX266" s="190" t="s">
        <v>72</v>
      </c>
      <c r="AY266" s="184"/>
    </row>
    <row r="267" spans="2:51" hidden="1">
      <c r="B267" s="198">
        <v>2183</v>
      </c>
      <c r="C267" s="199">
        <v>259223</v>
      </c>
      <c r="D267" s="198">
        <v>251931</v>
      </c>
      <c r="E267" s="198" t="s">
        <v>2003</v>
      </c>
      <c r="F267" s="198" t="s">
        <v>1033</v>
      </c>
      <c r="G267" s="198"/>
      <c r="H267" s="198"/>
      <c r="I267" s="200">
        <v>1</v>
      </c>
      <c r="J267" s="198"/>
      <c r="K267" s="200">
        <v>0</v>
      </c>
      <c r="L267" s="198" t="s">
        <v>1034</v>
      </c>
      <c r="M267" s="198"/>
      <c r="N267" s="198" t="s">
        <v>2183</v>
      </c>
      <c r="O267" s="198" t="s">
        <v>2184</v>
      </c>
      <c r="P267" s="198" t="s">
        <v>1028</v>
      </c>
      <c r="Q267" s="198"/>
      <c r="R267" s="198"/>
      <c r="S267" s="201">
        <v>44317</v>
      </c>
      <c r="T267" s="201">
        <v>44317</v>
      </c>
      <c r="U267" s="198" t="s">
        <v>1035</v>
      </c>
      <c r="V267" s="198">
        <v>1000</v>
      </c>
      <c r="W267" s="198">
        <v>14040</v>
      </c>
      <c r="X267" s="202">
        <v>4187.6000000000004</v>
      </c>
      <c r="Y267" s="198">
        <v>14046</v>
      </c>
      <c r="Z267" s="202">
        <v>1256.29</v>
      </c>
      <c r="AA267" s="202">
        <v>0</v>
      </c>
      <c r="AB267" s="202">
        <v>2931.3100000000004</v>
      </c>
      <c r="AC267" s="202">
        <v>139.6</v>
      </c>
      <c r="AD267" s="198">
        <v>51260</v>
      </c>
      <c r="AE267" s="202">
        <v>34.9</v>
      </c>
      <c r="AF267" s="202">
        <v>0</v>
      </c>
      <c r="AG267" s="202">
        <v>34.9</v>
      </c>
      <c r="AH267" s="198" t="s">
        <v>989</v>
      </c>
      <c r="AI267" s="198"/>
      <c r="AJ267" s="198"/>
      <c r="AK267" s="198">
        <v>3705</v>
      </c>
      <c r="AL267" s="198" t="s">
        <v>1857</v>
      </c>
      <c r="AM267" s="198" t="s">
        <v>1857</v>
      </c>
      <c r="AN267" s="196">
        <f t="shared" si="60"/>
        <v>5</v>
      </c>
      <c r="AO267" s="196">
        <f t="shared" si="61"/>
        <v>2021</v>
      </c>
      <c r="AP267" s="195">
        <f t="shared" si="62"/>
        <v>2031</v>
      </c>
      <c r="AQ267" s="194">
        <f t="shared" si="63"/>
        <v>2031.4166666666667</v>
      </c>
      <c r="AR267" s="193">
        <f t="shared" si="64"/>
        <v>34.896666666666668</v>
      </c>
      <c r="AS267" s="192">
        <f t="shared" si="65"/>
        <v>418.76</v>
      </c>
      <c r="AT267" s="192">
        <f t="shared" si="66"/>
        <v>418.76</v>
      </c>
      <c r="AU267" s="192">
        <f t="shared" si="67"/>
        <v>837.52000000000044</v>
      </c>
      <c r="AV267" s="192">
        <f t="shared" si="68"/>
        <v>1256.2800000000004</v>
      </c>
      <c r="AW267" s="191">
        <f t="shared" si="69"/>
        <v>2931.3199999999997</v>
      </c>
      <c r="AX267" s="190" t="s">
        <v>72</v>
      </c>
      <c r="AY267" s="184"/>
    </row>
    <row r="268" spans="2:51" hidden="1">
      <c r="B268" s="198">
        <v>2183</v>
      </c>
      <c r="C268" s="199">
        <v>259140</v>
      </c>
      <c r="D268" s="198">
        <v>257730</v>
      </c>
      <c r="E268" s="198" t="s">
        <v>2003</v>
      </c>
      <c r="F268" s="198" t="s">
        <v>1004</v>
      </c>
      <c r="G268" s="198"/>
      <c r="H268" s="198"/>
      <c r="I268" s="200">
        <v>1</v>
      </c>
      <c r="J268" s="198"/>
      <c r="K268" s="200">
        <v>0</v>
      </c>
      <c r="L268" s="198" t="s">
        <v>1005</v>
      </c>
      <c r="M268" s="198"/>
      <c r="N268" s="198" t="s">
        <v>2196</v>
      </c>
      <c r="O268" s="198" t="s">
        <v>2184</v>
      </c>
      <c r="P268" s="198"/>
      <c r="Q268" s="198"/>
      <c r="R268" s="198"/>
      <c r="S268" s="201">
        <v>44439</v>
      </c>
      <c r="T268" s="201">
        <v>44439</v>
      </c>
      <c r="U268" s="198" t="s">
        <v>941</v>
      </c>
      <c r="V268" s="198">
        <v>2000</v>
      </c>
      <c r="W268" s="198">
        <v>14080</v>
      </c>
      <c r="X268" s="202">
        <v>2893.75</v>
      </c>
      <c r="Y268" s="198">
        <v>14086</v>
      </c>
      <c r="Z268" s="202">
        <v>385.85</v>
      </c>
      <c r="AA268" s="202">
        <v>0</v>
      </c>
      <c r="AB268" s="202">
        <v>2507.9</v>
      </c>
      <c r="AC268" s="202">
        <v>48.24</v>
      </c>
      <c r="AD268" s="198">
        <v>57260</v>
      </c>
      <c r="AE268" s="202">
        <v>12.06</v>
      </c>
      <c r="AF268" s="202">
        <v>0</v>
      </c>
      <c r="AG268" s="202">
        <v>12.06</v>
      </c>
      <c r="AH268" s="198" t="s">
        <v>989</v>
      </c>
      <c r="AI268" s="198"/>
      <c r="AJ268" s="198"/>
      <c r="AK268" s="198" t="s">
        <v>316</v>
      </c>
      <c r="AL268" s="198" t="s">
        <v>138</v>
      </c>
      <c r="AM268" s="198" t="s">
        <v>138</v>
      </c>
      <c r="AN268" s="196">
        <f t="shared" si="60"/>
        <v>8</v>
      </c>
      <c r="AO268" s="196">
        <f t="shared" si="61"/>
        <v>2021</v>
      </c>
      <c r="AP268" s="195">
        <f t="shared" si="62"/>
        <v>2041</v>
      </c>
      <c r="AQ268" s="194">
        <f t="shared" si="63"/>
        <v>2041.6666666666667</v>
      </c>
      <c r="AR268" s="193">
        <f t="shared" si="64"/>
        <v>12.057291666666666</v>
      </c>
      <c r="AS268" s="192">
        <f t="shared" si="65"/>
        <v>144.6875</v>
      </c>
      <c r="AT268" s="192">
        <f t="shared" si="66"/>
        <v>144.6875</v>
      </c>
      <c r="AU268" s="192">
        <f t="shared" si="67"/>
        <v>253.203125</v>
      </c>
      <c r="AV268" s="192">
        <f t="shared" si="68"/>
        <v>397.890625</v>
      </c>
      <c r="AW268" s="191">
        <f t="shared" si="69"/>
        <v>2495.859375</v>
      </c>
      <c r="AX268" s="190" t="s">
        <v>72</v>
      </c>
      <c r="AY268" s="184"/>
    </row>
    <row r="269" spans="2:51" hidden="1">
      <c r="B269" s="198">
        <v>2183</v>
      </c>
      <c r="C269" s="199">
        <v>259121</v>
      </c>
      <c r="D269" s="198">
        <v>251931</v>
      </c>
      <c r="E269" s="198" t="s">
        <v>2003</v>
      </c>
      <c r="F269" s="198" t="s">
        <v>1036</v>
      </c>
      <c r="G269" s="198"/>
      <c r="H269" s="198"/>
      <c r="I269" s="200">
        <v>1</v>
      </c>
      <c r="J269" s="198"/>
      <c r="K269" s="200">
        <v>0</v>
      </c>
      <c r="L269" s="198" t="s">
        <v>1037</v>
      </c>
      <c r="M269" s="198"/>
      <c r="N269" s="198" t="s">
        <v>2183</v>
      </c>
      <c r="O269" s="198" t="s">
        <v>2184</v>
      </c>
      <c r="P269" s="198" t="s">
        <v>1028</v>
      </c>
      <c r="Q269" s="198"/>
      <c r="R269" s="198"/>
      <c r="S269" s="201">
        <v>44317</v>
      </c>
      <c r="T269" s="201">
        <v>44317</v>
      </c>
      <c r="U269" s="198" t="s">
        <v>1035</v>
      </c>
      <c r="V269" s="198">
        <v>500</v>
      </c>
      <c r="W269" s="198">
        <v>14040</v>
      </c>
      <c r="X269" s="202">
        <v>792.27</v>
      </c>
      <c r="Y269" s="198">
        <v>14046</v>
      </c>
      <c r="Z269" s="202">
        <v>475.34</v>
      </c>
      <c r="AA269" s="202">
        <v>0</v>
      </c>
      <c r="AB269" s="202">
        <v>316.93</v>
      </c>
      <c r="AC269" s="202">
        <v>52.8</v>
      </c>
      <c r="AD269" s="198">
        <v>51260</v>
      </c>
      <c r="AE269" s="202">
        <v>13.2</v>
      </c>
      <c r="AF269" s="202">
        <v>0</v>
      </c>
      <c r="AG269" s="202">
        <v>13.2</v>
      </c>
      <c r="AH269" s="198" t="s">
        <v>989</v>
      </c>
      <c r="AI269" s="198"/>
      <c r="AJ269" s="198"/>
      <c r="AK269" s="198">
        <v>3705</v>
      </c>
      <c r="AL269" s="198" t="s">
        <v>1857</v>
      </c>
      <c r="AM269" s="198" t="s">
        <v>1857</v>
      </c>
      <c r="AN269" s="196">
        <f t="shared" si="60"/>
        <v>5</v>
      </c>
      <c r="AO269" s="196">
        <f t="shared" si="61"/>
        <v>2021</v>
      </c>
      <c r="AP269" s="195">
        <f t="shared" si="62"/>
        <v>2026</v>
      </c>
      <c r="AQ269" s="194">
        <f t="shared" si="63"/>
        <v>2026.4166666666667</v>
      </c>
      <c r="AR269" s="193">
        <f t="shared" si="64"/>
        <v>13.204500000000001</v>
      </c>
      <c r="AS269" s="192">
        <f t="shared" si="65"/>
        <v>158.45400000000001</v>
      </c>
      <c r="AT269" s="192">
        <f t="shared" si="66"/>
        <v>158.45400000000001</v>
      </c>
      <c r="AU269" s="192">
        <f t="shared" si="67"/>
        <v>316.90799999999996</v>
      </c>
      <c r="AV269" s="192">
        <f t="shared" si="68"/>
        <v>475.36199999999997</v>
      </c>
      <c r="AW269" s="191">
        <f t="shared" si="69"/>
        <v>316.90800000000002</v>
      </c>
      <c r="AX269" s="190" t="s">
        <v>72</v>
      </c>
      <c r="AY269" s="184"/>
    </row>
    <row r="270" spans="2:51" hidden="1">
      <c r="B270" s="198">
        <v>2183</v>
      </c>
      <c r="C270" s="199">
        <v>259120</v>
      </c>
      <c r="D270" s="198">
        <v>249940</v>
      </c>
      <c r="E270" s="198" t="s">
        <v>2003</v>
      </c>
      <c r="F270" s="198" t="s">
        <v>1038</v>
      </c>
      <c r="G270" s="198"/>
      <c r="H270" s="198"/>
      <c r="I270" s="200">
        <v>1</v>
      </c>
      <c r="J270" s="198"/>
      <c r="K270" s="200">
        <v>0</v>
      </c>
      <c r="L270" s="198" t="s">
        <v>1037</v>
      </c>
      <c r="M270" s="198"/>
      <c r="N270" s="198" t="s">
        <v>2183</v>
      </c>
      <c r="O270" s="198" t="s">
        <v>2184</v>
      </c>
      <c r="P270" s="198" t="s">
        <v>1028</v>
      </c>
      <c r="Q270" s="198"/>
      <c r="R270" s="198"/>
      <c r="S270" s="201">
        <v>44288</v>
      </c>
      <c r="T270" s="201">
        <v>44288</v>
      </c>
      <c r="U270" s="198" t="s">
        <v>1039</v>
      </c>
      <c r="V270" s="198">
        <v>500</v>
      </c>
      <c r="W270" s="198">
        <v>14040</v>
      </c>
      <c r="X270" s="202">
        <v>792.27</v>
      </c>
      <c r="Y270" s="198">
        <v>14046</v>
      </c>
      <c r="Z270" s="202">
        <v>488.54</v>
      </c>
      <c r="AA270" s="202">
        <v>0</v>
      </c>
      <c r="AB270" s="202">
        <v>303.72999999999996</v>
      </c>
      <c r="AC270" s="202">
        <v>52.8</v>
      </c>
      <c r="AD270" s="198">
        <v>51260</v>
      </c>
      <c r="AE270" s="202">
        <v>13.2</v>
      </c>
      <c r="AF270" s="202">
        <v>0</v>
      </c>
      <c r="AG270" s="202">
        <v>13.2</v>
      </c>
      <c r="AH270" s="198" t="s">
        <v>989</v>
      </c>
      <c r="AI270" s="198"/>
      <c r="AJ270" s="198"/>
      <c r="AK270" s="198">
        <v>3704</v>
      </c>
      <c r="AL270" s="198" t="s">
        <v>1857</v>
      </c>
      <c r="AM270" s="198" t="s">
        <v>1857</v>
      </c>
      <c r="AN270" s="196">
        <f t="shared" si="60"/>
        <v>4</v>
      </c>
      <c r="AO270" s="196">
        <f t="shared" si="61"/>
        <v>2021</v>
      </c>
      <c r="AP270" s="195">
        <f t="shared" si="62"/>
        <v>2026</v>
      </c>
      <c r="AQ270" s="194">
        <f t="shared" si="63"/>
        <v>2026.3333333333333</v>
      </c>
      <c r="AR270" s="193">
        <f t="shared" si="64"/>
        <v>13.204500000000001</v>
      </c>
      <c r="AS270" s="192">
        <f t="shared" si="65"/>
        <v>158.45400000000001</v>
      </c>
      <c r="AT270" s="192">
        <f t="shared" si="66"/>
        <v>158.45400000000001</v>
      </c>
      <c r="AU270" s="192">
        <f t="shared" si="67"/>
        <v>330.11250000002394</v>
      </c>
      <c r="AV270" s="192">
        <f t="shared" si="68"/>
        <v>488.56650000002395</v>
      </c>
      <c r="AW270" s="191">
        <f t="shared" si="69"/>
        <v>303.70349999997603</v>
      </c>
      <c r="AX270" s="190" t="s">
        <v>72</v>
      </c>
      <c r="AY270" s="184"/>
    </row>
    <row r="271" spans="2:51" hidden="1">
      <c r="B271" s="198">
        <v>2183</v>
      </c>
      <c r="C271" s="199">
        <v>258547</v>
      </c>
      <c r="D271" s="198">
        <v>251931</v>
      </c>
      <c r="E271" s="198" t="s">
        <v>2003</v>
      </c>
      <c r="F271" s="198" t="s">
        <v>1040</v>
      </c>
      <c r="G271" s="198"/>
      <c r="H271" s="198"/>
      <c r="I271" s="200">
        <v>1</v>
      </c>
      <c r="J271" s="198"/>
      <c r="K271" s="200">
        <v>0</v>
      </c>
      <c r="L271" s="198"/>
      <c r="M271" s="198"/>
      <c r="N271" s="198" t="s">
        <v>2183</v>
      </c>
      <c r="O271" s="198" t="s">
        <v>2184</v>
      </c>
      <c r="P271" s="198" t="s">
        <v>1028</v>
      </c>
      <c r="Q271" s="198"/>
      <c r="R271" s="198"/>
      <c r="S271" s="201">
        <v>44317</v>
      </c>
      <c r="T271" s="201">
        <v>44317</v>
      </c>
      <c r="U271" s="198" t="s">
        <v>1041</v>
      </c>
      <c r="V271" s="198">
        <v>1000</v>
      </c>
      <c r="W271" s="198">
        <v>14040</v>
      </c>
      <c r="X271" s="202">
        <v>471.74</v>
      </c>
      <c r="Y271" s="198">
        <v>14046</v>
      </c>
      <c r="Z271" s="202">
        <v>141.51</v>
      </c>
      <c r="AA271" s="202">
        <v>0</v>
      </c>
      <c r="AB271" s="202">
        <v>330.23</v>
      </c>
      <c r="AC271" s="202">
        <v>15.72</v>
      </c>
      <c r="AD271" s="198">
        <v>51260</v>
      </c>
      <c r="AE271" s="202">
        <v>3.93</v>
      </c>
      <c r="AF271" s="202">
        <v>0</v>
      </c>
      <c r="AG271" s="202">
        <v>3.93</v>
      </c>
      <c r="AH271" s="198" t="s">
        <v>989</v>
      </c>
      <c r="AI271" s="198"/>
      <c r="AJ271" s="198"/>
      <c r="AK271" s="198">
        <v>3705</v>
      </c>
      <c r="AL271" s="198" t="s">
        <v>1857</v>
      </c>
      <c r="AM271" s="198" t="s">
        <v>1857</v>
      </c>
      <c r="AN271" s="196">
        <f t="shared" si="60"/>
        <v>5</v>
      </c>
      <c r="AO271" s="196">
        <f t="shared" si="61"/>
        <v>2021</v>
      </c>
      <c r="AP271" s="195">
        <f t="shared" si="62"/>
        <v>2031</v>
      </c>
      <c r="AQ271" s="194">
        <f t="shared" si="63"/>
        <v>2031.4166666666667</v>
      </c>
      <c r="AR271" s="193">
        <f t="shared" si="64"/>
        <v>3.9311666666666665</v>
      </c>
      <c r="AS271" s="192">
        <f t="shared" si="65"/>
        <v>47.173999999999999</v>
      </c>
      <c r="AT271" s="192">
        <f t="shared" si="66"/>
        <v>47.173999999999999</v>
      </c>
      <c r="AU271" s="192">
        <f t="shared" si="67"/>
        <v>94.348000000000013</v>
      </c>
      <c r="AV271" s="192">
        <f t="shared" si="68"/>
        <v>141.52200000000002</v>
      </c>
      <c r="AW271" s="191">
        <f t="shared" si="69"/>
        <v>330.21799999999996</v>
      </c>
      <c r="AX271" s="190" t="s">
        <v>72</v>
      </c>
      <c r="AY271" s="184"/>
    </row>
    <row r="272" spans="2:51">
      <c r="B272" s="198">
        <v>2183</v>
      </c>
      <c r="C272" s="199">
        <v>257735</v>
      </c>
      <c r="D272" s="198" t="s">
        <v>989</v>
      </c>
      <c r="E272" s="198" t="s">
        <v>2003</v>
      </c>
      <c r="F272" s="198" t="s">
        <v>1042</v>
      </c>
      <c r="G272" s="198"/>
      <c r="H272" s="198"/>
      <c r="I272" s="200">
        <v>1</v>
      </c>
      <c r="J272" s="198"/>
      <c r="K272" s="200">
        <v>0</v>
      </c>
      <c r="L272" s="198"/>
      <c r="M272" s="198"/>
      <c r="N272" s="198" t="s">
        <v>2196</v>
      </c>
      <c r="O272" s="198" t="s">
        <v>2184</v>
      </c>
      <c r="P272" s="198"/>
      <c r="Q272" s="198"/>
      <c r="R272" s="198"/>
      <c r="S272" s="201">
        <v>44439</v>
      </c>
      <c r="T272" s="201">
        <v>44439</v>
      </c>
      <c r="U272" s="198" t="s">
        <v>938</v>
      </c>
      <c r="V272" s="198">
        <v>2000</v>
      </c>
      <c r="W272" s="198">
        <v>14080</v>
      </c>
      <c r="X272" s="202">
        <v>82386.27</v>
      </c>
      <c r="Y272" s="198">
        <v>14086</v>
      </c>
      <c r="Z272" s="202">
        <v>10984.85</v>
      </c>
      <c r="AA272" s="202">
        <v>0</v>
      </c>
      <c r="AB272" s="202">
        <v>71401.42</v>
      </c>
      <c r="AC272" s="202">
        <v>1373.12</v>
      </c>
      <c r="AD272" s="198">
        <v>57260</v>
      </c>
      <c r="AE272" s="202">
        <v>343.28</v>
      </c>
      <c r="AF272" s="202">
        <v>0</v>
      </c>
      <c r="AG272" s="202">
        <v>343.28</v>
      </c>
      <c r="AH272" s="198" t="s">
        <v>989</v>
      </c>
      <c r="AI272" s="198"/>
      <c r="AJ272" s="198"/>
      <c r="AK272" s="198" t="s">
        <v>316</v>
      </c>
      <c r="AL272" s="198" t="s">
        <v>138</v>
      </c>
      <c r="AM272" s="198" t="s">
        <v>138</v>
      </c>
      <c r="AN272" s="196">
        <f t="shared" si="60"/>
        <v>8</v>
      </c>
      <c r="AO272" s="196">
        <f t="shared" si="61"/>
        <v>2021</v>
      </c>
      <c r="AP272" s="195">
        <f t="shared" si="62"/>
        <v>2041</v>
      </c>
      <c r="AQ272" s="194">
        <f t="shared" si="63"/>
        <v>2041.6666666666667</v>
      </c>
      <c r="AR272" s="193">
        <f t="shared" si="64"/>
        <v>343.27612500000004</v>
      </c>
      <c r="AS272" s="192">
        <f t="shared" si="65"/>
        <v>4119.3135000000002</v>
      </c>
      <c r="AT272" s="192">
        <f t="shared" si="66"/>
        <v>4119.3135000000002</v>
      </c>
      <c r="AU272" s="192">
        <f t="shared" si="67"/>
        <v>7208.7986249999958</v>
      </c>
      <c r="AV272" s="192">
        <f t="shared" si="68"/>
        <v>11328.112124999996</v>
      </c>
      <c r="AW272" s="191">
        <f t="shared" si="69"/>
        <v>71058.157875000004</v>
      </c>
      <c r="AX272" s="190" t="s">
        <v>72</v>
      </c>
      <c r="AY272" s="184"/>
    </row>
    <row r="273" spans="2:51">
      <c r="B273" s="198">
        <v>2183</v>
      </c>
      <c r="C273" s="199">
        <v>257734</v>
      </c>
      <c r="D273" s="198" t="s">
        <v>989</v>
      </c>
      <c r="E273" s="198" t="s">
        <v>2003</v>
      </c>
      <c r="F273" s="198" t="s">
        <v>1043</v>
      </c>
      <c r="G273" s="198"/>
      <c r="H273" s="198"/>
      <c r="I273" s="200">
        <v>1</v>
      </c>
      <c r="J273" s="198"/>
      <c r="K273" s="200">
        <v>0</v>
      </c>
      <c r="L273" s="198"/>
      <c r="M273" s="198"/>
      <c r="N273" s="198" t="s">
        <v>2196</v>
      </c>
      <c r="O273" s="198" t="s">
        <v>2184</v>
      </c>
      <c r="P273" s="198"/>
      <c r="Q273" s="198"/>
      <c r="R273" s="198"/>
      <c r="S273" s="201">
        <v>44439</v>
      </c>
      <c r="T273" s="201">
        <v>44439</v>
      </c>
      <c r="U273" s="198" t="s">
        <v>937</v>
      </c>
      <c r="V273" s="198">
        <v>2000</v>
      </c>
      <c r="W273" s="198">
        <v>14080</v>
      </c>
      <c r="X273" s="202">
        <v>72541.67</v>
      </c>
      <c r="Y273" s="198">
        <v>14086</v>
      </c>
      <c r="Z273" s="202">
        <v>9672.23</v>
      </c>
      <c r="AA273" s="202">
        <v>0</v>
      </c>
      <c r="AB273" s="202">
        <v>62869.440000000002</v>
      </c>
      <c r="AC273" s="202">
        <v>1209.04</v>
      </c>
      <c r="AD273" s="198">
        <v>57260</v>
      </c>
      <c r="AE273" s="202">
        <v>302.26</v>
      </c>
      <c r="AF273" s="202">
        <v>0</v>
      </c>
      <c r="AG273" s="202">
        <v>302.26</v>
      </c>
      <c r="AH273" s="198" t="s">
        <v>989</v>
      </c>
      <c r="AI273" s="198"/>
      <c r="AJ273" s="198"/>
      <c r="AK273" s="198" t="s">
        <v>316</v>
      </c>
      <c r="AL273" s="198" t="s">
        <v>138</v>
      </c>
      <c r="AM273" s="198" t="s">
        <v>138</v>
      </c>
      <c r="AN273" s="196">
        <f t="shared" ref="AN273:AN312" si="70">MONTH($S273)</f>
        <v>8</v>
      </c>
      <c r="AO273" s="196">
        <f t="shared" ref="AO273:AO312" si="71">YEAR($S273)</f>
        <v>2021</v>
      </c>
      <c r="AP273" s="195">
        <f t="shared" ref="AP273:AP312" si="72">$AO273+($V273/100)</f>
        <v>2041</v>
      </c>
      <c r="AQ273" s="194">
        <f t="shared" ref="AQ273:AQ312" si="73">$AP273+($AN273/12)</f>
        <v>2041.6666666666667</v>
      </c>
      <c r="AR273" s="193">
        <f t="shared" ref="AR273:AR312" si="74">IFERROR($X273/($V273/100)/12,0)</f>
        <v>302.25695833333333</v>
      </c>
      <c r="AS273" s="192">
        <f t="shared" ref="AS273:AS312" si="75">$AR273*12</f>
        <v>3627.0834999999997</v>
      </c>
      <c r="AT273" s="192">
        <f t="shared" ref="AT273:AT303" si="76">IF(AQ273&lt;$AK$12,0,AS273)</f>
        <v>3627.0834999999997</v>
      </c>
      <c r="AU273" s="192">
        <f t="shared" ref="AU273:AU303" si="77">IF(AQ273&lt;=$AK$13,X273,IF(((AO273+AN273/12))&gt;=$AK$13,0,((X273-((AQ273-$AK$13)*12)*AR273))))</f>
        <v>6347.3961249999993</v>
      </c>
      <c r="AV273" s="192">
        <f t="shared" ref="AV273:AV303" si="78">IF(AQ273&lt;$AK$12,X273,AT273+AU273)</f>
        <v>9974.4796249999999</v>
      </c>
      <c r="AW273" s="191">
        <f t="shared" ref="AW273:AW303" si="79">+X273-AV273</f>
        <v>62567.190374999998</v>
      </c>
      <c r="AX273" s="190" t="s">
        <v>72</v>
      </c>
      <c r="AY273" s="184"/>
    </row>
    <row r="274" spans="2:51">
      <c r="B274" s="198">
        <v>2183</v>
      </c>
      <c r="C274" s="199">
        <v>257733</v>
      </c>
      <c r="D274" s="198" t="s">
        <v>989</v>
      </c>
      <c r="E274" s="198" t="s">
        <v>2003</v>
      </c>
      <c r="F274" s="198" t="s">
        <v>1004</v>
      </c>
      <c r="G274" s="198"/>
      <c r="H274" s="198"/>
      <c r="I274" s="200">
        <v>1</v>
      </c>
      <c r="J274" s="198"/>
      <c r="K274" s="200">
        <v>0</v>
      </c>
      <c r="L274" s="198"/>
      <c r="M274" s="198"/>
      <c r="N274" s="198" t="s">
        <v>2196</v>
      </c>
      <c r="O274" s="198" t="s">
        <v>2184</v>
      </c>
      <c r="P274" s="198"/>
      <c r="Q274" s="198"/>
      <c r="R274" s="198"/>
      <c r="S274" s="201">
        <v>44439</v>
      </c>
      <c r="T274" s="201">
        <v>44439</v>
      </c>
      <c r="U274" s="198" t="s">
        <v>936</v>
      </c>
      <c r="V274" s="198">
        <v>2000</v>
      </c>
      <c r="W274" s="198">
        <v>14080</v>
      </c>
      <c r="X274" s="202">
        <v>20782.810000000001</v>
      </c>
      <c r="Y274" s="198">
        <v>14086</v>
      </c>
      <c r="Z274" s="202">
        <v>2771.06</v>
      </c>
      <c r="AA274" s="202">
        <v>0</v>
      </c>
      <c r="AB274" s="202">
        <v>18011.75</v>
      </c>
      <c r="AC274" s="202">
        <v>346.4</v>
      </c>
      <c r="AD274" s="198">
        <v>57260</v>
      </c>
      <c r="AE274" s="202">
        <v>86.6</v>
      </c>
      <c r="AF274" s="202">
        <v>0</v>
      </c>
      <c r="AG274" s="202">
        <v>86.6</v>
      </c>
      <c r="AH274" s="198" t="s">
        <v>989</v>
      </c>
      <c r="AI274" s="198"/>
      <c r="AJ274" s="198"/>
      <c r="AK274" s="198" t="s">
        <v>316</v>
      </c>
      <c r="AL274" s="198" t="s">
        <v>138</v>
      </c>
      <c r="AM274" s="198" t="s">
        <v>138</v>
      </c>
      <c r="AN274" s="196">
        <f t="shared" si="70"/>
        <v>8</v>
      </c>
      <c r="AO274" s="196">
        <f t="shared" si="71"/>
        <v>2021</v>
      </c>
      <c r="AP274" s="195">
        <f t="shared" si="72"/>
        <v>2041</v>
      </c>
      <c r="AQ274" s="194">
        <f t="shared" si="73"/>
        <v>2041.6666666666667</v>
      </c>
      <c r="AR274" s="193">
        <f t="shared" si="74"/>
        <v>86.59504166666666</v>
      </c>
      <c r="AS274" s="192">
        <f t="shared" si="75"/>
        <v>1039.1405</v>
      </c>
      <c r="AT274" s="192">
        <f t="shared" si="76"/>
        <v>1039.1405</v>
      </c>
      <c r="AU274" s="192">
        <f t="shared" si="77"/>
        <v>1818.4958750000042</v>
      </c>
      <c r="AV274" s="192">
        <f t="shared" si="78"/>
        <v>2857.6363750000041</v>
      </c>
      <c r="AW274" s="191">
        <f t="shared" si="79"/>
        <v>17925.173624999996</v>
      </c>
      <c r="AX274" s="190" t="s">
        <v>72</v>
      </c>
      <c r="AY274" s="184"/>
    </row>
    <row r="275" spans="2:51">
      <c r="B275" s="198">
        <v>2183</v>
      </c>
      <c r="C275" s="199">
        <v>257732</v>
      </c>
      <c r="D275" s="198" t="s">
        <v>989</v>
      </c>
      <c r="E275" s="198" t="s">
        <v>2003</v>
      </c>
      <c r="F275" s="198" t="s">
        <v>1044</v>
      </c>
      <c r="G275" s="198"/>
      <c r="H275" s="198"/>
      <c r="I275" s="200">
        <v>1</v>
      </c>
      <c r="J275" s="198"/>
      <c r="K275" s="200">
        <v>0</v>
      </c>
      <c r="L275" s="198"/>
      <c r="M275" s="198"/>
      <c r="N275" s="198" t="s">
        <v>2196</v>
      </c>
      <c r="O275" s="198" t="s">
        <v>2184</v>
      </c>
      <c r="P275" s="198"/>
      <c r="Q275" s="198"/>
      <c r="R275" s="198"/>
      <c r="S275" s="201">
        <v>44439</v>
      </c>
      <c r="T275" s="201">
        <v>44439</v>
      </c>
      <c r="U275" s="198" t="s">
        <v>935</v>
      </c>
      <c r="V275" s="198">
        <v>2000</v>
      </c>
      <c r="W275" s="198">
        <v>14080</v>
      </c>
      <c r="X275" s="202">
        <v>43504.53</v>
      </c>
      <c r="Y275" s="198">
        <v>14086</v>
      </c>
      <c r="Z275" s="202">
        <v>5800.62</v>
      </c>
      <c r="AA275" s="202">
        <v>0</v>
      </c>
      <c r="AB275" s="202">
        <v>37703.909999999996</v>
      </c>
      <c r="AC275" s="202">
        <v>725.08</v>
      </c>
      <c r="AD275" s="198">
        <v>57260</v>
      </c>
      <c r="AE275" s="202">
        <v>181.27</v>
      </c>
      <c r="AF275" s="202">
        <v>0</v>
      </c>
      <c r="AG275" s="202">
        <v>181.27</v>
      </c>
      <c r="AH275" s="198" t="s">
        <v>989</v>
      </c>
      <c r="AI275" s="198"/>
      <c r="AJ275" s="198"/>
      <c r="AK275" s="198" t="s">
        <v>316</v>
      </c>
      <c r="AL275" s="198" t="s">
        <v>138</v>
      </c>
      <c r="AM275" s="198" t="s">
        <v>138</v>
      </c>
      <c r="AN275" s="196">
        <f t="shared" si="70"/>
        <v>8</v>
      </c>
      <c r="AO275" s="196">
        <f t="shared" si="71"/>
        <v>2021</v>
      </c>
      <c r="AP275" s="195">
        <f t="shared" si="72"/>
        <v>2041</v>
      </c>
      <c r="AQ275" s="194">
        <f t="shared" si="73"/>
        <v>2041.6666666666667</v>
      </c>
      <c r="AR275" s="193">
        <f t="shared" si="74"/>
        <v>181.26887499999998</v>
      </c>
      <c r="AS275" s="192">
        <f t="shared" si="75"/>
        <v>2175.2264999999998</v>
      </c>
      <c r="AT275" s="192">
        <f t="shared" si="76"/>
        <v>2175.2264999999998</v>
      </c>
      <c r="AU275" s="192">
        <f t="shared" si="77"/>
        <v>3806.6463750000039</v>
      </c>
      <c r="AV275" s="192">
        <f t="shared" si="78"/>
        <v>5981.8728750000037</v>
      </c>
      <c r="AW275" s="191">
        <f t="shared" si="79"/>
        <v>37522.657124999998</v>
      </c>
      <c r="AX275" s="190" t="s">
        <v>72</v>
      </c>
      <c r="AY275" s="184"/>
    </row>
    <row r="276" spans="2:51">
      <c r="B276" s="198">
        <v>2183</v>
      </c>
      <c r="C276" s="199">
        <v>257731</v>
      </c>
      <c r="D276" s="198" t="s">
        <v>989</v>
      </c>
      <c r="E276" s="198" t="s">
        <v>2003</v>
      </c>
      <c r="F276" s="198" t="s">
        <v>1004</v>
      </c>
      <c r="G276" s="198"/>
      <c r="H276" s="198"/>
      <c r="I276" s="200">
        <v>1</v>
      </c>
      <c r="J276" s="198"/>
      <c r="K276" s="200">
        <v>0</v>
      </c>
      <c r="L276" s="198"/>
      <c r="M276" s="198"/>
      <c r="N276" s="198" t="s">
        <v>2196</v>
      </c>
      <c r="O276" s="198" t="s">
        <v>2184</v>
      </c>
      <c r="P276" s="198"/>
      <c r="Q276" s="198"/>
      <c r="R276" s="198"/>
      <c r="S276" s="201">
        <v>44439</v>
      </c>
      <c r="T276" s="201">
        <v>44439</v>
      </c>
      <c r="U276" s="198" t="s">
        <v>939</v>
      </c>
      <c r="V276" s="198">
        <v>2000</v>
      </c>
      <c r="W276" s="198">
        <v>14080</v>
      </c>
      <c r="X276" s="202">
        <v>612645.63</v>
      </c>
      <c r="Y276" s="198">
        <v>14086</v>
      </c>
      <c r="Z276" s="202">
        <v>81686.080000000002</v>
      </c>
      <c r="AA276" s="202">
        <v>0</v>
      </c>
      <c r="AB276" s="202">
        <v>530959.55000000005</v>
      </c>
      <c r="AC276" s="202">
        <v>10210.76</v>
      </c>
      <c r="AD276" s="198">
        <v>57260</v>
      </c>
      <c r="AE276" s="202">
        <v>2552.69</v>
      </c>
      <c r="AF276" s="202">
        <v>0</v>
      </c>
      <c r="AG276" s="202">
        <v>2552.69</v>
      </c>
      <c r="AH276" s="198" t="s">
        <v>989</v>
      </c>
      <c r="AI276" s="198"/>
      <c r="AJ276" s="198"/>
      <c r="AK276" s="198" t="s">
        <v>316</v>
      </c>
      <c r="AL276" s="198" t="s">
        <v>138</v>
      </c>
      <c r="AM276" s="198" t="s">
        <v>138</v>
      </c>
      <c r="AN276" s="196">
        <f t="shared" si="70"/>
        <v>8</v>
      </c>
      <c r="AO276" s="196">
        <f t="shared" si="71"/>
        <v>2021</v>
      </c>
      <c r="AP276" s="195">
        <f t="shared" si="72"/>
        <v>2041</v>
      </c>
      <c r="AQ276" s="194">
        <f t="shared" si="73"/>
        <v>2041.6666666666667</v>
      </c>
      <c r="AR276" s="193">
        <f t="shared" si="74"/>
        <v>2552.6901250000001</v>
      </c>
      <c r="AS276" s="192">
        <f t="shared" si="75"/>
        <v>30632.281500000001</v>
      </c>
      <c r="AT276" s="192">
        <f t="shared" si="76"/>
        <v>30632.281500000001</v>
      </c>
      <c r="AU276" s="192">
        <f t="shared" si="77"/>
        <v>53606.492624999955</v>
      </c>
      <c r="AV276" s="192">
        <f t="shared" si="78"/>
        <v>84238.774124999953</v>
      </c>
      <c r="AW276" s="191">
        <f t="shared" si="79"/>
        <v>528406.85587500001</v>
      </c>
      <c r="AX276" s="190" t="s">
        <v>72</v>
      </c>
      <c r="AY276" s="184"/>
    </row>
    <row r="277" spans="2:51">
      <c r="B277" s="198">
        <v>2183</v>
      </c>
      <c r="C277" s="199">
        <v>257730</v>
      </c>
      <c r="D277" s="198" t="s">
        <v>989</v>
      </c>
      <c r="E277" s="198" t="s">
        <v>2003</v>
      </c>
      <c r="F277" s="198" t="s">
        <v>1004</v>
      </c>
      <c r="G277" s="198"/>
      <c r="H277" s="198"/>
      <c r="I277" s="200">
        <v>1</v>
      </c>
      <c r="J277" s="198"/>
      <c r="K277" s="200">
        <v>0</v>
      </c>
      <c r="L277" s="198"/>
      <c r="M277" s="198"/>
      <c r="N277" s="198" t="s">
        <v>2196</v>
      </c>
      <c r="O277" s="198" t="s">
        <v>2184</v>
      </c>
      <c r="P277" s="198"/>
      <c r="Q277" s="198"/>
      <c r="R277" s="198"/>
      <c r="S277" s="201">
        <v>44439</v>
      </c>
      <c r="T277" s="201">
        <v>44439</v>
      </c>
      <c r="U277" s="198" t="s">
        <v>940</v>
      </c>
      <c r="V277" s="198">
        <v>2000</v>
      </c>
      <c r="W277" s="198">
        <v>14080</v>
      </c>
      <c r="X277" s="202">
        <v>2795091.88</v>
      </c>
      <c r="Y277" s="198">
        <v>14086</v>
      </c>
      <c r="Z277" s="202">
        <v>372678.93</v>
      </c>
      <c r="AA277" s="202">
        <v>0</v>
      </c>
      <c r="AB277" s="202">
        <v>2422412.9499999997</v>
      </c>
      <c r="AC277" s="202">
        <v>46584.88</v>
      </c>
      <c r="AD277" s="198">
        <v>57260</v>
      </c>
      <c r="AE277" s="202">
        <v>11646.22</v>
      </c>
      <c r="AF277" s="202">
        <v>0</v>
      </c>
      <c r="AG277" s="202">
        <v>11646.22</v>
      </c>
      <c r="AH277" s="198" t="s">
        <v>989</v>
      </c>
      <c r="AI277" s="198"/>
      <c r="AJ277" s="198"/>
      <c r="AK277" s="198" t="s">
        <v>316</v>
      </c>
      <c r="AL277" s="198" t="s">
        <v>138</v>
      </c>
      <c r="AM277" s="198" t="s">
        <v>138</v>
      </c>
      <c r="AN277" s="196">
        <f t="shared" si="70"/>
        <v>8</v>
      </c>
      <c r="AO277" s="196">
        <f t="shared" si="71"/>
        <v>2021</v>
      </c>
      <c r="AP277" s="195">
        <f t="shared" si="72"/>
        <v>2041</v>
      </c>
      <c r="AQ277" s="194">
        <f t="shared" si="73"/>
        <v>2041.6666666666667</v>
      </c>
      <c r="AR277" s="193">
        <f t="shared" si="74"/>
        <v>11646.216166666665</v>
      </c>
      <c r="AS277" s="192">
        <f t="shared" si="75"/>
        <v>139754.59399999998</v>
      </c>
      <c r="AT277" s="192">
        <f t="shared" si="76"/>
        <v>139754.59399999998</v>
      </c>
      <c r="AU277" s="192">
        <f t="shared" si="77"/>
        <v>244570.53950000042</v>
      </c>
      <c r="AV277" s="192">
        <f t="shared" si="78"/>
        <v>384325.1335000004</v>
      </c>
      <c r="AW277" s="191">
        <f t="shared" si="79"/>
        <v>2410766.7464999994</v>
      </c>
      <c r="AX277" s="190" t="s">
        <v>72</v>
      </c>
      <c r="AY277" s="184"/>
    </row>
    <row r="278" spans="2:51">
      <c r="B278" s="198">
        <v>2183</v>
      </c>
      <c r="C278" s="199">
        <v>257146</v>
      </c>
      <c r="D278" s="198" t="s">
        <v>989</v>
      </c>
      <c r="E278" s="198" t="s">
        <v>2003</v>
      </c>
      <c r="F278" s="198" t="s">
        <v>1045</v>
      </c>
      <c r="G278" s="198"/>
      <c r="H278" s="198"/>
      <c r="I278" s="200">
        <v>7</v>
      </c>
      <c r="J278" s="198"/>
      <c r="K278" s="200">
        <v>0</v>
      </c>
      <c r="L278" s="198"/>
      <c r="M278" s="198"/>
      <c r="N278" s="198" t="s">
        <v>2190</v>
      </c>
      <c r="O278" s="198" t="s">
        <v>2184</v>
      </c>
      <c r="P278" s="198"/>
      <c r="Q278" s="198" t="s">
        <v>2209</v>
      </c>
      <c r="R278" s="198" t="s">
        <v>2195</v>
      </c>
      <c r="S278" s="201">
        <v>37196</v>
      </c>
      <c r="T278" s="201">
        <v>37196</v>
      </c>
      <c r="U278" s="198"/>
      <c r="V278" s="198">
        <v>600</v>
      </c>
      <c r="W278" s="198">
        <v>14050</v>
      </c>
      <c r="X278" s="202">
        <v>139.56</v>
      </c>
      <c r="Y278" s="198">
        <v>14056</v>
      </c>
      <c r="Z278" s="202">
        <v>139.56</v>
      </c>
      <c r="AA278" s="202">
        <v>0</v>
      </c>
      <c r="AB278" s="202">
        <v>0</v>
      </c>
      <c r="AC278" s="202">
        <v>0</v>
      </c>
      <c r="AD278" s="198">
        <v>54260</v>
      </c>
      <c r="AE278" s="202">
        <v>0</v>
      </c>
      <c r="AF278" s="202">
        <v>0</v>
      </c>
      <c r="AG278" s="202">
        <v>0</v>
      </c>
      <c r="AH278" s="198" t="s">
        <v>994</v>
      </c>
      <c r="AI278" s="198" t="s">
        <v>1046</v>
      </c>
      <c r="AJ278" s="198" t="s">
        <v>1296</v>
      </c>
      <c r="AK278" s="198" t="s">
        <v>316</v>
      </c>
      <c r="AL278" s="198" t="s">
        <v>931</v>
      </c>
      <c r="AM278" s="198" t="s">
        <v>931</v>
      </c>
      <c r="AN278" s="196">
        <f t="shared" si="70"/>
        <v>11</v>
      </c>
      <c r="AO278" s="196">
        <f t="shared" si="71"/>
        <v>2001</v>
      </c>
      <c r="AP278" s="195">
        <f t="shared" si="72"/>
        <v>2007</v>
      </c>
      <c r="AQ278" s="194">
        <f t="shared" si="73"/>
        <v>2007.9166666666667</v>
      </c>
      <c r="AR278" s="193">
        <f t="shared" si="74"/>
        <v>1.9383333333333335</v>
      </c>
      <c r="AS278" s="192">
        <f t="shared" si="75"/>
        <v>23.26</v>
      </c>
      <c r="AT278" s="192">
        <f t="shared" si="76"/>
        <v>0</v>
      </c>
      <c r="AU278" s="192">
        <f t="shared" si="77"/>
        <v>139.56</v>
      </c>
      <c r="AV278" s="192">
        <f t="shared" si="78"/>
        <v>139.56</v>
      </c>
      <c r="AW278" s="191">
        <f t="shared" si="79"/>
        <v>0</v>
      </c>
      <c r="AX278" s="190" t="s">
        <v>72</v>
      </c>
      <c r="AY278" s="184"/>
    </row>
    <row r="279" spans="2:51">
      <c r="B279" s="198">
        <v>2183</v>
      </c>
      <c r="C279" s="199">
        <v>257142</v>
      </c>
      <c r="D279" s="198" t="s">
        <v>989</v>
      </c>
      <c r="E279" s="198" t="s">
        <v>2003</v>
      </c>
      <c r="F279" s="198" t="s">
        <v>1051</v>
      </c>
      <c r="G279" s="198"/>
      <c r="H279" s="198"/>
      <c r="I279" s="200">
        <v>32</v>
      </c>
      <c r="J279" s="198"/>
      <c r="K279" s="200">
        <v>0</v>
      </c>
      <c r="L279" s="198"/>
      <c r="M279" s="198"/>
      <c r="N279" s="198" t="s">
        <v>2190</v>
      </c>
      <c r="O279" s="198" t="s">
        <v>2184</v>
      </c>
      <c r="P279" s="198"/>
      <c r="Q279" s="198" t="s">
        <v>2200</v>
      </c>
      <c r="R279" s="198" t="s">
        <v>2195</v>
      </c>
      <c r="S279" s="201">
        <v>39755</v>
      </c>
      <c r="T279" s="201">
        <v>39755</v>
      </c>
      <c r="U279" s="198"/>
      <c r="V279" s="198">
        <v>1200</v>
      </c>
      <c r="W279" s="198">
        <v>14050</v>
      </c>
      <c r="X279" s="202">
        <v>3760</v>
      </c>
      <c r="Y279" s="198">
        <v>14056</v>
      </c>
      <c r="Z279" s="202">
        <v>3760</v>
      </c>
      <c r="AA279" s="202">
        <v>0</v>
      </c>
      <c r="AB279" s="202">
        <v>0</v>
      </c>
      <c r="AC279" s="202">
        <v>0</v>
      </c>
      <c r="AD279" s="198">
        <v>54260</v>
      </c>
      <c r="AE279" s="202">
        <v>0</v>
      </c>
      <c r="AF279" s="202">
        <v>0</v>
      </c>
      <c r="AG279" s="202">
        <v>0</v>
      </c>
      <c r="AH279" s="198" t="s">
        <v>994</v>
      </c>
      <c r="AI279" s="198" t="s">
        <v>1050</v>
      </c>
      <c r="AJ279" s="198" t="s">
        <v>1296</v>
      </c>
      <c r="AK279" s="198" t="s">
        <v>316</v>
      </c>
      <c r="AL279" s="198" t="s">
        <v>931</v>
      </c>
      <c r="AM279" s="198" t="s">
        <v>931</v>
      </c>
      <c r="AN279" s="196">
        <f t="shared" si="70"/>
        <v>11</v>
      </c>
      <c r="AO279" s="196">
        <f t="shared" si="71"/>
        <v>2008</v>
      </c>
      <c r="AP279" s="195">
        <f t="shared" si="72"/>
        <v>2020</v>
      </c>
      <c r="AQ279" s="194">
        <f t="shared" si="73"/>
        <v>2020.9166666666667</v>
      </c>
      <c r="AR279" s="193">
        <f t="shared" si="74"/>
        <v>26.111111111111111</v>
      </c>
      <c r="AS279" s="192">
        <f t="shared" si="75"/>
        <v>313.33333333333331</v>
      </c>
      <c r="AT279" s="192">
        <f t="shared" si="76"/>
        <v>0</v>
      </c>
      <c r="AU279" s="192">
        <f t="shared" si="77"/>
        <v>3760</v>
      </c>
      <c r="AV279" s="192">
        <f t="shared" si="78"/>
        <v>3760</v>
      </c>
      <c r="AW279" s="191">
        <f t="shared" si="79"/>
        <v>0</v>
      </c>
      <c r="AX279" s="190" t="s">
        <v>72</v>
      </c>
      <c r="AY279" s="184"/>
    </row>
    <row r="280" spans="2:51">
      <c r="B280" s="198">
        <v>2183</v>
      </c>
      <c r="C280" s="199">
        <v>257141</v>
      </c>
      <c r="D280" s="198" t="s">
        <v>989</v>
      </c>
      <c r="E280" s="198" t="s">
        <v>2003</v>
      </c>
      <c r="F280" s="198" t="s">
        <v>1052</v>
      </c>
      <c r="G280" s="198"/>
      <c r="H280" s="198"/>
      <c r="I280" s="200">
        <v>2</v>
      </c>
      <c r="J280" s="198"/>
      <c r="K280" s="200">
        <v>0</v>
      </c>
      <c r="L280" s="198"/>
      <c r="M280" s="198"/>
      <c r="N280" s="198" t="s">
        <v>2190</v>
      </c>
      <c r="O280" s="198" t="s">
        <v>2184</v>
      </c>
      <c r="P280" s="198"/>
      <c r="Q280" s="198" t="s">
        <v>2214</v>
      </c>
      <c r="R280" s="198" t="s">
        <v>2195</v>
      </c>
      <c r="S280" s="201">
        <v>39755</v>
      </c>
      <c r="T280" s="201">
        <v>39755</v>
      </c>
      <c r="U280" s="198"/>
      <c r="V280" s="198">
        <v>1200</v>
      </c>
      <c r="W280" s="198">
        <v>14050</v>
      </c>
      <c r="X280" s="202">
        <v>370</v>
      </c>
      <c r="Y280" s="198">
        <v>14056</v>
      </c>
      <c r="Z280" s="202">
        <v>370</v>
      </c>
      <c r="AA280" s="202">
        <v>0</v>
      </c>
      <c r="AB280" s="202">
        <v>0</v>
      </c>
      <c r="AC280" s="202">
        <v>0</v>
      </c>
      <c r="AD280" s="198">
        <v>54260</v>
      </c>
      <c r="AE280" s="202">
        <v>0</v>
      </c>
      <c r="AF280" s="202">
        <v>0</v>
      </c>
      <c r="AG280" s="202">
        <v>0</v>
      </c>
      <c r="AH280" s="198" t="s">
        <v>994</v>
      </c>
      <c r="AI280" s="198" t="s">
        <v>1050</v>
      </c>
      <c r="AJ280" s="198" t="s">
        <v>1296</v>
      </c>
      <c r="AK280" s="198" t="s">
        <v>316</v>
      </c>
      <c r="AL280" s="198" t="s">
        <v>931</v>
      </c>
      <c r="AM280" s="198" t="s">
        <v>931</v>
      </c>
      <c r="AN280" s="196">
        <f t="shared" si="70"/>
        <v>11</v>
      </c>
      <c r="AO280" s="196">
        <f t="shared" si="71"/>
        <v>2008</v>
      </c>
      <c r="AP280" s="195">
        <f t="shared" si="72"/>
        <v>2020</v>
      </c>
      <c r="AQ280" s="194">
        <f t="shared" si="73"/>
        <v>2020.9166666666667</v>
      </c>
      <c r="AR280" s="193">
        <f t="shared" si="74"/>
        <v>2.5694444444444442</v>
      </c>
      <c r="AS280" s="192">
        <f t="shared" si="75"/>
        <v>30.833333333333329</v>
      </c>
      <c r="AT280" s="192">
        <f t="shared" si="76"/>
        <v>0</v>
      </c>
      <c r="AU280" s="192">
        <f t="shared" si="77"/>
        <v>370</v>
      </c>
      <c r="AV280" s="192">
        <f t="shared" si="78"/>
        <v>370</v>
      </c>
      <c r="AW280" s="191">
        <f t="shared" si="79"/>
        <v>0</v>
      </c>
      <c r="AX280" s="190" t="s">
        <v>72</v>
      </c>
      <c r="AY280" s="184"/>
    </row>
    <row r="281" spans="2:51">
      <c r="B281" s="198">
        <v>2183</v>
      </c>
      <c r="C281" s="199">
        <v>257139</v>
      </c>
      <c r="D281" s="198" t="s">
        <v>989</v>
      </c>
      <c r="E281" s="198" t="s">
        <v>2003</v>
      </c>
      <c r="F281" s="198" t="s">
        <v>904</v>
      </c>
      <c r="G281" s="198"/>
      <c r="H281" s="198"/>
      <c r="I281" s="200">
        <v>5</v>
      </c>
      <c r="J281" s="198"/>
      <c r="K281" s="200">
        <v>0</v>
      </c>
      <c r="L281" s="198"/>
      <c r="M281" s="198"/>
      <c r="N281" s="198" t="s">
        <v>2190</v>
      </c>
      <c r="O281" s="198" t="s">
        <v>2184</v>
      </c>
      <c r="P281" s="198"/>
      <c r="Q281" s="198" t="s">
        <v>2191</v>
      </c>
      <c r="R281" s="198" t="s">
        <v>2192</v>
      </c>
      <c r="S281" s="201">
        <v>39755</v>
      </c>
      <c r="T281" s="201">
        <v>39755</v>
      </c>
      <c r="U281" s="198"/>
      <c r="V281" s="198">
        <v>700</v>
      </c>
      <c r="W281" s="198">
        <v>14050</v>
      </c>
      <c r="X281" s="202">
        <v>701.55</v>
      </c>
      <c r="Y281" s="198">
        <v>14056</v>
      </c>
      <c r="Z281" s="202">
        <v>701.55</v>
      </c>
      <c r="AA281" s="202">
        <v>0</v>
      </c>
      <c r="AB281" s="202">
        <v>0</v>
      </c>
      <c r="AC281" s="202">
        <v>0</v>
      </c>
      <c r="AD281" s="198">
        <v>54260</v>
      </c>
      <c r="AE281" s="202">
        <v>0</v>
      </c>
      <c r="AF281" s="202">
        <v>0</v>
      </c>
      <c r="AG281" s="202">
        <v>0</v>
      </c>
      <c r="AH281" s="198" t="s">
        <v>994</v>
      </c>
      <c r="AI281" s="198" t="s">
        <v>1050</v>
      </c>
      <c r="AJ281" s="198" t="s">
        <v>1296</v>
      </c>
      <c r="AK281" s="198" t="s">
        <v>316</v>
      </c>
      <c r="AL281" s="198" t="s">
        <v>931</v>
      </c>
      <c r="AM281" s="198" t="s">
        <v>931</v>
      </c>
      <c r="AN281" s="196">
        <f t="shared" si="70"/>
        <v>11</v>
      </c>
      <c r="AO281" s="196">
        <f t="shared" si="71"/>
        <v>2008</v>
      </c>
      <c r="AP281" s="195">
        <f t="shared" si="72"/>
        <v>2015</v>
      </c>
      <c r="AQ281" s="194">
        <f t="shared" si="73"/>
        <v>2015.9166666666667</v>
      </c>
      <c r="AR281" s="193">
        <f t="shared" si="74"/>
        <v>8.3517857142857128</v>
      </c>
      <c r="AS281" s="192">
        <f t="shared" si="75"/>
        <v>100.22142857142856</v>
      </c>
      <c r="AT281" s="192">
        <f t="shared" si="76"/>
        <v>0</v>
      </c>
      <c r="AU281" s="192">
        <f t="shared" si="77"/>
        <v>701.55</v>
      </c>
      <c r="AV281" s="192">
        <f t="shared" si="78"/>
        <v>701.55</v>
      </c>
      <c r="AW281" s="191">
        <f t="shared" si="79"/>
        <v>0</v>
      </c>
      <c r="AX281" s="190" t="s">
        <v>72</v>
      </c>
      <c r="AY281" s="184"/>
    </row>
    <row r="282" spans="2:51">
      <c r="B282" s="198">
        <v>2183</v>
      </c>
      <c r="C282" s="199">
        <v>256603</v>
      </c>
      <c r="D282" s="198" t="s">
        <v>989</v>
      </c>
      <c r="E282" s="198" t="s">
        <v>2003</v>
      </c>
      <c r="F282" s="198" t="s">
        <v>1053</v>
      </c>
      <c r="G282" s="198"/>
      <c r="H282" s="198"/>
      <c r="I282" s="200">
        <v>28</v>
      </c>
      <c r="J282" s="198"/>
      <c r="K282" s="200">
        <v>0</v>
      </c>
      <c r="L282" s="198"/>
      <c r="M282" s="198"/>
      <c r="N282" s="198" t="s">
        <v>2190</v>
      </c>
      <c r="O282" s="198" t="s">
        <v>2184</v>
      </c>
      <c r="P282" s="198"/>
      <c r="Q282" s="198" t="s">
        <v>2209</v>
      </c>
      <c r="R282" s="198" t="s">
        <v>2195</v>
      </c>
      <c r="S282" s="201">
        <v>39755</v>
      </c>
      <c r="T282" s="201">
        <v>39755</v>
      </c>
      <c r="U282" s="198"/>
      <c r="V282" s="198">
        <v>1200</v>
      </c>
      <c r="W282" s="198">
        <v>14050</v>
      </c>
      <c r="X282" s="202">
        <v>2660</v>
      </c>
      <c r="Y282" s="198">
        <v>14056</v>
      </c>
      <c r="Z282" s="202">
        <v>2660</v>
      </c>
      <c r="AA282" s="202">
        <v>0</v>
      </c>
      <c r="AB282" s="202">
        <v>0</v>
      </c>
      <c r="AC282" s="202">
        <v>0</v>
      </c>
      <c r="AD282" s="198">
        <v>54260</v>
      </c>
      <c r="AE282" s="202">
        <v>0</v>
      </c>
      <c r="AF282" s="202">
        <v>0</v>
      </c>
      <c r="AG282" s="202">
        <v>0</v>
      </c>
      <c r="AH282" s="198" t="s">
        <v>994</v>
      </c>
      <c r="AI282" s="198" t="s">
        <v>1050</v>
      </c>
      <c r="AJ282" s="198" t="s">
        <v>1296</v>
      </c>
      <c r="AK282" s="198" t="s">
        <v>316</v>
      </c>
      <c r="AL282" s="198" t="s">
        <v>931</v>
      </c>
      <c r="AM282" s="198" t="s">
        <v>931</v>
      </c>
      <c r="AN282" s="196">
        <f t="shared" si="70"/>
        <v>11</v>
      </c>
      <c r="AO282" s="196">
        <f t="shared" si="71"/>
        <v>2008</v>
      </c>
      <c r="AP282" s="195">
        <f t="shared" si="72"/>
        <v>2020</v>
      </c>
      <c r="AQ282" s="194">
        <f t="shared" si="73"/>
        <v>2020.9166666666667</v>
      </c>
      <c r="AR282" s="193">
        <f t="shared" si="74"/>
        <v>18.472222222222221</v>
      </c>
      <c r="AS282" s="192">
        <f t="shared" si="75"/>
        <v>221.66666666666666</v>
      </c>
      <c r="AT282" s="192">
        <f t="shared" si="76"/>
        <v>0</v>
      </c>
      <c r="AU282" s="192">
        <f t="shared" si="77"/>
        <v>2660</v>
      </c>
      <c r="AV282" s="192">
        <f t="shared" si="78"/>
        <v>2660</v>
      </c>
      <c r="AW282" s="191">
        <f t="shared" si="79"/>
        <v>0</v>
      </c>
      <c r="AX282" s="190" t="s">
        <v>72</v>
      </c>
      <c r="AY282" s="184"/>
    </row>
    <row r="283" spans="2:51">
      <c r="B283" s="198">
        <v>2183</v>
      </c>
      <c r="C283" s="199">
        <v>255878</v>
      </c>
      <c r="D283" s="198" t="s">
        <v>989</v>
      </c>
      <c r="E283" s="198" t="s">
        <v>2003</v>
      </c>
      <c r="F283" s="198" t="s">
        <v>1054</v>
      </c>
      <c r="G283" s="198"/>
      <c r="H283" s="198"/>
      <c r="I283" s="200">
        <v>702</v>
      </c>
      <c r="J283" s="198"/>
      <c r="K283" s="200">
        <v>0</v>
      </c>
      <c r="L283" s="198" t="s">
        <v>1001</v>
      </c>
      <c r="M283" s="198"/>
      <c r="N283" s="198" t="s">
        <v>2190</v>
      </c>
      <c r="O283" s="198" t="s">
        <v>2184</v>
      </c>
      <c r="P283" s="198"/>
      <c r="Q283" s="198"/>
      <c r="R283" s="198"/>
      <c r="S283" s="201">
        <v>44389</v>
      </c>
      <c r="T283" s="201">
        <v>44389</v>
      </c>
      <c r="U283" s="198" t="s">
        <v>1003</v>
      </c>
      <c r="V283" s="198">
        <v>700</v>
      </c>
      <c r="W283" s="198">
        <v>14050</v>
      </c>
      <c r="X283" s="202">
        <v>40388.49</v>
      </c>
      <c r="Y283" s="198">
        <v>14056</v>
      </c>
      <c r="Z283" s="202">
        <v>16347.75</v>
      </c>
      <c r="AA283" s="202">
        <v>0</v>
      </c>
      <c r="AB283" s="202">
        <v>24040.739999999998</v>
      </c>
      <c r="AC283" s="202">
        <v>1923.28</v>
      </c>
      <c r="AD283" s="198">
        <v>54260</v>
      </c>
      <c r="AE283" s="202">
        <v>480.82</v>
      </c>
      <c r="AF283" s="202">
        <v>0</v>
      </c>
      <c r="AG283" s="202">
        <v>480.82</v>
      </c>
      <c r="AH283" s="198" t="s">
        <v>989</v>
      </c>
      <c r="AI283" s="198"/>
      <c r="AJ283" s="198"/>
      <c r="AK283" s="198" t="s">
        <v>316</v>
      </c>
      <c r="AL283" s="198" t="s">
        <v>929</v>
      </c>
      <c r="AM283" s="198" t="s">
        <v>929</v>
      </c>
      <c r="AN283" s="196">
        <f t="shared" si="70"/>
        <v>7</v>
      </c>
      <c r="AO283" s="196">
        <f t="shared" si="71"/>
        <v>2021</v>
      </c>
      <c r="AP283" s="195">
        <f t="shared" si="72"/>
        <v>2028</v>
      </c>
      <c r="AQ283" s="194">
        <f t="shared" si="73"/>
        <v>2028.5833333333333</v>
      </c>
      <c r="AR283" s="193">
        <f t="shared" si="74"/>
        <v>480.81535714285707</v>
      </c>
      <c r="AS283" s="192">
        <f t="shared" si="75"/>
        <v>5769.784285714285</v>
      </c>
      <c r="AT283" s="192">
        <f t="shared" si="76"/>
        <v>5769.784285714285</v>
      </c>
      <c r="AU283" s="192">
        <f t="shared" si="77"/>
        <v>10577.937857143734</v>
      </c>
      <c r="AV283" s="192">
        <f t="shared" si="78"/>
        <v>16347.72214285802</v>
      </c>
      <c r="AW283" s="191">
        <f t="shared" si="79"/>
        <v>24040.767857141978</v>
      </c>
      <c r="AX283" s="190" t="s">
        <v>72</v>
      </c>
      <c r="AY283" s="184"/>
    </row>
    <row r="284" spans="2:51">
      <c r="B284" s="198">
        <v>2183</v>
      </c>
      <c r="C284" s="199">
        <v>255410</v>
      </c>
      <c r="D284" s="198" t="s">
        <v>989</v>
      </c>
      <c r="E284" s="198" t="s">
        <v>2003</v>
      </c>
      <c r="F284" s="198" t="s">
        <v>1055</v>
      </c>
      <c r="G284" s="198"/>
      <c r="H284" s="198"/>
      <c r="I284" s="200">
        <v>1</v>
      </c>
      <c r="J284" s="198" t="s">
        <v>1056</v>
      </c>
      <c r="K284" s="200">
        <v>2022</v>
      </c>
      <c r="L284" s="198" t="s">
        <v>1097</v>
      </c>
      <c r="M284" s="198" t="s">
        <v>1110</v>
      </c>
      <c r="N284" s="198" t="s">
        <v>2183</v>
      </c>
      <c r="O284" s="198" t="s">
        <v>2184</v>
      </c>
      <c r="P284" s="198" t="s">
        <v>2187</v>
      </c>
      <c r="Q284" s="198"/>
      <c r="R284" s="198"/>
      <c r="S284" s="201">
        <v>44397</v>
      </c>
      <c r="T284" s="201">
        <v>44397</v>
      </c>
      <c r="U284" s="198" t="s">
        <v>1057</v>
      </c>
      <c r="V284" s="198">
        <v>1000</v>
      </c>
      <c r="W284" s="198">
        <v>14040</v>
      </c>
      <c r="X284" s="202">
        <v>369905.83</v>
      </c>
      <c r="Y284" s="198">
        <v>14046</v>
      </c>
      <c r="Z284" s="202">
        <v>101724.1</v>
      </c>
      <c r="AA284" s="202">
        <v>0</v>
      </c>
      <c r="AB284" s="202">
        <v>268181.73</v>
      </c>
      <c r="AC284" s="202">
        <v>12330.2</v>
      </c>
      <c r="AD284" s="198">
        <v>51260</v>
      </c>
      <c r="AE284" s="202">
        <v>3082.55</v>
      </c>
      <c r="AF284" s="202">
        <v>0</v>
      </c>
      <c r="AG284" s="202">
        <v>3082.55</v>
      </c>
      <c r="AH284" s="198" t="s">
        <v>989</v>
      </c>
      <c r="AI284" s="198"/>
      <c r="AJ284" s="198">
        <v>3718</v>
      </c>
      <c r="AK284" s="198">
        <v>3718</v>
      </c>
      <c r="AL284" s="198" t="s">
        <v>1857</v>
      </c>
      <c r="AM284" s="198" t="s">
        <v>1857</v>
      </c>
      <c r="AN284" s="196">
        <f t="shared" si="70"/>
        <v>7</v>
      </c>
      <c r="AO284" s="196">
        <f t="shared" si="71"/>
        <v>2021</v>
      </c>
      <c r="AP284" s="195">
        <f t="shared" si="72"/>
        <v>2031</v>
      </c>
      <c r="AQ284" s="194">
        <f t="shared" si="73"/>
        <v>2031.5833333333333</v>
      </c>
      <c r="AR284" s="193">
        <f t="shared" si="74"/>
        <v>3082.5485833333332</v>
      </c>
      <c r="AS284" s="192">
        <f t="shared" si="75"/>
        <v>36990.582999999999</v>
      </c>
      <c r="AT284" s="192">
        <f t="shared" si="76"/>
        <v>36990.582999999999</v>
      </c>
      <c r="AU284" s="192">
        <f t="shared" si="77"/>
        <v>67816.06883333897</v>
      </c>
      <c r="AV284" s="192">
        <f t="shared" si="78"/>
        <v>104806.65183333897</v>
      </c>
      <c r="AW284" s="191">
        <f t="shared" si="79"/>
        <v>265099.17816666106</v>
      </c>
      <c r="AX284" s="190" t="s">
        <v>72</v>
      </c>
      <c r="AY284" s="184"/>
    </row>
    <row r="285" spans="2:51">
      <c r="B285" s="198">
        <v>2183</v>
      </c>
      <c r="C285" s="199">
        <v>255160</v>
      </c>
      <c r="D285" s="198" t="s">
        <v>989</v>
      </c>
      <c r="E285" s="198" t="s">
        <v>2003</v>
      </c>
      <c r="F285" s="198" t="s">
        <v>1014</v>
      </c>
      <c r="G285" s="198"/>
      <c r="H285" s="198"/>
      <c r="I285" s="200">
        <v>702</v>
      </c>
      <c r="J285" s="198"/>
      <c r="K285" s="200">
        <v>0</v>
      </c>
      <c r="L285" s="198" t="s">
        <v>1001</v>
      </c>
      <c r="M285" s="198"/>
      <c r="N285" s="198" t="s">
        <v>2190</v>
      </c>
      <c r="O285" s="198" t="s">
        <v>2184</v>
      </c>
      <c r="P285" s="198"/>
      <c r="Q285" s="198"/>
      <c r="R285" s="198"/>
      <c r="S285" s="201">
        <v>44386</v>
      </c>
      <c r="T285" s="201">
        <v>44386</v>
      </c>
      <c r="U285" s="198" t="s">
        <v>1003</v>
      </c>
      <c r="V285" s="198">
        <v>700</v>
      </c>
      <c r="W285" s="198">
        <v>14050</v>
      </c>
      <c r="X285" s="202">
        <v>40388.49</v>
      </c>
      <c r="Y285" s="198">
        <v>14056</v>
      </c>
      <c r="Z285" s="202">
        <v>16347.75</v>
      </c>
      <c r="AA285" s="202">
        <v>0</v>
      </c>
      <c r="AB285" s="202">
        <v>24040.739999999998</v>
      </c>
      <c r="AC285" s="202">
        <v>1923.28</v>
      </c>
      <c r="AD285" s="198">
        <v>54260</v>
      </c>
      <c r="AE285" s="202">
        <v>480.82</v>
      </c>
      <c r="AF285" s="202">
        <v>0</v>
      </c>
      <c r="AG285" s="202">
        <v>480.82</v>
      </c>
      <c r="AH285" s="198" t="s">
        <v>989</v>
      </c>
      <c r="AI285" s="198"/>
      <c r="AJ285" s="198"/>
      <c r="AK285" s="198" t="s">
        <v>316</v>
      </c>
      <c r="AL285" s="198" t="s">
        <v>2301</v>
      </c>
      <c r="AM285" s="198" t="s">
        <v>933</v>
      </c>
      <c r="AN285" s="196">
        <f t="shared" si="70"/>
        <v>7</v>
      </c>
      <c r="AO285" s="196">
        <f t="shared" si="71"/>
        <v>2021</v>
      </c>
      <c r="AP285" s="195">
        <f t="shared" si="72"/>
        <v>2028</v>
      </c>
      <c r="AQ285" s="194">
        <f t="shared" si="73"/>
        <v>2028.5833333333333</v>
      </c>
      <c r="AR285" s="193">
        <f t="shared" si="74"/>
        <v>480.81535714285707</v>
      </c>
      <c r="AS285" s="192">
        <f t="shared" si="75"/>
        <v>5769.784285714285</v>
      </c>
      <c r="AT285" s="192">
        <f t="shared" si="76"/>
        <v>5769.784285714285</v>
      </c>
      <c r="AU285" s="192">
        <f t="shared" si="77"/>
        <v>10577.937857143734</v>
      </c>
      <c r="AV285" s="192">
        <f t="shared" si="78"/>
        <v>16347.72214285802</v>
      </c>
      <c r="AW285" s="191">
        <f t="shared" si="79"/>
        <v>24040.767857141978</v>
      </c>
      <c r="AX285" s="190" t="s">
        <v>72</v>
      </c>
      <c r="AY285" s="184"/>
    </row>
    <row r="286" spans="2:51">
      <c r="B286" s="198">
        <v>2183</v>
      </c>
      <c r="C286" s="199">
        <v>254292</v>
      </c>
      <c r="D286" s="198" t="s">
        <v>989</v>
      </c>
      <c r="E286" s="198" t="s">
        <v>2003</v>
      </c>
      <c r="F286" s="198" t="s">
        <v>1058</v>
      </c>
      <c r="G286" s="198"/>
      <c r="H286" s="198"/>
      <c r="I286" s="200">
        <v>25</v>
      </c>
      <c r="J286" s="198"/>
      <c r="K286" s="200">
        <v>0</v>
      </c>
      <c r="L286" s="198" t="s">
        <v>1059</v>
      </c>
      <c r="M286" s="198"/>
      <c r="N286" s="198" t="s">
        <v>2190</v>
      </c>
      <c r="O286" s="198" t="s">
        <v>2184</v>
      </c>
      <c r="P286" s="198"/>
      <c r="Q286" s="198" t="s">
        <v>2208</v>
      </c>
      <c r="R286" s="198" t="s">
        <v>2195</v>
      </c>
      <c r="S286" s="201">
        <v>44357</v>
      </c>
      <c r="T286" s="201">
        <v>44357</v>
      </c>
      <c r="U286" s="198" t="s">
        <v>1061</v>
      </c>
      <c r="V286" s="198">
        <v>1200</v>
      </c>
      <c r="W286" s="198">
        <v>14050</v>
      </c>
      <c r="X286" s="202">
        <v>17777.5</v>
      </c>
      <c r="Y286" s="198">
        <v>14056</v>
      </c>
      <c r="Z286" s="202">
        <v>4320.8999999999996</v>
      </c>
      <c r="AA286" s="202">
        <v>0</v>
      </c>
      <c r="AB286" s="202">
        <v>13456.6</v>
      </c>
      <c r="AC286" s="202">
        <v>493.8</v>
      </c>
      <c r="AD286" s="198">
        <v>54260</v>
      </c>
      <c r="AE286" s="202">
        <v>123.45</v>
      </c>
      <c r="AF286" s="202">
        <v>0</v>
      </c>
      <c r="AG286" s="202">
        <v>123.45</v>
      </c>
      <c r="AH286" s="198" t="s">
        <v>989</v>
      </c>
      <c r="AI286" s="198"/>
      <c r="AJ286" s="198"/>
      <c r="AK286" s="198" t="s">
        <v>316</v>
      </c>
      <c r="AL286" s="198" t="s">
        <v>930</v>
      </c>
      <c r="AM286" s="198" t="s">
        <v>930</v>
      </c>
      <c r="AN286" s="196">
        <f t="shared" si="70"/>
        <v>6</v>
      </c>
      <c r="AO286" s="196">
        <f t="shared" si="71"/>
        <v>2021</v>
      </c>
      <c r="AP286" s="195">
        <f t="shared" si="72"/>
        <v>2033</v>
      </c>
      <c r="AQ286" s="194">
        <f t="shared" si="73"/>
        <v>2033.5</v>
      </c>
      <c r="AR286" s="193">
        <f t="shared" si="74"/>
        <v>123.4548611111111</v>
      </c>
      <c r="AS286" s="192">
        <f t="shared" si="75"/>
        <v>1481.4583333333333</v>
      </c>
      <c r="AT286" s="192">
        <f t="shared" si="76"/>
        <v>1481.4583333333333</v>
      </c>
      <c r="AU286" s="192">
        <f t="shared" si="77"/>
        <v>2839.4618055556693</v>
      </c>
      <c r="AV286" s="192">
        <f t="shared" si="78"/>
        <v>4320.9201388890024</v>
      </c>
      <c r="AW286" s="191">
        <f t="shared" si="79"/>
        <v>13456.579861110997</v>
      </c>
      <c r="AX286" s="190" t="s">
        <v>72</v>
      </c>
      <c r="AY286" s="184"/>
    </row>
    <row r="287" spans="2:51">
      <c r="B287" s="198">
        <v>2183</v>
      </c>
      <c r="C287" s="199">
        <v>254291</v>
      </c>
      <c r="D287" s="198" t="s">
        <v>989</v>
      </c>
      <c r="E287" s="198" t="s">
        <v>2003</v>
      </c>
      <c r="F287" s="198" t="s">
        <v>1062</v>
      </c>
      <c r="G287" s="198"/>
      <c r="H287" s="198"/>
      <c r="I287" s="200">
        <v>1</v>
      </c>
      <c r="J287" s="198"/>
      <c r="K287" s="200">
        <v>0</v>
      </c>
      <c r="L287" s="198" t="s">
        <v>1059</v>
      </c>
      <c r="M287" s="198"/>
      <c r="N287" s="198" t="s">
        <v>2190</v>
      </c>
      <c r="O287" s="198" t="s">
        <v>2184</v>
      </c>
      <c r="P287" s="198"/>
      <c r="Q287" s="198" t="s">
        <v>2209</v>
      </c>
      <c r="R287" s="198" t="s">
        <v>2195</v>
      </c>
      <c r="S287" s="201">
        <v>44357</v>
      </c>
      <c r="T287" s="201">
        <v>44357</v>
      </c>
      <c r="U287" s="198" t="s">
        <v>1061</v>
      </c>
      <c r="V287" s="198">
        <v>1200</v>
      </c>
      <c r="W287" s="198">
        <v>14050</v>
      </c>
      <c r="X287" s="202">
        <v>667.34</v>
      </c>
      <c r="Y287" s="198">
        <v>14056</v>
      </c>
      <c r="Z287" s="202">
        <v>162.18</v>
      </c>
      <c r="AA287" s="202">
        <v>0</v>
      </c>
      <c r="AB287" s="202">
        <v>505.16</v>
      </c>
      <c r="AC287" s="202">
        <v>18.52</v>
      </c>
      <c r="AD287" s="198">
        <v>54260</v>
      </c>
      <c r="AE287" s="202">
        <v>4.63</v>
      </c>
      <c r="AF287" s="202">
        <v>0</v>
      </c>
      <c r="AG287" s="202">
        <v>4.63</v>
      </c>
      <c r="AH287" s="198" t="s">
        <v>989</v>
      </c>
      <c r="AI287" s="198"/>
      <c r="AJ287" s="198"/>
      <c r="AK287" s="198" t="s">
        <v>316</v>
      </c>
      <c r="AL287" s="198" t="s">
        <v>930</v>
      </c>
      <c r="AM287" s="198" t="s">
        <v>930</v>
      </c>
      <c r="AN287" s="196">
        <f t="shared" si="70"/>
        <v>6</v>
      </c>
      <c r="AO287" s="196">
        <f t="shared" si="71"/>
        <v>2021</v>
      </c>
      <c r="AP287" s="195">
        <f t="shared" si="72"/>
        <v>2033</v>
      </c>
      <c r="AQ287" s="194">
        <f t="shared" si="73"/>
        <v>2033.5</v>
      </c>
      <c r="AR287" s="193">
        <f t="shared" si="74"/>
        <v>4.6343055555555557</v>
      </c>
      <c r="AS287" s="192">
        <f t="shared" si="75"/>
        <v>55.611666666666665</v>
      </c>
      <c r="AT287" s="192">
        <f t="shared" si="76"/>
        <v>55.611666666666665</v>
      </c>
      <c r="AU287" s="192">
        <f t="shared" si="77"/>
        <v>106.58902777778201</v>
      </c>
      <c r="AV287" s="192">
        <f t="shared" si="78"/>
        <v>162.20069444444869</v>
      </c>
      <c r="AW287" s="191">
        <f t="shared" si="79"/>
        <v>505.13930555555135</v>
      </c>
      <c r="AX287" s="190" t="s">
        <v>72</v>
      </c>
      <c r="AY287" s="184"/>
    </row>
    <row r="288" spans="2:51">
      <c r="B288" s="198">
        <v>2183</v>
      </c>
      <c r="C288" s="199">
        <v>254290</v>
      </c>
      <c r="D288" s="198" t="s">
        <v>989</v>
      </c>
      <c r="E288" s="198" t="s">
        <v>2003</v>
      </c>
      <c r="F288" s="198" t="s">
        <v>1062</v>
      </c>
      <c r="G288" s="198"/>
      <c r="H288" s="198"/>
      <c r="I288" s="200">
        <v>24</v>
      </c>
      <c r="J288" s="198"/>
      <c r="K288" s="200">
        <v>0</v>
      </c>
      <c r="L288" s="198" t="s">
        <v>1059</v>
      </c>
      <c r="M288" s="198"/>
      <c r="N288" s="198" t="s">
        <v>2190</v>
      </c>
      <c r="O288" s="198" t="s">
        <v>2184</v>
      </c>
      <c r="P288" s="198"/>
      <c r="Q288" s="198" t="s">
        <v>2209</v>
      </c>
      <c r="R288" s="198" t="s">
        <v>2195</v>
      </c>
      <c r="S288" s="201">
        <v>44354</v>
      </c>
      <c r="T288" s="201">
        <v>44354</v>
      </c>
      <c r="U288" s="198" t="s">
        <v>1061</v>
      </c>
      <c r="V288" s="198">
        <v>1200</v>
      </c>
      <c r="W288" s="198">
        <v>14050</v>
      </c>
      <c r="X288" s="202">
        <v>16016.16</v>
      </c>
      <c r="Y288" s="198">
        <v>14056</v>
      </c>
      <c r="Z288" s="202">
        <v>3892.8</v>
      </c>
      <c r="AA288" s="202">
        <v>0</v>
      </c>
      <c r="AB288" s="202">
        <v>12123.36</v>
      </c>
      <c r="AC288" s="202">
        <v>444.88</v>
      </c>
      <c r="AD288" s="198">
        <v>54260</v>
      </c>
      <c r="AE288" s="202">
        <v>111.22</v>
      </c>
      <c r="AF288" s="202">
        <v>0</v>
      </c>
      <c r="AG288" s="202">
        <v>111.22</v>
      </c>
      <c r="AH288" s="198" t="s">
        <v>989</v>
      </c>
      <c r="AI288" s="198"/>
      <c r="AJ288" s="198"/>
      <c r="AK288" s="198" t="s">
        <v>316</v>
      </c>
      <c r="AL288" s="198" t="s">
        <v>930</v>
      </c>
      <c r="AM288" s="198" t="s">
        <v>930</v>
      </c>
      <c r="AN288" s="196">
        <f t="shared" si="70"/>
        <v>6</v>
      </c>
      <c r="AO288" s="196">
        <f t="shared" si="71"/>
        <v>2021</v>
      </c>
      <c r="AP288" s="195">
        <f t="shared" si="72"/>
        <v>2033</v>
      </c>
      <c r="AQ288" s="194">
        <f t="shared" si="73"/>
        <v>2033.5</v>
      </c>
      <c r="AR288" s="193">
        <f t="shared" si="74"/>
        <v>111.22333333333334</v>
      </c>
      <c r="AS288" s="192">
        <f t="shared" si="75"/>
        <v>1334.68</v>
      </c>
      <c r="AT288" s="192">
        <f t="shared" si="76"/>
        <v>1334.68</v>
      </c>
      <c r="AU288" s="192">
        <f t="shared" si="77"/>
        <v>2558.1366666667673</v>
      </c>
      <c r="AV288" s="192">
        <f t="shared" si="78"/>
        <v>3892.8166666667676</v>
      </c>
      <c r="AW288" s="191">
        <f t="shared" si="79"/>
        <v>12123.343333333232</v>
      </c>
      <c r="AX288" s="190" t="s">
        <v>72</v>
      </c>
      <c r="AY288" s="184"/>
    </row>
    <row r="289" spans="2:51">
      <c r="B289" s="198">
        <v>2183</v>
      </c>
      <c r="C289" s="199">
        <v>254289</v>
      </c>
      <c r="D289" s="198" t="s">
        <v>989</v>
      </c>
      <c r="E289" s="198" t="s">
        <v>2003</v>
      </c>
      <c r="F289" s="198" t="s">
        <v>1064</v>
      </c>
      <c r="G289" s="198"/>
      <c r="H289" s="198"/>
      <c r="I289" s="200">
        <v>20</v>
      </c>
      <c r="J289" s="198"/>
      <c r="K289" s="200">
        <v>0</v>
      </c>
      <c r="L289" s="198" t="s">
        <v>1059</v>
      </c>
      <c r="M289" s="198"/>
      <c r="N289" s="198" t="s">
        <v>2190</v>
      </c>
      <c r="O289" s="198" t="s">
        <v>2184</v>
      </c>
      <c r="P289" s="198"/>
      <c r="Q289" s="198" t="s">
        <v>2200</v>
      </c>
      <c r="R289" s="198" t="s">
        <v>2195</v>
      </c>
      <c r="S289" s="201">
        <v>44357</v>
      </c>
      <c r="T289" s="201">
        <v>44357</v>
      </c>
      <c r="U289" s="198" t="s">
        <v>1061</v>
      </c>
      <c r="V289" s="198">
        <v>1200</v>
      </c>
      <c r="W289" s="198">
        <v>14050</v>
      </c>
      <c r="X289" s="202">
        <v>13675</v>
      </c>
      <c r="Y289" s="198">
        <v>14056</v>
      </c>
      <c r="Z289" s="202">
        <v>3323.8</v>
      </c>
      <c r="AA289" s="202">
        <v>0</v>
      </c>
      <c r="AB289" s="202">
        <v>10351.200000000001</v>
      </c>
      <c r="AC289" s="202">
        <v>379.88</v>
      </c>
      <c r="AD289" s="198">
        <v>54260</v>
      </c>
      <c r="AE289" s="202">
        <v>94.97</v>
      </c>
      <c r="AF289" s="202">
        <v>0</v>
      </c>
      <c r="AG289" s="202">
        <v>94.97</v>
      </c>
      <c r="AH289" s="198" t="s">
        <v>989</v>
      </c>
      <c r="AI289" s="198"/>
      <c r="AJ289" s="198"/>
      <c r="AK289" s="198" t="s">
        <v>316</v>
      </c>
      <c r="AL289" s="198" t="s">
        <v>930</v>
      </c>
      <c r="AM289" s="198" t="s">
        <v>930</v>
      </c>
      <c r="AN289" s="196">
        <f t="shared" si="70"/>
        <v>6</v>
      </c>
      <c r="AO289" s="196">
        <f t="shared" si="71"/>
        <v>2021</v>
      </c>
      <c r="AP289" s="195">
        <f t="shared" si="72"/>
        <v>2033</v>
      </c>
      <c r="AQ289" s="194">
        <f t="shared" si="73"/>
        <v>2033.5</v>
      </c>
      <c r="AR289" s="193">
        <f t="shared" si="74"/>
        <v>94.965277777777771</v>
      </c>
      <c r="AS289" s="192">
        <f t="shared" si="75"/>
        <v>1139.5833333333333</v>
      </c>
      <c r="AT289" s="192">
        <f t="shared" si="76"/>
        <v>1139.5833333333333</v>
      </c>
      <c r="AU289" s="192">
        <f t="shared" si="77"/>
        <v>2184.201388888976</v>
      </c>
      <c r="AV289" s="192">
        <f t="shared" si="78"/>
        <v>3323.784722222309</v>
      </c>
      <c r="AW289" s="191">
        <f t="shared" si="79"/>
        <v>10351.21527777769</v>
      </c>
      <c r="AX289" s="190" t="s">
        <v>72</v>
      </c>
      <c r="AY289" s="184"/>
    </row>
    <row r="290" spans="2:51" hidden="1">
      <c r="B290" s="198">
        <v>2183</v>
      </c>
      <c r="C290" s="199">
        <v>253972</v>
      </c>
      <c r="D290" s="198">
        <v>249940</v>
      </c>
      <c r="E290" s="198" t="s">
        <v>2003</v>
      </c>
      <c r="F290" s="198" t="s">
        <v>1066</v>
      </c>
      <c r="G290" s="198"/>
      <c r="H290" s="198"/>
      <c r="I290" s="200">
        <v>1</v>
      </c>
      <c r="J290" s="198"/>
      <c r="K290" s="200">
        <v>2021</v>
      </c>
      <c r="L290" s="198"/>
      <c r="M290" s="198"/>
      <c r="N290" s="198" t="s">
        <v>2183</v>
      </c>
      <c r="O290" s="198" t="s">
        <v>2184</v>
      </c>
      <c r="P290" s="198" t="s">
        <v>1028</v>
      </c>
      <c r="Q290" s="198"/>
      <c r="R290" s="198"/>
      <c r="S290" s="201">
        <v>44288</v>
      </c>
      <c r="T290" s="201">
        <v>44288</v>
      </c>
      <c r="U290" s="198" t="s">
        <v>1067</v>
      </c>
      <c r="V290" s="198">
        <v>1000</v>
      </c>
      <c r="W290" s="198">
        <v>14040</v>
      </c>
      <c r="X290" s="202">
        <v>1595.85</v>
      </c>
      <c r="Y290" s="198">
        <v>14046</v>
      </c>
      <c r="Z290" s="202">
        <v>492.07</v>
      </c>
      <c r="AA290" s="202">
        <v>0</v>
      </c>
      <c r="AB290" s="202">
        <v>1103.78</v>
      </c>
      <c r="AC290" s="202">
        <v>53.2</v>
      </c>
      <c r="AD290" s="198">
        <v>51260</v>
      </c>
      <c r="AE290" s="202">
        <v>13.3</v>
      </c>
      <c r="AF290" s="202">
        <v>0</v>
      </c>
      <c r="AG290" s="202">
        <v>13.3</v>
      </c>
      <c r="AH290" s="198" t="s">
        <v>989</v>
      </c>
      <c r="AI290" s="198"/>
      <c r="AJ290" s="198"/>
      <c r="AK290" s="198">
        <v>3704</v>
      </c>
      <c r="AL290" s="198" t="s">
        <v>1857</v>
      </c>
      <c r="AM290" s="198" t="s">
        <v>1857</v>
      </c>
      <c r="AN290" s="196">
        <f t="shared" si="70"/>
        <v>4</v>
      </c>
      <c r="AO290" s="196">
        <f t="shared" si="71"/>
        <v>2021</v>
      </c>
      <c r="AP290" s="195">
        <f t="shared" si="72"/>
        <v>2031</v>
      </c>
      <c r="AQ290" s="194">
        <f t="shared" si="73"/>
        <v>2031.3333333333333</v>
      </c>
      <c r="AR290" s="193">
        <f t="shared" si="74"/>
        <v>13.298749999999998</v>
      </c>
      <c r="AS290" s="192">
        <f t="shared" si="75"/>
        <v>159.58499999999998</v>
      </c>
      <c r="AT290" s="192">
        <f t="shared" si="76"/>
        <v>159.58499999999998</v>
      </c>
      <c r="AU290" s="192">
        <f t="shared" si="77"/>
        <v>332.46875000002433</v>
      </c>
      <c r="AV290" s="192">
        <f t="shared" si="78"/>
        <v>492.05375000002431</v>
      </c>
      <c r="AW290" s="191">
        <f t="shared" si="79"/>
        <v>1103.7962499999755</v>
      </c>
      <c r="AX290" s="190" t="s">
        <v>72</v>
      </c>
      <c r="AY290" s="184"/>
    </row>
    <row r="291" spans="2:51">
      <c r="B291" s="198">
        <v>2183</v>
      </c>
      <c r="C291" s="199">
        <v>253467</v>
      </c>
      <c r="D291" s="198" t="s">
        <v>989</v>
      </c>
      <c r="E291" s="198" t="s">
        <v>2003</v>
      </c>
      <c r="F291" s="198" t="s">
        <v>1068</v>
      </c>
      <c r="G291" s="198"/>
      <c r="H291" s="198"/>
      <c r="I291" s="200">
        <v>258</v>
      </c>
      <c r="J291" s="198"/>
      <c r="K291" s="200">
        <v>0</v>
      </c>
      <c r="L291" s="198"/>
      <c r="M291" s="198"/>
      <c r="N291" s="198" t="s">
        <v>2190</v>
      </c>
      <c r="O291" s="198" t="s">
        <v>2184</v>
      </c>
      <c r="P291" s="198"/>
      <c r="Q291" s="198"/>
      <c r="R291" s="198"/>
      <c r="S291" s="201">
        <v>39755</v>
      </c>
      <c r="T291" s="201">
        <v>39755</v>
      </c>
      <c r="U291" s="198"/>
      <c r="V291" s="198">
        <v>700</v>
      </c>
      <c r="W291" s="198">
        <v>14050</v>
      </c>
      <c r="X291" s="202">
        <v>25800</v>
      </c>
      <c r="Y291" s="198">
        <v>14056</v>
      </c>
      <c r="Z291" s="202">
        <v>25800</v>
      </c>
      <c r="AA291" s="202">
        <v>0</v>
      </c>
      <c r="AB291" s="202">
        <v>0</v>
      </c>
      <c r="AC291" s="202">
        <v>0</v>
      </c>
      <c r="AD291" s="198">
        <v>54260</v>
      </c>
      <c r="AE291" s="202">
        <v>0</v>
      </c>
      <c r="AF291" s="202">
        <v>0</v>
      </c>
      <c r="AG291" s="202">
        <v>0</v>
      </c>
      <c r="AH291" s="198" t="s">
        <v>994</v>
      </c>
      <c r="AI291" s="198" t="s">
        <v>1050</v>
      </c>
      <c r="AJ291" s="198" t="s">
        <v>1296</v>
      </c>
      <c r="AK291" s="198" t="s">
        <v>316</v>
      </c>
      <c r="AL291" s="198" t="s">
        <v>931</v>
      </c>
      <c r="AM291" s="198" t="s">
        <v>931</v>
      </c>
      <c r="AN291" s="196">
        <f t="shared" si="70"/>
        <v>11</v>
      </c>
      <c r="AO291" s="196">
        <f t="shared" si="71"/>
        <v>2008</v>
      </c>
      <c r="AP291" s="195">
        <f t="shared" si="72"/>
        <v>2015</v>
      </c>
      <c r="AQ291" s="194">
        <f t="shared" si="73"/>
        <v>2015.9166666666667</v>
      </c>
      <c r="AR291" s="193">
        <f t="shared" si="74"/>
        <v>307.14285714285717</v>
      </c>
      <c r="AS291" s="192">
        <f t="shared" si="75"/>
        <v>3685.7142857142862</v>
      </c>
      <c r="AT291" s="192">
        <f t="shared" si="76"/>
        <v>0</v>
      </c>
      <c r="AU291" s="192">
        <f t="shared" si="77"/>
        <v>25800</v>
      </c>
      <c r="AV291" s="192">
        <f t="shared" si="78"/>
        <v>25800</v>
      </c>
      <c r="AW291" s="191">
        <f t="shared" si="79"/>
        <v>0</v>
      </c>
      <c r="AX291" s="190" t="s">
        <v>72</v>
      </c>
      <c r="AY291" s="184"/>
    </row>
    <row r="292" spans="2:51">
      <c r="B292" s="198">
        <v>2183</v>
      </c>
      <c r="C292" s="199">
        <v>253466</v>
      </c>
      <c r="D292" s="198" t="s">
        <v>989</v>
      </c>
      <c r="E292" s="198" t="s">
        <v>2003</v>
      </c>
      <c r="F292" s="198" t="s">
        <v>1069</v>
      </c>
      <c r="G292" s="198"/>
      <c r="H292" s="198"/>
      <c r="I292" s="200">
        <v>97</v>
      </c>
      <c r="J292" s="198"/>
      <c r="K292" s="200">
        <v>0</v>
      </c>
      <c r="L292" s="198"/>
      <c r="M292" s="198"/>
      <c r="N292" s="198" t="s">
        <v>2190</v>
      </c>
      <c r="O292" s="198" t="s">
        <v>2184</v>
      </c>
      <c r="P292" s="198"/>
      <c r="Q292" s="198"/>
      <c r="R292" s="198"/>
      <c r="S292" s="201">
        <v>39755</v>
      </c>
      <c r="T292" s="201">
        <v>39755</v>
      </c>
      <c r="U292" s="198"/>
      <c r="V292" s="198">
        <v>700</v>
      </c>
      <c r="W292" s="198">
        <v>14050</v>
      </c>
      <c r="X292" s="202">
        <v>9700</v>
      </c>
      <c r="Y292" s="198">
        <v>14056</v>
      </c>
      <c r="Z292" s="202">
        <v>9700</v>
      </c>
      <c r="AA292" s="202">
        <v>0</v>
      </c>
      <c r="AB292" s="202">
        <v>0</v>
      </c>
      <c r="AC292" s="202">
        <v>0</v>
      </c>
      <c r="AD292" s="198">
        <v>54260</v>
      </c>
      <c r="AE292" s="202">
        <v>0</v>
      </c>
      <c r="AF292" s="202">
        <v>0</v>
      </c>
      <c r="AG292" s="202">
        <v>0</v>
      </c>
      <c r="AH292" s="198" t="s">
        <v>994</v>
      </c>
      <c r="AI292" s="198" t="s">
        <v>1050</v>
      </c>
      <c r="AJ292" s="198" t="s">
        <v>1296</v>
      </c>
      <c r="AK292" s="198" t="s">
        <v>316</v>
      </c>
      <c r="AL292" s="198" t="s">
        <v>931</v>
      </c>
      <c r="AM292" s="198" t="s">
        <v>931</v>
      </c>
      <c r="AN292" s="196">
        <f t="shared" si="70"/>
        <v>11</v>
      </c>
      <c r="AO292" s="196">
        <f t="shared" si="71"/>
        <v>2008</v>
      </c>
      <c r="AP292" s="195">
        <f t="shared" si="72"/>
        <v>2015</v>
      </c>
      <c r="AQ292" s="194">
        <f t="shared" si="73"/>
        <v>2015.9166666666667</v>
      </c>
      <c r="AR292" s="193">
        <f t="shared" si="74"/>
        <v>115.47619047619048</v>
      </c>
      <c r="AS292" s="192">
        <f t="shared" si="75"/>
        <v>1385.7142857142858</v>
      </c>
      <c r="AT292" s="192">
        <f t="shared" si="76"/>
        <v>0</v>
      </c>
      <c r="AU292" s="192">
        <f t="shared" si="77"/>
        <v>9700</v>
      </c>
      <c r="AV292" s="192">
        <f t="shared" si="78"/>
        <v>9700</v>
      </c>
      <c r="AW292" s="191">
        <f t="shared" si="79"/>
        <v>0</v>
      </c>
      <c r="AX292" s="190" t="s">
        <v>72</v>
      </c>
      <c r="AY292" s="184"/>
    </row>
    <row r="293" spans="2:51">
      <c r="B293" s="198">
        <v>2183</v>
      </c>
      <c r="C293" s="199">
        <v>253465</v>
      </c>
      <c r="D293" s="198" t="s">
        <v>989</v>
      </c>
      <c r="E293" s="198" t="s">
        <v>2003</v>
      </c>
      <c r="F293" s="198" t="s">
        <v>1070</v>
      </c>
      <c r="G293" s="198"/>
      <c r="H293" s="198"/>
      <c r="I293" s="200">
        <v>164</v>
      </c>
      <c r="J293" s="198"/>
      <c r="K293" s="200">
        <v>0</v>
      </c>
      <c r="L293" s="198"/>
      <c r="M293" s="198"/>
      <c r="N293" s="198" t="s">
        <v>2190</v>
      </c>
      <c r="O293" s="198" t="s">
        <v>2184</v>
      </c>
      <c r="P293" s="198"/>
      <c r="Q293" s="198"/>
      <c r="R293" s="198"/>
      <c r="S293" s="201">
        <v>39755</v>
      </c>
      <c r="T293" s="201">
        <v>39755</v>
      </c>
      <c r="U293" s="198"/>
      <c r="V293" s="198">
        <v>700</v>
      </c>
      <c r="W293" s="198">
        <v>14050</v>
      </c>
      <c r="X293" s="202">
        <v>16400</v>
      </c>
      <c r="Y293" s="198">
        <v>14056</v>
      </c>
      <c r="Z293" s="202">
        <v>16400</v>
      </c>
      <c r="AA293" s="202">
        <v>0</v>
      </c>
      <c r="AB293" s="202">
        <v>0</v>
      </c>
      <c r="AC293" s="202">
        <v>0</v>
      </c>
      <c r="AD293" s="198">
        <v>54260</v>
      </c>
      <c r="AE293" s="202">
        <v>0</v>
      </c>
      <c r="AF293" s="202">
        <v>0</v>
      </c>
      <c r="AG293" s="202">
        <v>0</v>
      </c>
      <c r="AH293" s="198" t="s">
        <v>994</v>
      </c>
      <c r="AI293" s="198" t="s">
        <v>1050</v>
      </c>
      <c r="AJ293" s="198" t="s">
        <v>1296</v>
      </c>
      <c r="AK293" s="198" t="s">
        <v>316</v>
      </c>
      <c r="AL293" s="198" t="s">
        <v>931</v>
      </c>
      <c r="AM293" s="198" t="s">
        <v>931</v>
      </c>
      <c r="AN293" s="196">
        <f t="shared" si="70"/>
        <v>11</v>
      </c>
      <c r="AO293" s="196">
        <f t="shared" si="71"/>
        <v>2008</v>
      </c>
      <c r="AP293" s="195">
        <f t="shared" si="72"/>
        <v>2015</v>
      </c>
      <c r="AQ293" s="194">
        <f t="shared" si="73"/>
        <v>2015.9166666666667</v>
      </c>
      <c r="AR293" s="193">
        <f t="shared" si="74"/>
        <v>195.23809523809521</v>
      </c>
      <c r="AS293" s="192">
        <f t="shared" si="75"/>
        <v>2342.8571428571427</v>
      </c>
      <c r="AT293" s="192">
        <f t="shared" si="76"/>
        <v>0</v>
      </c>
      <c r="AU293" s="192">
        <f t="shared" si="77"/>
        <v>16400</v>
      </c>
      <c r="AV293" s="192">
        <f t="shared" si="78"/>
        <v>16400</v>
      </c>
      <c r="AW293" s="191">
        <f t="shared" si="79"/>
        <v>0</v>
      </c>
      <c r="AX293" s="190" t="s">
        <v>72</v>
      </c>
      <c r="AY293" s="184"/>
    </row>
    <row r="294" spans="2:51">
      <c r="B294" s="198">
        <v>2183</v>
      </c>
      <c r="C294" s="199">
        <v>253464</v>
      </c>
      <c r="D294" s="198" t="s">
        <v>989</v>
      </c>
      <c r="E294" s="198" t="s">
        <v>2003</v>
      </c>
      <c r="F294" s="198" t="s">
        <v>1071</v>
      </c>
      <c r="G294" s="198"/>
      <c r="H294" s="198"/>
      <c r="I294" s="200">
        <v>5</v>
      </c>
      <c r="J294" s="198"/>
      <c r="K294" s="200">
        <v>0</v>
      </c>
      <c r="L294" s="198"/>
      <c r="M294" s="198"/>
      <c r="N294" s="198" t="s">
        <v>2190</v>
      </c>
      <c r="O294" s="198" t="s">
        <v>2184</v>
      </c>
      <c r="P294" s="198"/>
      <c r="Q294" s="198"/>
      <c r="R294" s="198"/>
      <c r="S294" s="201">
        <v>39755</v>
      </c>
      <c r="T294" s="201">
        <v>39755</v>
      </c>
      <c r="U294" s="198"/>
      <c r="V294" s="198">
        <v>700</v>
      </c>
      <c r="W294" s="198">
        <v>14050</v>
      </c>
      <c r="X294" s="202">
        <v>500</v>
      </c>
      <c r="Y294" s="198">
        <v>14056</v>
      </c>
      <c r="Z294" s="202">
        <v>500</v>
      </c>
      <c r="AA294" s="202">
        <v>0</v>
      </c>
      <c r="AB294" s="202">
        <v>0</v>
      </c>
      <c r="AC294" s="202">
        <v>0</v>
      </c>
      <c r="AD294" s="198">
        <v>54260</v>
      </c>
      <c r="AE294" s="202">
        <v>0</v>
      </c>
      <c r="AF294" s="202">
        <v>0</v>
      </c>
      <c r="AG294" s="202">
        <v>0</v>
      </c>
      <c r="AH294" s="198" t="s">
        <v>994</v>
      </c>
      <c r="AI294" s="198" t="s">
        <v>1050</v>
      </c>
      <c r="AJ294" s="198" t="s">
        <v>1296</v>
      </c>
      <c r="AK294" s="198" t="s">
        <v>316</v>
      </c>
      <c r="AL294" s="198" t="s">
        <v>931</v>
      </c>
      <c r="AM294" s="198" t="s">
        <v>931</v>
      </c>
      <c r="AN294" s="196">
        <f t="shared" si="70"/>
        <v>11</v>
      </c>
      <c r="AO294" s="196">
        <f t="shared" si="71"/>
        <v>2008</v>
      </c>
      <c r="AP294" s="195">
        <f t="shared" si="72"/>
        <v>2015</v>
      </c>
      <c r="AQ294" s="194">
        <f t="shared" si="73"/>
        <v>2015.9166666666667</v>
      </c>
      <c r="AR294" s="193">
        <f t="shared" si="74"/>
        <v>5.9523809523809526</v>
      </c>
      <c r="AS294" s="192">
        <f t="shared" si="75"/>
        <v>71.428571428571431</v>
      </c>
      <c r="AT294" s="192">
        <f t="shared" si="76"/>
        <v>0</v>
      </c>
      <c r="AU294" s="192">
        <f t="shared" si="77"/>
        <v>500</v>
      </c>
      <c r="AV294" s="192">
        <f t="shared" si="78"/>
        <v>500</v>
      </c>
      <c r="AW294" s="191">
        <f t="shared" si="79"/>
        <v>0</v>
      </c>
      <c r="AX294" s="190" t="s">
        <v>72</v>
      </c>
      <c r="AY294" s="184"/>
    </row>
    <row r="295" spans="2:51">
      <c r="B295" s="198">
        <v>2183</v>
      </c>
      <c r="C295" s="199">
        <v>253463</v>
      </c>
      <c r="D295" s="198" t="s">
        <v>989</v>
      </c>
      <c r="E295" s="198" t="s">
        <v>2003</v>
      </c>
      <c r="F295" s="198" t="s">
        <v>1072</v>
      </c>
      <c r="G295" s="198"/>
      <c r="H295" s="198"/>
      <c r="I295" s="200">
        <v>680</v>
      </c>
      <c r="J295" s="198"/>
      <c r="K295" s="200">
        <v>0</v>
      </c>
      <c r="L295" s="198"/>
      <c r="M295" s="198"/>
      <c r="N295" s="198" t="s">
        <v>2190</v>
      </c>
      <c r="O295" s="198" t="s">
        <v>2184</v>
      </c>
      <c r="P295" s="198"/>
      <c r="Q295" s="198"/>
      <c r="R295" s="198"/>
      <c r="S295" s="201">
        <v>39755</v>
      </c>
      <c r="T295" s="201">
        <v>39755</v>
      </c>
      <c r="U295" s="198"/>
      <c r="V295" s="198">
        <v>700</v>
      </c>
      <c r="W295" s="198">
        <v>14050</v>
      </c>
      <c r="X295" s="202">
        <v>68000</v>
      </c>
      <c r="Y295" s="198">
        <v>14056</v>
      </c>
      <c r="Z295" s="202">
        <v>68000</v>
      </c>
      <c r="AA295" s="202">
        <v>0</v>
      </c>
      <c r="AB295" s="202">
        <v>0</v>
      </c>
      <c r="AC295" s="202">
        <v>0</v>
      </c>
      <c r="AD295" s="198">
        <v>54260</v>
      </c>
      <c r="AE295" s="202">
        <v>0</v>
      </c>
      <c r="AF295" s="202">
        <v>0</v>
      </c>
      <c r="AG295" s="202">
        <v>0</v>
      </c>
      <c r="AH295" s="198" t="s">
        <v>994</v>
      </c>
      <c r="AI295" s="198" t="s">
        <v>1050</v>
      </c>
      <c r="AJ295" s="198" t="s">
        <v>1296</v>
      </c>
      <c r="AK295" s="198" t="s">
        <v>316</v>
      </c>
      <c r="AL295" s="198" t="s">
        <v>931</v>
      </c>
      <c r="AM295" s="198" t="s">
        <v>931</v>
      </c>
      <c r="AN295" s="196">
        <f t="shared" si="70"/>
        <v>11</v>
      </c>
      <c r="AO295" s="196">
        <f t="shared" si="71"/>
        <v>2008</v>
      </c>
      <c r="AP295" s="195">
        <f t="shared" si="72"/>
        <v>2015</v>
      </c>
      <c r="AQ295" s="194">
        <f t="shared" si="73"/>
        <v>2015.9166666666667</v>
      </c>
      <c r="AR295" s="193">
        <f t="shared" si="74"/>
        <v>809.52380952380952</v>
      </c>
      <c r="AS295" s="192">
        <f t="shared" si="75"/>
        <v>9714.2857142857138</v>
      </c>
      <c r="AT295" s="192">
        <f t="shared" si="76"/>
        <v>0</v>
      </c>
      <c r="AU295" s="192">
        <f t="shared" si="77"/>
        <v>68000</v>
      </c>
      <c r="AV295" s="192">
        <f t="shared" si="78"/>
        <v>68000</v>
      </c>
      <c r="AW295" s="191">
        <f t="shared" si="79"/>
        <v>0</v>
      </c>
      <c r="AX295" s="190" t="s">
        <v>72</v>
      </c>
      <c r="AY295" s="184"/>
    </row>
    <row r="296" spans="2:51">
      <c r="B296" s="198">
        <v>2183</v>
      </c>
      <c r="C296" s="199">
        <v>253461</v>
      </c>
      <c r="D296" s="198" t="s">
        <v>989</v>
      </c>
      <c r="E296" s="198" t="s">
        <v>2003</v>
      </c>
      <c r="F296" s="198" t="s">
        <v>1073</v>
      </c>
      <c r="G296" s="198"/>
      <c r="H296" s="198"/>
      <c r="I296" s="200">
        <v>121</v>
      </c>
      <c r="J296" s="198"/>
      <c r="K296" s="200">
        <v>0</v>
      </c>
      <c r="L296" s="198"/>
      <c r="M296" s="198"/>
      <c r="N296" s="198" t="s">
        <v>2190</v>
      </c>
      <c r="O296" s="198" t="s">
        <v>2184</v>
      </c>
      <c r="P296" s="198"/>
      <c r="Q296" s="198"/>
      <c r="R296" s="198"/>
      <c r="S296" s="201">
        <v>39755</v>
      </c>
      <c r="T296" s="201">
        <v>39755</v>
      </c>
      <c r="U296" s="198"/>
      <c r="V296" s="198">
        <v>700</v>
      </c>
      <c r="W296" s="198">
        <v>14050</v>
      </c>
      <c r="X296" s="202">
        <v>12100</v>
      </c>
      <c r="Y296" s="198">
        <v>14056</v>
      </c>
      <c r="Z296" s="202">
        <v>12100</v>
      </c>
      <c r="AA296" s="202">
        <v>0</v>
      </c>
      <c r="AB296" s="202">
        <v>0</v>
      </c>
      <c r="AC296" s="202">
        <v>0</v>
      </c>
      <c r="AD296" s="198">
        <v>54260</v>
      </c>
      <c r="AE296" s="202">
        <v>0</v>
      </c>
      <c r="AF296" s="202">
        <v>0</v>
      </c>
      <c r="AG296" s="202">
        <v>0</v>
      </c>
      <c r="AH296" s="198" t="s">
        <v>994</v>
      </c>
      <c r="AI296" s="198" t="s">
        <v>1050</v>
      </c>
      <c r="AJ296" s="198" t="s">
        <v>1296</v>
      </c>
      <c r="AK296" s="198" t="s">
        <v>316</v>
      </c>
      <c r="AL296" s="198" t="s">
        <v>931</v>
      </c>
      <c r="AM296" s="198" t="s">
        <v>931</v>
      </c>
      <c r="AN296" s="196">
        <f t="shared" si="70"/>
        <v>11</v>
      </c>
      <c r="AO296" s="196">
        <f t="shared" si="71"/>
        <v>2008</v>
      </c>
      <c r="AP296" s="195">
        <f t="shared" si="72"/>
        <v>2015</v>
      </c>
      <c r="AQ296" s="194">
        <f t="shared" si="73"/>
        <v>2015.9166666666667</v>
      </c>
      <c r="AR296" s="193">
        <f t="shared" si="74"/>
        <v>144.04761904761907</v>
      </c>
      <c r="AS296" s="192">
        <f t="shared" si="75"/>
        <v>1728.5714285714289</v>
      </c>
      <c r="AT296" s="192">
        <f t="shared" si="76"/>
        <v>0</v>
      </c>
      <c r="AU296" s="192">
        <f t="shared" si="77"/>
        <v>12100</v>
      </c>
      <c r="AV296" s="192">
        <f t="shared" si="78"/>
        <v>12100</v>
      </c>
      <c r="AW296" s="191">
        <f t="shared" si="79"/>
        <v>0</v>
      </c>
      <c r="AX296" s="190" t="s">
        <v>72</v>
      </c>
      <c r="AY296" s="184"/>
    </row>
    <row r="297" spans="2:51">
      <c r="B297" s="198">
        <v>2183</v>
      </c>
      <c r="C297" s="199">
        <v>253460</v>
      </c>
      <c r="D297" s="198" t="s">
        <v>989</v>
      </c>
      <c r="E297" s="198" t="s">
        <v>2003</v>
      </c>
      <c r="F297" s="198" t="s">
        <v>1074</v>
      </c>
      <c r="G297" s="198"/>
      <c r="H297" s="198"/>
      <c r="I297" s="200">
        <v>428</v>
      </c>
      <c r="J297" s="198"/>
      <c r="K297" s="200">
        <v>0</v>
      </c>
      <c r="L297" s="198"/>
      <c r="M297" s="198"/>
      <c r="N297" s="198" t="s">
        <v>2190</v>
      </c>
      <c r="O297" s="198" t="s">
        <v>2184</v>
      </c>
      <c r="P297" s="198"/>
      <c r="Q297" s="198"/>
      <c r="R297" s="198"/>
      <c r="S297" s="201">
        <v>39755</v>
      </c>
      <c r="T297" s="201">
        <v>39755</v>
      </c>
      <c r="U297" s="198"/>
      <c r="V297" s="198">
        <v>700</v>
      </c>
      <c r="W297" s="198">
        <v>14050</v>
      </c>
      <c r="X297" s="202">
        <v>42800</v>
      </c>
      <c r="Y297" s="198">
        <v>14056</v>
      </c>
      <c r="Z297" s="202">
        <v>42800</v>
      </c>
      <c r="AA297" s="202">
        <v>0</v>
      </c>
      <c r="AB297" s="202">
        <v>0</v>
      </c>
      <c r="AC297" s="202">
        <v>0</v>
      </c>
      <c r="AD297" s="198">
        <v>54260</v>
      </c>
      <c r="AE297" s="202">
        <v>0</v>
      </c>
      <c r="AF297" s="202">
        <v>0</v>
      </c>
      <c r="AG297" s="202">
        <v>0</v>
      </c>
      <c r="AH297" s="198" t="s">
        <v>994</v>
      </c>
      <c r="AI297" s="198" t="s">
        <v>1050</v>
      </c>
      <c r="AJ297" s="198" t="s">
        <v>1296</v>
      </c>
      <c r="AK297" s="198" t="s">
        <v>316</v>
      </c>
      <c r="AL297" s="198" t="s">
        <v>931</v>
      </c>
      <c r="AM297" s="198" t="s">
        <v>931</v>
      </c>
      <c r="AN297" s="196">
        <f t="shared" si="70"/>
        <v>11</v>
      </c>
      <c r="AO297" s="196">
        <f t="shared" si="71"/>
        <v>2008</v>
      </c>
      <c r="AP297" s="195">
        <f t="shared" si="72"/>
        <v>2015</v>
      </c>
      <c r="AQ297" s="194">
        <f t="shared" si="73"/>
        <v>2015.9166666666667</v>
      </c>
      <c r="AR297" s="193">
        <f t="shared" si="74"/>
        <v>509.52380952380958</v>
      </c>
      <c r="AS297" s="192">
        <f t="shared" si="75"/>
        <v>6114.2857142857147</v>
      </c>
      <c r="AT297" s="192">
        <f t="shared" si="76"/>
        <v>0</v>
      </c>
      <c r="AU297" s="192">
        <f t="shared" si="77"/>
        <v>42800</v>
      </c>
      <c r="AV297" s="192">
        <f t="shared" si="78"/>
        <v>42800</v>
      </c>
      <c r="AW297" s="191">
        <f t="shared" si="79"/>
        <v>0</v>
      </c>
      <c r="AX297" s="190" t="s">
        <v>72</v>
      </c>
      <c r="AY297" s="184"/>
    </row>
    <row r="298" spans="2:51">
      <c r="B298" s="198">
        <v>2183</v>
      </c>
      <c r="C298" s="199">
        <v>253161</v>
      </c>
      <c r="D298" s="198" t="s">
        <v>989</v>
      </c>
      <c r="E298" s="198" t="s">
        <v>2003</v>
      </c>
      <c r="F298" s="198" t="s">
        <v>880</v>
      </c>
      <c r="G298" s="198"/>
      <c r="H298" s="198"/>
      <c r="I298" s="200">
        <v>702</v>
      </c>
      <c r="J298" s="198"/>
      <c r="K298" s="200">
        <v>0</v>
      </c>
      <c r="L298" s="198" t="s">
        <v>1001</v>
      </c>
      <c r="M298" s="198"/>
      <c r="N298" s="198" t="s">
        <v>2190</v>
      </c>
      <c r="O298" s="198" t="s">
        <v>2184</v>
      </c>
      <c r="P298" s="198"/>
      <c r="Q298" s="198"/>
      <c r="R298" s="198"/>
      <c r="S298" s="201">
        <v>44354</v>
      </c>
      <c r="T298" s="201">
        <v>44354</v>
      </c>
      <c r="U298" s="198" t="s">
        <v>1075</v>
      </c>
      <c r="V298" s="198">
        <v>700</v>
      </c>
      <c r="W298" s="198">
        <v>14050</v>
      </c>
      <c r="X298" s="202">
        <v>42116.46</v>
      </c>
      <c r="Y298" s="198">
        <v>14056</v>
      </c>
      <c r="Z298" s="202">
        <v>17548.55</v>
      </c>
      <c r="AA298" s="202">
        <v>0</v>
      </c>
      <c r="AB298" s="202">
        <v>24567.91</v>
      </c>
      <c r="AC298" s="202">
        <v>2005.56</v>
      </c>
      <c r="AD298" s="198">
        <v>54260</v>
      </c>
      <c r="AE298" s="202">
        <v>501.39</v>
      </c>
      <c r="AF298" s="202">
        <v>0</v>
      </c>
      <c r="AG298" s="202">
        <v>501.39</v>
      </c>
      <c r="AH298" s="198" t="s">
        <v>989</v>
      </c>
      <c r="AI298" s="198"/>
      <c r="AJ298" s="198"/>
      <c r="AK298" s="198" t="s">
        <v>316</v>
      </c>
      <c r="AL298" s="198" t="s">
        <v>424</v>
      </c>
      <c r="AM298" s="198" t="s">
        <v>424</v>
      </c>
      <c r="AN298" s="196">
        <f t="shared" si="70"/>
        <v>6</v>
      </c>
      <c r="AO298" s="196">
        <f t="shared" si="71"/>
        <v>2021</v>
      </c>
      <c r="AP298" s="195">
        <f t="shared" si="72"/>
        <v>2028</v>
      </c>
      <c r="AQ298" s="194">
        <f t="shared" si="73"/>
        <v>2028.5</v>
      </c>
      <c r="AR298" s="193">
        <f t="shared" si="74"/>
        <v>501.38642857142855</v>
      </c>
      <c r="AS298" s="192">
        <f t="shared" si="75"/>
        <v>6016.6371428571429</v>
      </c>
      <c r="AT298" s="192">
        <f t="shared" si="76"/>
        <v>6016.6371428571429</v>
      </c>
      <c r="AU298" s="192">
        <f t="shared" si="77"/>
        <v>11531.887857143312</v>
      </c>
      <c r="AV298" s="192">
        <f t="shared" si="78"/>
        <v>17548.525000000456</v>
      </c>
      <c r="AW298" s="191">
        <f t="shared" si="79"/>
        <v>24567.934999999543</v>
      </c>
      <c r="AX298" s="190" t="s">
        <v>72</v>
      </c>
      <c r="AY298" s="184"/>
    </row>
    <row r="299" spans="2:51" hidden="1">
      <c r="B299" s="198">
        <v>2183</v>
      </c>
      <c r="C299" s="199">
        <v>253110</v>
      </c>
      <c r="D299" s="198">
        <v>251931</v>
      </c>
      <c r="E299" s="198" t="s">
        <v>2003</v>
      </c>
      <c r="F299" s="198" t="s">
        <v>1076</v>
      </c>
      <c r="G299" s="198"/>
      <c r="H299" s="198"/>
      <c r="I299" s="200">
        <v>1</v>
      </c>
      <c r="J299" s="198"/>
      <c r="K299" s="200">
        <v>2021</v>
      </c>
      <c r="L299" s="198"/>
      <c r="M299" s="198"/>
      <c r="N299" s="198" t="s">
        <v>2183</v>
      </c>
      <c r="O299" s="198" t="s">
        <v>2184</v>
      </c>
      <c r="P299" s="198" t="s">
        <v>1028</v>
      </c>
      <c r="Q299" s="198"/>
      <c r="R299" s="198"/>
      <c r="S299" s="201">
        <v>44317</v>
      </c>
      <c r="T299" s="201">
        <v>44317</v>
      </c>
      <c r="U299" s="198" t="s">
        <v>1041</v>
      </c>
      <c r="V299" s="198">
        <v>1000</v>
      </c>
      <c r="W299" s="198">
        <v>14040</v>
      </c>
      <c r="X299" s="202">
        <v>869.73</v>
      </c>
      <c r="Y299" s="198">
        <v>14046</v>
      </c>
      <c r="Z299" s="202">
        <v>260.92</v>
      </c>
      <c r="AA299" s="202">
        <v>0</v>
      </c>
      <c r="AB299" s="202">
        <v>608.80999999999995</v>
      </c>
      <c r="AC299" s="202">
        <v>29</v>
      </c>
      <c r="AD299" s="198">
        <v>51260</v>
      </c>
      <c r="AE299" s="202">
        <v>7.25</v>
      </c>
      <c r="AF299" s="202">
        <v>0</v>
      </c>
      <c r="AG299" s="202">
        <v>7.25</v>
      </c>
      <c r="AH299" s="198" t="s">
        <v>989</v>
      </c>
      <c r="AI299" s="198"/>
      <c r="AJ299" s="198"/>
      <c r="AK299" s="198">
        <v>3705</v>
      </c>
      <c r="AL299" s="198" t="s">
        <v>1857</v>
      </c>
      <c r="AM299" s="198" t="s">
        <v>1857</v>
      </c>
      <c r="AN299" s="196">
        <f t="shared" si="70"/>
        <v>5</v>
      </c>
      <c r="AO299" s="196">
        <f t="shared" si="71"/>
        <v>2021</v>
      </c>
      <c r="AP299" s="195">
        <f t="shared" si="72"/>
        <v>2031</v>
      </c>
      <c r="AQ299" s="194">
        <f t="shared" si="73"/>
        <v>2031.4166666666667</v>
      </c>
      <c r="AR299" s="193">
        <f t="shared" si="74"/>
        <v>7.2477499999999999</v>
      </c>
      <c r="AS299" s="192">
        <f t="shared" si="75"/>
        <v>86.972999999999999</v>
      </c>
      <c r="AT299" s="192">
        <f t="shared" si="76"/>
        <v>86.972999999999999</v>
      </c>
      <c r="AU299" s="192">
        <f t="shared" si="77"/>
        <v>173.94600000000003</v>
      </c>
      <c r="AV299" s="192">
        <f t="shared" si="78"/>
        <v>260.91900000000004</v>
      </c>
      <c r="AW299" s="191">
        <f t="shared" si="79"/>
        <v>608.81099999999992</v>
      </c>
      <c r="AX299" s="190" t="s">
        <v>72</v>
      </c>
      <c r="AY299" s="184"/>
    </row>
    <row r="300" spans="2:51">
      <c r="B300" s="198">
        <v>2183</v>
      </c>
      <c r="C300" s="199">
        <v>252620</v>
      </c>
      <c r="D300" s="198" t="s">
        <v>989</v>
      </c>
      <c r="E300" s="198" t="s">
        <v>2003</v>
      </c>
      <c r="F300" s="198" t="s">
        <v>1077</v>
      </c>
      <c r="G300" s="198"/>
      <c r="H300" s="198"/>
      <c r="I300" s="200">
        <v>936</v>
      </c>
      <c r="J300" s="198"/>
      <c r="K300" s="200">
        <v>0</v>
      </c>
      <c r="L300" s="198" t="s">
        <v>1001</v>
      </c>
      <c r="M300" s="198"/>
      <c r="N300" s="198" t="s">
        <v>2190</v>
      </c>
      <c r="O300" s="198" t="s">
        <v>2184</v>
      </c>
      <c r="P300" s="198"/>
      <c r="Q300" s="198"/>
      <c r="R300" s="198"/>
      <c r="S300" s="201">
        <v>44333</v>
      </c>
      <c r="T300" s="201">
        <v>44333</v>
      </c>
      <c r="U300" s="198" t="s">
        <v>1075</v>
      </c>
      <c r="V300" s="198">
        <v>700</v>
      </c>
      <c r="W300" s="198">
        <v>14050</v>
      </c>
      <c r="X300" s="202">
        <v>50349.29</v>
      </c>
      <c r="Y300" s="198">
        <v>14056</v>
      </c>
      <c r="Z300" s="202">
        <v>20978.9</v>
      </c>
      <c r="AA300" s="202">
        <v>0</v>
      </c>
      <c r="AB300" s="202">
        <v>29370.39</v>
      </c>
      <c r="AC300" s="202">
        <v>2397.6</v>
      </c>
      <c r="AD300" s="198">
        <v>54260</v>
      </c>
      <c r="AE300" s="202">
        <v>599.4</v>
      </c>
      <c r="AF300" s="202">
        <v>0</v>
      </c>
      <c r="AG300" s="202">
        <v>599.4</v>
      </c>
      <c r="AH300" s="198" t="s">
        <v>989</v>
      </c>
      <c r="AI300" s="198"/>
      <c r="AJ300" s="198"/>
      <c r="AK300" s="198" t="s">
        <v>316</v>
      </c>
      <c r="AL300" s="198" t="s">
        <v>929</v>
      </c>
      <c r="AM300" s="198" t="s">
        <v>929</v>
      </c>
      <c r="AN300" s="196">
        <f t="shared" si="70"/>
        <v>5</v>
      </c>
      <c r="AO300" s="196">
        <f t="shared" si="71"/>
        <v>2021</v>
      </c>
      <c r="AP300" s="195">
        <f t="shared" si="72"/>
        <v>2028</v>
      </c>
      <c r="AQ300" s="194">
        <f t="shared" si="73"/>
        <v>2028.4166666666667</v>
      </c>
      <c r="AR300" s="193">
        <f t="shared" si="74"/>
        <v>599.39630952380946</v>
      </c>
      <c r="AS300" s="192">
        <f t="shared" si="75"/>
        <v>7192.7557142857131</v>
      </c>
      <c r="AT300" s="192">
        <f t="shared" si="76"/>
        <v>7192.7557142857131</v>
      </c>
      <c r="AU300" s="192">
        <f t="shared" si="77"/>
        <v>14385.51142857143</v>
      </c>
      <c r="AV300" s="192">
        <f t="shared" si="78"/>
        <v>21578.267142857141</v>
      </c>
      <c r="AW300" s="191">
        <f t="shared" si="79"/>
        <v>28771.02285714286</v>
      </c>
      <c r="AX300" s="190" t="s">
        <v>72</v>
      </c>
      <c r="AY300" s="184"/>
    </row>
    <row r="301" spans="2:51" hidden="1">
      <c r="B301" s="198">
        <v>2183</v>
      </c>
      <c r="C301" s="199">
        <v>252491</v>
      </c>
      <c r="D301" s="198">
        <v>249940</v>
      </c>
      <c r="E301" s="198" t="s">
        <v>2003</v>
      </c>
      <c r="F301" s="198" t="s">
        <v>788</v>
      </c>
      <c r="G301" s="198"/>
      <c r="H301" s="198"/>
      <c r="I301" s="200">
        <v>1</v>
      </c>
      <c r="J301" s="198"/>
      <c r="K301" s="200">
        <v>2021</v>
      </c>
      <c r="L301" s="198"/>
      <c r="M301" s="198"/>
      <c r="N301" s="198" t="s">
        <v>2183</v>
      </c>
      <c r="O301" s="198" t="s">
        <v>2184</v>
      </c>
      <c r="P301" s="198" t="s">
        <v>1028</v>
      </c>
      <c r="Q301" s="198"/>
      <c r="R301" s="198"/>
      <c r="S301" s="201">
        <v>44288</v>
      </c>
      <c r="T301" s="201">
        <v>44288</v>
      </c>
      <c r="U301" s="198" t="s">
        <v>1067</v>
      </c>
      <c r="V301" s="198">
        <v>500</v>
      </c>
      <c r="W301" s="198">
        <v>14040</v>
      </c>
      <c r="X301" s="202">
        <v>596.24</v>
      </c>
      <c r="Y301" s="198">
        <v>14046</v>
      </c>
      <c r="Z301" s="202">
        <v>367.7</v>
      </c>
      <c r="AA301" s="202">
        <v>0</v>
      </c>
      <c r="AB301" s="202">
        <v>228.54000000000002</v>
      </c>
      <c r="AC301" s="202">
        <v>39.76</v>
      </c>
      <c r="AD301" s="198">
        <v>51260</v>
      </c>
      <c r="AE301" s="202">
        <v>9.94</v>
      </c>
      <c r="AF301" s="202">
        <v>0</v>
      </c>
      <c r="AG301" s="202">
        <v>9.94</v>
      </c>
      <c r="AH301" s="198" t="s">
        <v>989</v>
      </c>
      <c r="AI301" s="198"/>
      <c r="AJ301" s="198"/>
      <c r="AK301" s="198">
        <v>3704</v>
      </c>
      <c r="AL301" s="198" t="s">
        <v>1857</v>
      </c>
      <c r="AM301" s="198" t="s">
        <v>1857</v>
      </c>
      <c r="AN301" s="196">
        <f t="shared" si="70"/>
        <v>4</v>
      </c>
      <c r="AO301" s="196">
        <f t="shared" si="71"/>
        <v>2021</v>
      </c>
      <c r="AP301" s="195">
        <f t="shared" si="72"/>
        <v>2026</v>
      </c>
      <c r="AQ301" s="194">
        <f t="shared" si="73"/>
        <v>2026.3333333333333</v>
      </c>
      <c r="AR301" s="193">
        <f t="shared" si="74"/>
        <v>9.9373333333333331</v>
      </c>
      <c r="AS301" s="192">
        <f t="shared" si="75"/>
        <v>119.24799999999999</v>
      </c>
      <c r="AT301" s="192">
        <f t="shared" si="76"/>
        <v>119.24799999999999</v>
      </c>
      <c r="AU301" s="192">
        <f t="shared" si="77"/>
        <v>248.43333333335141</v>
      </c>
      <c r="AV301" s="192">
        <f t="shared" si="78"/>
        <v>367.6813333333514</v>
      </c>
      <c r="AW301" s="191">
        <f t="shared" si="79"/>
        <v>228.55866666664861</v>
      </c>
      <c r="AX301" s="190" t="s">
        <v>72</v>
      </c>
      <c r="AY301" s="184"/>
    </row>
    <row r="302" spans="2:51" hidden="1">
      <c r="B302" s="198">
        <v>2183</v>
      </c>
      <c r="C302" s="199">
        <v>251932</v>
      </c>
      <c r="D302" s="198">
        <v>251931</v>
      </c>
      <c r="E302" s="198" t="s">
        <v>2003</v>
      </c>
      <c r="F302" s="198" t="s">
        <v>1078</v>
      </c>
      <c r="G302" s="198"/>
      <c r="H302" s="198"/>
      <c r="I302" s="200">
        <v>1</v>
      </c>
      <c r="J302" s="198" t="s">
        <v>1079</v>
      </c>
      <c r="K302" s="200">
        <v>2021</v>
      </c>
      <c r="L302" s="198"/>
      <c r="M302" s="198"/>
      <c r="N302" s="198" t="s">
        <v>2183</v>
      </c>
      <c r="O302" s="198" t="s">
        <v>2184</v>
      </c>
      <c r="P302" s="198" t="s">
        <v>1028</v>
      </c>
      <c r="Q302" s="198"/>
      <c r="R302" s="198"/>
      <c r="S302" s="201">
        <v>44317</v>
      </c>
      <c r="T302" s="201">
        <v>44317</v>
      </c>
      <c r="U302" s="198" t="s">
        <v>1041</v>
      </c>
      <c r="V302" s="198">
        <v>1000</v>
      </c>
      <c r="W302" s="198">
        <v>14040</v>
      </c>
      <c r="X302" s="202">
        <v>180547</v>
      </c>
      <c r="Y302" s="198">
        <v>14046</v>
      </c>
      <c r="Z302" s="202">
        <v>54164.11</v>
      </c>
      <c r="AA302" s="202">
        <v>0</v>
      </c>
      <c r="AB302" s="202">
        <v>126382.89</v>
      </c>
      <c r="AC302" s="202">
        <v>6018.24</v>
      </c>
      <c r="AD302" s="198">
        <v>51260</v>
      </c>
      <c r="AE302" s="202">
        <v>1504.56</v>
      </c>
      <c r="AF302" s="202">
        <v>0</v>
      </c>
      <c r="AG302" s="202">
        <v>1504.56</v>
      </c>
      <c r="AH302" s="198" t="s">
        <v>989</v>
      </c>
      <c r="AI302" s="198"/>
      <c r="AJ302" s="198"/>
      <c r="AK302" s="198">
        <v>3705</v>
      </c>
      <c r="AL302" s="198" t="s">
        <v>1857</v>
      </c>
      <c r="AM302" s="198" t="s">
        <v>1857</v>
      </c>
      <c r="AN302" s="196">
        <f t="shared" si="70"/>
        <v>5</v>
      </c>
      <c r="AO302" s="196">
        <f t="shared" si="71"/>
        <v>2021</v>
      </c>
      <c r="AP302" s="195">
        <f t="shared" si="72"/>
        <v>2031</v>
      </c>
      <c r="AQ302" s="194">
        <f t="shared" si="73"/>
        <v>2031.4166666666667</v>
      </c>
      <c r="AR302" s="193">
        <f t="shared" si="74"/>
        <v>1504.5583333333334</v>
      </c>
      <c r="AS302" s="192">
        <f t="shared" si="75"/>
        <v>18054.7</v>
      </c>
      <c r="AT302" s="192">
        <f t="shared" si="76"/>
        <v>18054.7</v>
      </c>
      <c r="AU302" s="192">
        <f t="shared" si="77"/>
        <v>36109.399999999994</v>
      </c>
      <c r="AV302" s="192">
        <f t="shared" si="78"/>
        <v>54164.099999999991</v>
      </c>
      <c r="AW302" s="191">
        <f t="shared" si="79"/>
        <v>126382.90000000001</v>
      </c>
      <c r="AX302" s="190" t="s">
        <v>72</v>
      </c>
      <c r="AY302" s="184"/>
    </row>
    <row r="303" spans="2:51">
      <c r="B303" s="198">
        <v>2183</v>
      </c>
      <c r="C303" s="199">
        <v>251931</v>
      </c>
      <c r="D303" s="198" t="s">
        <v>989</v>
      </c>
      <c r="E303" s="198" t="s">
        <v>2003</v>
      </c>
      <c r="F303" s="198" t="s">
        <v>1080</v>
      </c>
      <c r="G303" s="198"/>
      <c r="H303" s="198"/>
      <c r="I303" s="200">
        <v>1</v>
      </c>
      <c r="J303" s="198" t="s">
        <v>1079</v>
      </c>
      <c r="K303" s="200">
        <v>2021</v>
      </c>
      <c r="L303" s="198" t="s">
        <v>1097</v>
      </c>
      <c r="M303" s="198" t="s">
        <v>1110</v>
      </c>
      <c r="N303" s="198" t="s">
        <v>2183</v>
      </c>
      <c r="O303" s="198" t="s">
        <v>2184</v>
      </c>
      <c r="P303" s="198" t="s">
        <v>2187</v>
      </c>
      <c r="Q303" s="198"/>
      <c r="R303" s="198"/>
      <c r="S303" s="201">
        <v>44317</v>
      </c>
      <c r="T303" s="201">
        <v>44317</v>
      </c>
      <c r="U303" s="198" t="s">
        <v>1081</v>
      </c>
      <c r="V303" s="198">
        <v>1000</v>
      </c>
      <c r="W303" s="198">
        <v>14040</v>
      </c>
      <c r="X303" s="202">
        <v>184139.1</v>
      </c>
      <c r="Y303" s="198">
        <v>14046</v>
      </c>
      <c r="Z303" s="202">
        <v>55241.69</v>
      </c>
      <c r="AA303" s="202">
        <v>0</v>
      </c>
      <c r="AB303" s="202">
        <v>128897.41</v>
      </c>
      <c r="AC303" s="202">
        <v>6137.96</v>
      </c>
      <c r="AD303" s="198">
        <v>51260</v>
      </c>
      <c r="AE303" s="202">
        <v>1534.49</v>
      </c>
      <c r="AF303" s="202">
        <v>0</v>
      </c>
      <c r="AG303" s="202">
        <v>1534.49</v>
      </c>
      <c r="AH303" s="198" t="s">
        <v>989</v>
      </c>
      <c r="AI303" s="198"/>
      <c r="AJ303" s="198">
        <v>3705</v>
      </c>
      <c r="AK303" s="198">
        <v>3705</v>
      </c>
      <c r="AL303" s="198" t="s">
        <v>1857</v>
      </c>
      <c r="AM303" s="198" t="s">
        <v>1857</v>
      </c>
      <c r="AN303" s="196">
        <f t="shared" si="70"/>
        <v>5</v>
      </c>
      <c r="AO303" s="196">
        <f t="shared" si="71"/>
        <v>2021</v>
      </c>
      <c r="AP303" s="195">
        <f t="shared" si="72"/>
        <v>2031</v>
      </c>
      <c r="AQ303" s="194">
        <f t="shared" si="73"/>
        <v>2031.4166666666667</v>
      </c>
      <c r="AR303" s="193">
        <f t="shared" si="74"/>
        <v>1534.4925000000001</v>
      </c>
      <c r="AS303" s="192">
        <f t="shared" si="75"/>
        <v>18413.91</v>
      </c>
      <c r="AT303" s="192">
        <f t="shared" si="76"/>
        <v>18413.91</v>
      </c>
      <c r="AU303" s="192">
        <f t="shared" si="77"/>
        <v>36827.820000000007</v>
      </c>
      <c r="AV303" s="192">
        <f t="shared" si="78"/>
        <v>55241.73000000001</v>
      </c>
      <c r="AW303" s="191">
        <f t="shared" si="79"/>
        <v>128897.37</v>
      </c>
      <c r="AX303" s="190" t="s">
        <v>72</v>
      </c>
      <c r="AY303" s="184"/>
    </row>
    <row r="304" spans="2:51">
      <c r="B304" s="198">
        <v>2183</v>
      </c>
      <c r="C304" s="199">
        <v>250273</v>
      </c>
      <c r="D304" s="198" t="s">
        <v>989</v>
      </c>
      <c r="E304" s="198" t="s">
        <v>2003</v>
      </c>
      <c r="F304" s="198" t="s">
        <v>881</v>
      </c>
      <c r="G304" s="198"/>
      <c r="H304" s="198"/>
      <c r="I304" s="200">
        <v>702</v>
      </c>
      <c r="J304" s="198"/>
      <c r="K304" s="200">
        <v>0</v>
      </c>
      <c r="L304" s="198" t="s">
        <v>1001</v>
      </c>
      <c r="M304" s="198"/>
      <c r="N304" s="198" t="s">
        <v>2190</v>
      </c>
      <c r="O304" s="198" t="s">
        <v>2184</v>
      </c>
      <c r="P304" s="198"/>
      <c r="Q304" s="198"/>
      <c r="R304" s="198"/>
      <c r="S304" s="201">
        <v>44286</v>
      </c>
      <c r="T304" s="201">
        <v>44286</v>
      </c>
      <c r="U304" s="198" t="s">
        <v>1075</v>
      </c>
      <c r="V304" s="198">
        <v>700</v>
      </c>
      <c r="W304" s="198">
        <v>14050</v>
      </c>
      <c r="X304" s="202">
        <v>36924.870000000003</v>
      </c>
      <c r="Y304" s="198">
        <v>14056</v>
      </c>
      <c r="Z304" s="202">
        <v>16264.52</v>
      </c>
      <c r="AA304" s="202">
        <v>0</v>
      </c>
      <c r="AB304" s="202">
        <v>20660.350000000002</v>
      </c>
      <c r="AC304" s="202">
        <v>1758.32</v>
      </c>
      <c r="AD304" s="198">
        <v>54260</v>
      </c>
      <c r="AE304" s="202">
        <v>439.58</v>
      </c>
      <c r="AF304" s="202">
        <v>0</v>
      </c>
      <c r="AG304" s="202">
        <v>439.58</v>
      </c>
      <c r="AH304" s="198" t="s">
        <v>989</v>
      </c>
      <c r="AI304" s="198"/>
      <c r="AJ304" s="198"/>
      <c r="AK304" s="198" t="s">
        <v>316</v>
      </c>
      <c r="AL304" s="198" t="s">
        <v>2301</v>
      </c>
      <c r="AM304" s="198" t="s">
        <v>933</v>
      </c>
      <c r="AN304" s="196">
        <f t="shared" si="70"/>
        <v>3</v>
      </c>
      <c r="AO304" s="196">
        <f t="shared" si="71"/>
        <v>2021</v>
      </c>
      <c r="AP304" s="195">
        <f t="shared" si="72"/>
        <v>2028</v>
      </c>
      <c r="AQ304" s="194">
        <f t="shared" si="73"/>
        <v>2028.25</v>
      </c>
      <c r="AR304" s="193">
        <f t="shared" si="74"/>
        <v>439.58178571428579</v>
      </c>
      <c r="AS304" s="192">
        <f t="shared" si="75"/>
        <v>5274.9814285714292</v>
      </c>
      <c r="AT304" s="192">
        <f t="shared" ref="AT304:AT312" si="80">IF(AQ304&lt;$AK$12,0,AS304)</f>
        <v>5274.9814285714292</v>
      </c>
      <c r="AU304" s="192">
        <f t="shared" ref="AU304:AU312" si="81">IF(AQ304&lt;=$AK$13,X304,IF(((AO304+AN304/12))&gt;=$AK$13,0,((X304-((AQ304-$AK$13)*12)*AR304))))</f>
        <v>11429.126428571828</v>
      </c>
      <c r="AV304" s="192">
        <f t="shared" ref="AV304:AV312" si="82">IF(AQ304&lt;$AK$12,X304,AT304+AU304)</f>
        <v>16704.107857143259</v>
      </c>
      <c r="AW304" s="191">
        <f t="shared" ref="AW304:AW312" si="83">+X304-AV304</f>
        <v>20220.762142856744</v>
      </c>
      <c r="AX304" s="190" t="s">
        <v>72</v>
      </c>
      <c r="AY304" s="184"/>
    </row>
    <row r="305" spans="2:51">
      <c r="B305" s="198">
        <v>2183</v>
      </c>
      <c r="C305" s="199">
        <v>250272</v>
      </c>
      <c r="D305" s="198" t="s">
        <v>989</v>
      </c>
      <c r="E305" s="198" t="s">
        <v>2003</v>
      </c>
      <c r="F305" s="198" t="s">
        <v>1082</v>
      </c>
      <c r="G305" s="198"/>
      <c r="H305" s="198"/>
      <c r="I305" s="200">
        <v>702</v>
      </c>
      <c r="J305" s="198"/>
      <c r="K305" s="200">
        <v>0</v>
      </c>
      <c r="L305" s="198" t="s">
        <v>1001</v>
      </c>
      <c r="M305" s="198"/>
      <c r="N305" s="198" t="s">
        <v>2190</v>
      </c>
      <c r="O305" s="198" t="s">
        <v>2184</v>
      </c>
      <c r="P305" s="198"/>
      <c r="Q305" s="198"/>
      <c r="R305" s="198"/>
      <c r="S305" s="201">
        <v>44286</v>
      </c>
      <c r="T305" s="201">
        <v>44286</v>
      </c>
      <c r="U305" s="198" t="s">
        <v>1075</v>
      </c>
      <c r="V305" s="198">
        <v>700</v>
      </c>
      <c r="W305" s="198">
        <v>14050</v>
      </c>
      <c r="X305" s="202">
        <v>36924.86</v>
      </c>
      <c r="Y305" s="198">
        <v>14056</v>
      </c>
      <c r="Z305" s="202">
        <v>16264.52</v>
      </c>
      <c r="AA305" s="202">
        <v>0</v>
      </c>
      <c r="AB305" s="202">
        <v>20660.34</v>
      </c>
      <c r="AC305" s="202">
        <v>1758.32</v>
      </c>
      <c r="AD305" s="198">
        <v>54260</v>
      </c>
      <c r="AE305" s="202">
        <v>439.58</v>
      </c>
      <c r="AF305" s="202">
        <v>0</v>
      </c>
      <c r="AG305" s="202">
        <v>439.58</v>
      </c>
      <c r="AH305" s="198" t="s">
        <v>989</v>
      </c>
      <c r="AI305" s="198"/>
      <c r="AJ305" s="198"/>
      <c r="AK305" s="198" t="s">
        <v>316</v>
      </c>
      <c r="AL305" s="198" t="s">
        <v>929</v>
      </c>
      <c r="AM305" s="198" t="s">
        <v>929</v>
      </c>
      <c r="AN305" s="196">
        <f t="shared" si="70"/>
        <v>3</v>
      </c>
      <c r="AO305" s="196">
        <f t="shared" si="71"/>
        <v>2021</v>
      </c>
      <c r="AP305" s="195">
        <f t="shared" si="72"/>
        <v>2028</v>
      </c>
      <c r="AQ305" s="194">
        <f t="shared" si="73"/>
        <v>2028.25</v>
      </c>
      <c r="AR305" s="193">
        <f t="shared" si="74"/>
        <v>439.58166666666671</v>
      </c>
      <c r="AS305" s="192">
        <f t="shared" si="75"/>
        <v>5274.9800000000005</v>
      </c>
      <c r="AT305" s="192">
        <f t="shared" si="80"/>
        <v>5274.9800000000005</v>
      </c>
      <c r="AU305" s="192">
        <f t="shared" si="81"/>
        <v>11429.123333333733</v>
      </c>
      <c r="AV305" s="192">
        <f t="shared" si="82"/>
        <v>16704.103333333733</v>
      </c>
      <c r="AW305" s="191">
        <f t="shared" si="83"/>
        <v>20220.756666666268</v>
      </c>
      <c r="AX305" s="190" t="s">
        <v>72</v>
      </c>
      <c r="AY305" s="184"/>
    </row>
    <row r="306" spans="2:51" hidden="1">
      <c r="B306" s="198">
        <v>2183</v>
      </c>
      <c r="C306" s="199">
        <v>249941</v>
      </c>
      <c r="D306" s="198">
        <v>249940</v>
      </c>
      <c r="E306" s="198" t="s">
        <v>2003</v>
      </c>
      <c r="F306" s="198" t="s">
        <v>1078</v>
      </c>
      <c r="G306" s="198"/>
      <c r="H306" s="198"/>
      <c r="I306" s="200">
        <v>1</v>
      </c>
      <c r="J306" s="198" t="s">
        <v>1083</v>
      </c>
      <c r="K306" s="200">
        <v>2021</v>
      </c>
      <c r="L306" s="198"/>
      <c r="M306" s="198"/>
      <c r="N306" s="198" t="s">
        <v>2183</v>
      </c>
      <c r="O306" s="198" t="s">
        <v>2184</v>
      </c>
      <c r="P306" s="198" t="s">
        <v>1028</v>
      </c>
      <c r="Q306" s="198"/>
      <c r="R306" s="198"/>
      <c r="S306" s="201">
        <v>44288</v>
      </c>
      <c r="T306" s="201">
        <v>44288</v>
      </c>
      <c r="U306" s="198" t="s">
        <v>1067</v>
      </c>
      <c r="V306" s="198">
        <v>1000</v>
      </c>
      <c r="W306" s="198">
        <v>14040</v>
      </c>
      <c r="X306" s="202">
        <v>184138.36</v>
      </c>
      <c r="Y306" s="198">
        <v>14046</v>
      </c>
      <c r="Z306" s="202">
        <v>56776.02</v>
      </c>
      <c r="AA306" s="202">
        <v>0</v>
      </c>
      <c r="AB306" s="202">
        <v>127362.34</v>
      </c>
      <c r="AC306" s="202">
        <v>6137.96</v>
      </c>
      <c r="AD306" s="198">
        <v>51260</v>
      </c>
      <c r="AE306" s="202">
        <v>1534.49</v>
      </c>
      <c r="AF306" s="202">
        <v>0</v>
      </c>
      <c r="AG306" s="202">
        <v>1534.49</v>
      </c>
      <c r="AH306" s="198" t="s">
        <v>989</v>
      </c>
      <c r="AI306" s="198"/>
      <c r="AJ306" s="198"/>
      <c r="AK306" s="198">
        <v>3704</v>
      </c>
      <c r="AL306" s="198" t="s">
        <v>1857</v>
      </c>
      <c r="AM306" s="198" t="s">
        <v>1857</v>
      </c>
      <c r="AN306" s="196">
        <f t="shared" si="70"/>
        <v>4</v>
      </c>
      <c r="AO306" s="196">
        <f t="shared" si="71"/>
        <v>2021</v>
      </c>
      <c r="AP306" s="195">
        <f t="shared" si="72"/>
        <v>2031</v>
      </c>
      <c r="AQ306" s="194">
        <f t="shared" si="73"/>
        <v>2031.3333333333333</v>
      </c>
      <c r="AR306" s="193">
        <f t="shared" si="74"/>
        <v>1534.4863333333333</v>
      </c>
      <c r="AS306" s="192">
        <f t="shared" si="75"/>
        <v>18413.835999999999</v>
      </c>
      <c r="AT306" s="192">
        <f t="shared" si="80"/>
        <v>18413.835999999999</v>
      </c>
      <c r="AU306" s="192">
        <f t="shared" si="81"/>
        <v>38362.15833333612</v>
      </c>
      <c r="AV306" s="192">
        <f t="shared" si="82"/>
        <v>56775.994333336115</v>
      </c>
      <c r="AW306" s="191">
        <f t="shared" si="83"/>
        <v>127362.36566666387</v>
      </c>
      <c r="AX306" s="190" t="s">
        <v>72</v>
      </c>
      <c r="AY306" s="184"/>
    </row>
    <row r="307" spans="2:51">
      <c r="B307" s="198">
        <v>2183</v>
      </c>
      <c r="C307" s="199">
        <v>249940</v>
      </c>
      <c r="D307" s="198" t="s">
        <v>989</v>
      </c>
      <c r="E307" s="198" t="s">
        <v>2003</v>
      </c>
      <c r="F307" s="198" t="s">
        <v>1080</v>
      </c>
      <c r="G307" s="198"/>
      <c r="H307" s="198"/>
      <c r="I307" s="200">
        <v>1</v>
      </c>
      <c r="J307" s="198" t="s">
        <v>1083</v>
      </c>
      <c r="K307" s="200">
        <v>2021</v>
      </c>
      <c r="L307" s="198" t="s">
        <v>1097</v>
      </c>
      <c r="M307" s="198" t="s">
        <v>1110</v>
      </c>
      <c r="N307" s="198" t="s">
        <v>2183</v>
      </c>
      <c r="O307" s="198" t="s">
        <v>2184</v>
      </c>
      <c r="P307" s="198" t="s">
        <v>2187</v>
      </c>
      <c r="Q307" s="198"/>
      <c r="R307" s="198"/>
      <c r="S307" s="201">
        <v>44288</v>
      </c>
      <c r="T307" s="201">
        <v>44288</v>
      </c>
      <c r="U307" s="198" t="s">
        <v>1084</v>
      </c>
      <c r="V307" s="198">
        <v>1000</v>
      </c>
      <c r="W307" s="198">
        <v>14040</v>
      </c>
      <c r="X307" s="202">
        <v>184139.1</v>
      </c>
      <c r="Y307" s="198">
        <v>14046</v>
      </c>
      <c r="Z307" s="202">
        <v>56776.18</v>
      </c>
      <c r="AA307" s="202">
        <v>0</v>
      </c>
      <c r="AB307" s="202">
        <v>127362.92000000001</v>
      </c>
      <c r="AC307" s="202">
        <v>6137.96</v>
      </c>
      <c r="AD307" s="198">
        <v>51260</v>
      </c>
      <c r="AE307" s="202">
        <v>1534.49</v>
      </c>
      <c r="AF307" s="202">
        <v>0</v>
      </c>
      <c r="AG307" s="202">
        <v>1534.49</v>
      </c>
      <c r="AH307" s="198" t="s">
        <v>989</v>
      </c>
      <c r="AI307" s="198"/>
      <c r="AJ307" s="198">
        <v>3704</v>
      </c>
      <c r="AK307" s="198">
        <v>3704</v>
      </c>
      <c r="AL307" s="198" t="s">
        <v>1857</v>
      </c>
      <c r="AM307" s="198" t="s">
        <v>1857</v>
      </c>
      <c r="AN307" s="196">
        <f t="shared" si="70"/>
        <v>4</v>
      </c>
      <c r="AO307" s="196">
        <f t="shared" si="71"/>
        <v>2021</v>
      </c>
      <c r="AP307" s="195">
        <f t="shared" si="72"/>
        <v>2031</v>
      </c>
      <c r="AQ307" s="194">
        <f t="shared" si="73"/>
        <v>2031.3333333333333</v>
      </c>
      <c r="AR307" s="193">
        <f t="shared" si="74"/>
        <v>1534.4925000000001</v>
      </c>
      <c r="AS307" s="192">
        <f t="shared" si="75"/>
        <v>18413.91</v>
      </c>
      <c r="AT307" s="192">
        <f t="shared" si="80"/>
        <v>18413.91</v>
      </c>
      <c r="AU307" s="192">
        <f t="shared" si="81"/>
        <v>38362.312500002794</v>
      </c>
      <c r="AV307" s="192">
        <f t="shared" si="82"/>
        <v>56776.222500002797</v>
      </c>
      <c r="AW307" s="191">
        <f t="shared" si="83"/>
        <v>127362.87749999721</v>
      </c>
      <c r="AX307" s="190" t="s">
        <v>72</v>
      </c>
      <c r="AY307" s="184"/>
    </row>
    <row r="308" spans="2:51" hidden="1">
      <c r="B308" s="198">
        <v>2183</v>
      </c>
      <c r="C308" s="199">
        <v>249589</v>
      </c>
      <c r="D308" s="198">
        <v>243666</v>
      </c>
      <c r="E308" s="198" t="s">
        <v>2003</v>
      </c>
      <c r="F308" s="198" t="s">
        <v>1085</v>
      </c>
      <c r="G308" s="198"/>
      <c r="H308" s="198"/>
      <c r="I308" s="200">
        <v>1</v>
      </c>
      <c r="J308" s="198"/>
      <c r="K308" s="200">
        <v>0</v>
      </c>
      <c r="L308" s="198" t="s">
        <v>1086</v>
      </c>
      <c r="M308" s="198"/>
      <c r="N308" s="198" t="s">
        <v>2183</v>
      </c>
      <c r="O308" s="198" t="s">
        <v>2184</v>
      </c>
      <c r="P308" s="198" t="s">
        <v>1028</v>
      </c>
      <c r="Q308" s="198"/>
      <c r="R308" s="198"/>
      <c r="S308" s="201">
        <v>44197</v>
      </c>
      <c r="T308" s="201">
        <v>44197</v>
      </c>
      <c r="U308" s="198" t="s">
        <v>1087</v>
      </c>
      <c r="V308" s="198">
        <v>1000</v>
      </c>
      <c r="W308" s="198">
        <v>14040</v>
      </c>
      <c r="X308" s="202">
        <v>738.45</v>
      </c>
      <c r="Y308" s="198">
        <v>14046</v>
      </c>
      <c r="Z308" s="202">
        <v>246.15</v>
      </c>
      <c r="AA308" s="202">
        <v>0</v>
      </c>
      <c r="AB308" s="202">
        <v>492.30000000000007</v>
      </c>
      <c r="AC308" s="202">
        <v>24.6</v>
      </c>
      <c r="AD308" s="198">
        <v>51260</v>
      </c>
      <c r="AE308" s="202">
        <v>6.15</v>
      </c>
      <c r="AF308" s="202">
        <v>0</v>
      </c>
      <c r="AG308" s="202">
        <v>6.15</v>
      </c>
      <c r="AH308" s="198" t="s">
        <v>989</v>
      </c>
      <c r="AI308" s="198"/>
      <c r="AJ308" s="198"/>
      <c r="AK308" s="198">
        <v>1088</v>
      </c>
      <c r="AL308" s="198" t="s">
        <v>1852</v>
      </c>
      <c r="AM308" s="198" t="s">
        <v>1852</v>
      </c>
      <c r="AN308" s="196">
        <f t="shared" si="70"/>
        <v>1</v>
      </c>
      <c r="AO308" s="196">
        <f t="shared" si="71"/>
        <v>2021</v>
      </c>
      <c r="AP308" s="195">
        <f t="shared" si="72"/>
        <v>2031</v>
      </c>
      <c r="AQ308" s="194">
        <f t="shared" si="73"/>
        <v>2031.0833333333333</v>
      </c>
      <c r="AR308" s="193">
        <f t="shared" si="74"/>
        <v>6.1537499999999996</v>
      </c>
      <c r="AS308" s="192">
        <f t="shared" si="75"/>
        <v>73.844999999999999</v>
      </c>
      <c r="AT308" s="192">
        <f t="shared" si="80"/>
        <v>73.844999999999999</v>
      </c>
      <c r="AU308" s="192">
        <f t="shared" si="81"/>
        <v>172.30500000001132</v>
      </c>
      <c r="AV308" s="192">
        <f t="shared" si="82"/>
        <v>246.15000000001132</v>
      </c>
      <c r="AW308" s="191">
        <f t="shared" si="83"/>
        <v>492.2999999999887</v>
      </c>
      <c r="AX308" s="190" t="s">
        <v>72</v>
      </c>
      <c r="AY308" s="184"/>
    </row>
    <row r="309" spans="2:51" hidden="1">
      <c r="B309" s="198">
        <v>2183</v>
      </c>
      <c r="C309" s="199">
        <v>249588</v>
      </c>
      <c r="D309" s="198">
        <v>242814</v>
      </c>
      <c r="E309" s="198" t="s">
        <v>2003</v>
      </c>
      <c r="F309" s="198" t="s">
        <v>1088</v>
      </c>
      <c r="G309" s="198"/>
      <c r="H309" s="198"/>
      <c r="I309" s="200">
        <v>1</v>
      </c>
      <c r="J309" s="198"/>
      <c r="K309" s="200">
        <v>0</v>
      </c>
      <c r="L309" s="198" t="s">
        <v>1027</v>
      </c>
      <c r="M309" s="198"/>
      <c r="N309" s="198" t="s">
        <v>2183</v>
      </c>
      <c r="O309" s="198" t="s">
        <v>2184</v>
      </c>
      <c r="P309" s="198" t="s">
        <v>1028</v>
      </c>
      <c r="Q309" s="198"/>
      <c r="R309" s="198"/>
      <c r="S309" s="201">
        <v>44197</v>
      </c>
      <c r="T309" s="201">
        <v>44197</v>
      </c>
      <c r="U309" s="198" t="s">
        <v>1089</v>
      </c>
      <c r="V309" s="198">
        <v>1000</v>
      </c>
      <c r="W309" s="198">
        <v>14040</v>
      </c>
      <c r="X309" s="202">
        <v>705.63</v>
      </c>
      <c r="Y309" s="198">
        <v>14046</v>
      </c>
      <c r="Z309" s="202">
        <v>235.2</v>
      </c>
      <c r="AA309" s="202">
        <v>0</v>
      </c>
      <c r="AB309" s="202">
        <v>470.43</v>
      </c>
      <c r="AC309" s="202">
        <v>23.52</v>
      </c>
      <c r="AD309" s="198">
        <v>51260</v>
      </c>
      <c r="AE309" s="202">
        <v>5.88</v>
      </c>
      <c r="AF309" s="202">
        <v>0</v>
      </c>
      <c r="AG309" s="202">
        <v>5.88</v>
      </c>
      <c r="AH309" s="198" t="s">
        <v>989</v>
      </c>
      <c r="AI309" s="198"/>
      <c r="AJ309" s="198"/>
      <c r="AK309" s="198">
        <v>5051</v>
      </c>
      <c r="AL309" s="198" t="s">
        <v>1853</v>
      </c>
      <c r="AM309" s="198" t="s">
        <v>1853</v>
      </c>
      <c r="AN309" s="196">
        <f t="shared" si="70"/>
        <v>1</v>
      </c>
      <c r="AO309" s="196">
        <f t="shared" si="71"/>
        <v>2021</v>
      </c>
      <c r="AP309" s="195">
        <f t="shared" si="72"/>
        <v>2031</v>
      </c>
      <c r="AQ309" s="194">
        <f t="shared" si="73"/>
        <v>2031.0833333333333</v>
      </c>
      <c r="AR309" s="193">
        <f t="shared" si="74"/>
        <v>5.8802500000000002</v>
      </c>
      <c r="AS309" s="192">
        <f t="shared" si="75"/>
        <v>70.563000000000002</v>
      </c>
      <c r="AT309" s="192">
        <f t="shared" si="80"/>
        <v>70.563000000000002</v>
      </c>
      <c r="AU309" s="192">
        <f t="shared" si="81"/>
        <v>164.64700000001062</v>
      </c>
      <c r="AV309" s="192">
        <f t="shared" si="82"/>
        <v>235.21000000001061</v>
      </c>
      <c r="AW309" s="191">
        <f t="shared" si="83"/>
        <v>470.41999999998939</v>
      </c>
      <c r="AX309" s="190" t="s">
        <v>72</v>
      </c>
      <c r="AY309" s="184"/>
    </row>
    <row r="310" spans="2:51" hidden="1">
      <c r="B310" s="198">
        <v>2183</v>
      </c>
      <c r="C310" s="199">
        <v>247406</v>
      </c>
      <c r="D310" s="198">
        <v>219336</v>
      </c>
      <c r="E310" s="198" t="s">
        <v>2003</v>
      </c>
      <c r="F310" s="198" t="s">
        <v>1090</v>
      </c>
      <c r="G310" s="198"/>
      <c r="H310" s="198"/>
      <c r="I310" s="200">
        <v>1</v>
      </c>
      <c r="J310" s="198"/>
      <c r="K310" s="200">
        <v>0</v>
      </c>
      <c r="L310" s="198"/>
      <c r="M310" s="198"/>
      <c r="N310" s="198" t="s">
        <v>2183</v>
      </c>
      <c r="O310" s="198" t="s">
        <v>2184</v>
      </c>
      <c r="P310" s="198" t="s">
        <v>1028</v>
      </c>
      <c r="Q310" s="198"/>
      <c r="R310" s="198"/>
      <c r="S310" s="201">
        <v>44228</v>
      </c>
      <c r="T310" s="201">
        <v>44228</v>
      </c>
      <c r="U310" s="198" t="s">
        <v>1091</v>
      </c>
      <c r="V310" s="198">
        <v>806</v>
      </c>
      <c r="W310" s="198">
        <v>14040</v>
      </c>
      <c r="X310" s="202">
        <v>-300</v>
      </c>
      <c r="Y310" s="198">
        <v>14046</v>
      </c>
      <c r="Z310" s="202">
        <v>-114.7</v>
      </c>
      <c r="AA310" s="202">
        <v>0</v>
      </c>
      <c r="AB310" s="202">
        <v>-185.3</v>
      </c>
      <c r="AC310" s="202">
        <v>-11.76</v>
      </c>
      <c r="AD310" s="198">
        <v>51260</v>
      </c>
      <c r="AE310" s="202">
        <v>-2.94</v>
      </c>
      <c r="AF310" s="202">
        <v>0</v>
      </c>
      <c r="AG310" s="202">
        <v>-2.94</v>
      </c>
      <c r="AH310" s="198" t="s">
        <v>989</v>
      </c>
      <c r="AI310" s="198"/>
      <c r="AJ310" s="198"/>
      <c r="AK310" s="198">
        <v>6060</v>
      </c>
      <c r="AL310" s="198" t="s">
        <v>932</v>
      </c>
      <c r="AM310" s="198" t="s">
        <v>932</v>
      </c>
      <c r="AN310" s="196">
        <f t="shared" si="70"/>
        <v>2</v>
      </c>
      <c r="AO310" s="196">
        <f t="shared" si="71"/>
        <v>2021</v>
      </c>
      <c r="AP310" s="195">
        <f t="shared" si="72"/>
        <v>2029.06</v>
      </c>
      <c r="AQ310" s="194">
        <f t="shared" si="73"/>
        <v>2029.2266666666667</v>
      </c>
      <c r="AR310" s="193">
        <f t="shared" si="74"/>
        <v>-3.1017369727047144</v>
      </c>
      <c r="AS310" s="192">
        <f t="shared" si="75"/>
        <v>-37.220843672456574</v>
      </c>
      <c r="AT310" s="192">
        <f t="shared" si="80"/>
        <v>-37.220843672456574</v>
      </c>
      <c r="AU310" s="192">
        <f t="shared" si="81"/>
        <v>-83.746898263029351</v>
      </c>
      <c r="AV310" s="192">
        <f t="shared" si="82"/>
        <v>-120.96774193548592</v>
      </c>
      <c r="AW310" s="191">
        <f t="shared" si="83"/>
        <v>-179.03225806451408</v>
      </c>
      <c r="AX310" s="190" t="s">
        <v>72</v>
      </c>
      <c r="AY310" s="184"/>
    </row>
    <row r="311" spans="2:51">
      <c r="B311" s="198">
        <v>2183</v>
      </c>
      <c r="C311" s="199">
        <v>245845</v>
      </c>
      <c r="D311" s="198" t="s">
        <v>989</v>
      </c>
      <c r="E311" s="198" t="s">
        <v>2003</v>
      </c>
      <c r="F311" s="198" t="s">
        <v>881</v>
      </c>
      <c r="G311" s="198"/>
      <c r="H311" s="198"/>
      <c r="I311" s="200">
        <v>702</v>
      </c>
      <c r="J311" s="198"/>
      <c r="K311" s="200">
        <v>0</v>
      </c>
      <c r="L311" s="198" t="s">
        <v>1001</v>
      </c>
      <c r="M311" s="198"/>
      <c r="N311" s="198" t="s">
        <v>2190</v>
      </c>
      <c r="O311" s="198" t="s">
        <v>2184</v>
      </c>
      <c r="P311" s="198"/>
      <c r="Q311" s="198"/>
      <c r="R311" s="198"/>
      <c r="S311" s="201">
        <v>44207</v>
      </c>
      <c r="T311" s="201">
        <v>44207</v>
      </c>
      <c r="U311" s="198" t="s">
        <v>1075</v>
      </c>
      <c r="V311" s="198">
        <v>700</v>
      </c>
      <c r="W311" s="198">
        <v>14050</v>
      </c>
      <c r="X311" s="202">
        <v>32670.21</v>
      </c>
      <c r="Y311" s="198">
        <v>14056</v>
      </c>
      <c r="Z311" s="202">
        <v>15557.2</v>
      </c>
      <c r="AA311" s="202">
        <v>0</v>
      </c>
      <c r="AB311" s="202">
        <v>17113.009999999998</v>
      </c>
      <c r="AC311" s="202">
        <v>1555.72</v>
      </c>
      <c r="AD311" s="198">
        <v>54260</v>
      </c>
      <c r="AE311" s="202">
        <v>388.93</v>
      </c>
      <c r="AF311" s="202">
        <v>0</v>
      </c>
      <c r="AG311" s="202">
        <v>388.93</v>
      </c>
      <c r="AH311" s="198" t="s">
        <v>989</v>
      </c>
      <c r="AI311" s="198"/>
      <c r="AJ311" s="198"/>
      <c r="AK311" s="198" t="s">
        <v>316</v>
      </c>
      <c r="AL311" s="198" t="s">
        <v>2301</v>
      </c>
      <c r="AM311" s="198" t="s">
        <v>933</v>
      </c>
      <c r="AN311" s="196">
        <f t="shared" si="70"/>
        <v>1</v>
      </c>
      <c r="AO311" s="196">
        <f t="shared" si="71"/>
        <v>2021</v>
      </c>
      <c r="AP311" s="195">
        <f t="shared" si="72"/>
        <v>2028</v>
      </c>
      <c r="AQ311" s="194">
        <f t="shared" si="73"/>
        <v>2028.0833333333333</v>
      </c>
      <c r="AR311" s="193">
        <f t="shared" si="74"/>
        <v>388.93107142857139</v>
      </c>
      <c r="AS311" s="192">
        <f t="shared" si="75"/>
        <v>4667.1728571428566</v>
      </c>
      <c r="AT311" s="192">
        <f t="shared" si="80"/>
        <v>4667.1728571428566</v>
      </c>
      <c r="AU311" s="192">
        <f t="shared" si="81"/>
        <v>10890.070000000709</v>
      </c>
      <c r="AV311" s="192">
        <f t="shared" si="82"/>
        <v>15557.242857143567</v>
      </c>
      <c r="AW311" s="191">
        <f t="shared" si="83"/>
        <v>17112.967142856432</v>
      </c>
      <c r="AX311" s="190" t="s">
        <v>72</v>
      </c>
      <c r="AY311" s="184"/>
    </row>
    <row r="312" spans="2:51">
      <c r="B312" s="198">
        <v>2183</v>
      </c>
      <c r="C312" s="199">
        <v>245844</v>
      </c>
      <c r="D312" s="198" t="s">
        <v>989</v>
      </c>
      <c r="E312" s="198" t="s">
        <v>2003</v>
      </c>
      <c r="F312" s="198" t="s">
        <v>880</v>
      </c>
      <c r="G312" s="198"/>
      <c r="H312" s="198"/>
      <c r="I312" s="200">
        <v>702</v>
      </c>
      <c r="J312" s="198"/>
      <c r="K312" s="200">
        <v>0</v>
      </c>
      <c r="L312" s="198" t="s">
        <v>1001</v>
      </c>
      <c r="M312" s="198"/>
      <c r="N312" s="198" t="s">
        <v>2190</v>
      </c>
      <c r="O312" s="198" t="s">
        <v>2184</v>
      </c>
      <c r="P312" s="198"/>
      <c r="Q312" s="198"/>
      <c r="R312" s="198"/>
      <c r="S312" s="201">
        <v>44207</v>
      </c>
      <c r="T312" s="201">
        <v>44207</v>
      </c>
      <c r="U312" s="198" t="s">
        <v>1075</v>
      </c>
      <c r="V312" s="198">
        <v>700</v>
      </c>
      <c r="W312" s="198">
        <v>14050</v>
      </c>
      <c r="X312" s="202">
        <v>32670.21</v>
      </c>
      <c r="Y312" s="198">
        <v>14056</v>
      </c>
      <c r="Z312" s="202">
        <v>15557.2</v>
      </c>
      <c r="AA312" s="202">
        <v>0</v>
      </c>
      <c r="AB312" s="202">
        <v>17113.009999999998</v>
      </c>
      <c r="AC312" s="202">
        <v>1555.72</v>
      </c>
      <c r="AD312" s="198">
        <v>54260</v>
      </c>
      <c r="AE312" s="202">
        <v>388.93</v>
      </c>
      <c r="AF312" s="202">
        <v>0</v>
      </c>
      <c r="AG312" s="202">
        <v>388.93</v>
      </c>
      <c r="AH312" s="198" t="s">
        <v>989</v>
      </c>
      <c r="AI312" s="198"/>
      <c r="AJ312" s="198"/>
      <c r="AK312" s="198" t="s">
        <v>316</v>
      </c>
      <c r="AL312" s="198" t="s">
        <v>424</v>
      </c>
      <c r="AM312" s="198" t="s">
        <v>424</v>
      </c>
      <c r="AN312" s="196">
        <f t="shared" si="70"/>
        <v>1</v>
      </c>
      <c r="AO312" s="196">
        <f t="shared" si="71"/>
        <v>2021</v>
      </c>
      <c r="AP312" s="195">
        <f t="shared" si="72"/>
        <v>2028</v>
      </c>
      <c r="AQ312" s="194">
        <f t="shared" si="73"/>
        <v>2028.0833333333333</v>
      </c>
      <c r="AR312" s="193">
        <f t="shared" si="74"/>
        <v>388.93107142857139</v>
      </c>
      <c r="AS312" s="192">
        <f t="shared" si="75"/>
        <v>4667.1728571428566</v>
      </c>
      <c r="AT312" s="192">
        <f t="shared" si="80"/>
        <v>4667.1728571428566</v>
      </c>
      <c r="AU312" s="192">
        <f t="shared" si="81"/>
        <v>10890.070000000709</v>
      </c>
      <c r="AV312" s="192">
        <f t="shared" si="82"/>
        <v>15557.242857143567</v>
      </c>
      <c r="AW312" s="191">
        <f t="shared" si="83"/>
        <v>17112.967142856432</v>
      </c>
      <c r="AX312" s="190" t="s">
        <v>72</v>
      </c>
      <c r="AY312" s="184"/>
    </row>
    <row r="313" spans="2:51" hidden="1">
      <c r="B313" s="185">
        <v>2183</v>
      </c>
      <c r="C313" s="189">
        <v>245709</v>
      </c>
      <c r="D313" s="185">
        <v>242814</v>
      </c>
      <c r="E313" s="185" t="s">
        <v>2003</v>
      </c>
      <c r="F313" s="185" t="s">
        <v>1092</v>
      </c>
      <c r="G313" s="185"/>
      <c r="H313" s="185"/>
      <c r="I313" s="188">
        <v>1</v>
      </c>
      <c r="J313" s="185"/>
      <c r="K313" s="188">
        <v>0</v>
      </c>
      <c r="L313" s="185" t="s">
        <v>1037</v>
      </c>
      <c r="M313" s="185"/>
      <c r="N313" s="185" t="s">
        <v>2183</v>
      </c>
      <c r="O313" s="185" t="s">
        <v>2184</v>
      </c>
      <c r="P313" s="185" t="s">
        <v>1028</v>
      </c>
      <c r="Q313" s="185"/>
      <c r="R313" s="185"/>
      <c r="S313" s="186">
        <v>44197</v>
      </c>
      <c r="T313" s="186">
        <v>44197</v>
      </c>
      <c r="U313" s="185" t="s">
        <v>1089</v>
      </c>
      <c r="V313" s="185">
        <v>500</v>
      </c>
      <c r="W313" s="185">
        <v>14040</v>
      </c>
      <c r="X313" s="187">
        <v>784.07</v>
      </c>
      <c r="Y313" s="185">
        <v>14046</v>
      </c>
      <c r="Z313" s="187">
        <v>522.71</v>
      </c>
      <c r="AA313" s="187">
        <v>0</v>
      </c>
      <c r="AB313" s="187">
        <v>261.36</v>
      </c>
      <c r="AC313" s="187">
        <v>52.28</v>
      </c>
      <c r="AD313" s="185">
        <v>51260</v>
      </c>
      <c r="AE313" s="187">
        <v>13.07</v>
      </c>
      <c r="AF313" s="187">
        <v>0</v>
      </c>
      <c r="AG313" s="187">
        <v>13.07</v>
      </c>
      <c r="AH313" s="185" t="s">
        <v>989</v>
      </c>
      <c r="AI313" s="185"/>
      <c r="AJ313" s="185"/>
      <c r="AK313" s="185" t="s">
        <v>45</v>
      </c>
      <c r="AL313" s="185" t="s">
        <v>2267</v>
      </c>
      <c r="AM313" s="185" t="s">
        <v>2269</v>
      </c>
      <c r="AN313" s="196"/>
      <c r="AO313" s="196"/>
      <c r="AP313" s="195"/>
      <c r="AQ313" s="194"/>
      <c r="AR313" s="193"/>
      <c r="AS313" s="192"/>
      <c r="AT313" s="192"/>
      <c r="AU313" s="192"/>
      <c r="AV313" s="192"/>
      <c r="AW313" s="191"/>
      <c r="AX313" s="190" t="s">
        <v>72</v>
      </c>
      <c r="AY313" s="184"/>
    </row>
    <row r="314" spans="2:51" hidden="1">
      <c r="B314" s="185">
        <v>2183</v>
      </c>
      <c r="C314" s="189">
        <v>244803</v>
      </c>
      <c r="D314" s="185">
        <v>243666</v>
      </c>
      <c r="E314" s="185" t="s">
        <v>2003</v>
      </c>
      <c r="F314" s="185" t="s">
        <v>903</v>
      </c>
      <c r="G314" s="185"/>
      <c r="H314" s="185"/>
      <c r="I314" s="188">
        <v>1</v>
      </c>
      <c r="J314" s="185"/>
      <c r="K314" s="188">
        <v>0</v>
      </c>
      <c r="L314" s="185" t="s">
        <v>1037</v>
      </c>
      <c r="M314" s="185"/>
      <c r="N314" s="185" t="s">
        <v>2183</v>
      </c>
      <c r="O314" s="185" t="s">
        <v>2184</v>
      </c>
      <c r="P314" s="185" t="s">
        <v>1028</v>
      </c>
      <c r="Q314" s="185"/>
      <c r="R314" s="185"/>
      <c r="S314" s="186">
        <v>44105</v>
      </c>
      <c r="T314" s="186">
        <v>44105</v>
      </c>
      <c r="U314" s="185" t="s">
        <v>1087</v>
      </c>
      <c r="V314" s="185">
        <v>500</v>
      </c>
      <c r="W314" s="185">
        <v>14040</v>
      </c>
      <c r="X314" s="187">
        <v>784.07</v>
      </c>
      <c r="Y314" s="185">
        <v>14046</v>
      </c>
      <c r="Z314" s="187">
        <v>561.91</v>
      </c>
      <c r="AA314" s="187">
        <v>0</v>
      </c>
      <c r="AB314" s="187">
        <v>222.16000000000008</v>
      </c>
      <c r="AC314" s="187">
        <v>52.28</v>
      </c>
      <c r="AD314" s="185">
        <v>51260</v>
      </c>
      <c r="AE314" s="187">
        <v>13.07</v>
      </c>
      <c r="AF314" s="187">
        <v>0</v>
      </c>
      <c r="AG314" s="187">
        <v>13.07</v>
      </c>
      <c r="AH314" s="185" t="s">
        <v>989</v>
      </c>
      <c r="AI314" s="185"/>
      <c r="AJ314" s="185"/>
      <c r="AK314" s="185" t="s">
        <v>45</v>
      </c>
      <c r="AL314" s="185" t="s">
        <v>2267</v>
      </c>
      <c r="AM314" s="185" t="s">
        <v>2269</v>
      </c>
      <c r="AN314" s="196"/>
      <c r="AO314" s="196"/>
      <c r="AP314" s="195"/>
      <c r="AQ314" s="194"/>
      <c r="AR314" s="193"/>
      <c r="AS314" s="192"/>
      <c r="AT314" s="192"/>
      <c r="AU314" s="192"/>
      <c r="AV314" s="192"/>
      <c r="AW314" s="191"/>
      <c r="AX314" s="190" t="s">
        <v>72</v>
      </c>
      <c r="AY314" s="184"/>
    </row>
    <row r="315" spans="2:51">
      <c r="B315" s="185">
        <v>2183</v>
      </c>
      <c r="C315" s="189">
        <v>244706</v>
      </c>
      <c r="D315" s="185" t="s">
        <v>989</v>
      </c>
      <c r="E315" s="185" t="s">
        <v>2003</v>
      </c>
      <c r="F315" s="185" t="s">
        <v>872</v>
      </c>
      <c r="G315" s="185"/>
      <c r="H315" s="185"/>
      <c r="I315" s="188">
        <v>2</v>
      </c>
      <c r="J315" s="185"/>
      <c r="K315" s="188">
        <v>0</v>
      </c>
      <c r="L315" s="185" t="s">
        <v>1093</v>
      </c>
      <c r="M315" s="185"/>
      <c r="N315" s="185" t="s">
        <v>2198</v>
      </c>
      <c r="O315" s="185" t="s">
        <v>2184</v>
      </c>
      <c r="P315" s="185"/>
      <c r="Q315" s="185"/>
      <c r="R315" s="185"/>
      <c r="S315" s="186">
        <v>44188</v>
      </c>
      <c r="T315" s="186">
        <v>44188</v>
      </c>
      <c r="U315" s="185" t="s">
        <v>1094</v>
      </c>
      <c r="V315" s="185">
        <v>500</v>
      </c>
      <c r="W315" s="185">
        <v>14070</v>
      </c>
      <c r="X315" s="187">
        <v>675.01</v>
      </c>
      <c r="Y315" s="185">
        <v>14076</v>
      </c>
      <c r="Z315" s="187">
        <v>450</v>
      </c>
      <c r="AA315" s="187">
        <v>0</v>
      </c>
      <c r="AB315" s="187">
        <v>225.01</v>
      </c>
      <c r="AC315" s="187">
        <v>45</v>
      </c>
      <c r="AD315" s="185">
        <v>51260</v>
      </c>
      <c r="AE315" s="187">
        <v>11.25</v>
      </c>
      <c r="AF315" s="187">
        <v>0</v>
      </c>
      <c r="AG315" s="187">
        <v>11.25</v>
      </c>
      <c r="AH315" s="185" t="s">
        <v>989</v>
      </c>
      <c r="AI315" s="185"/>
      <c r="AJ315" s="185"/>
      <c r="AK315" s="185" t="s">
        <v>45</v>
      </c>
      <c r="AL315" s="185" t="s">
        <v>2267</v>
      </c>
      <c r="AM315" s="185" t="s">
        <v>2269</v>
      </c>
      <c r="AN315" s="196"/>
      <c r="AO315" s="196"/>
      <c r="AP315" s="195"/>
      <c r="AQ315" s="194"/>
      <c r="AR315" s="193"/>
      <c r="AS315" s="192"/>
      <c r="AT315" s="192"/>
      <c r="AU315" s="192"/>
      <c r="AV315" s="192"/>
      <c r="AW315" s="191"/>
      <c r="AX315" s="190" t="s">
        <v>72</v>
      </c>
      <c r="AY315" s="184"/>
    </row>
    <row r="316" spans="2:51" hidden="1">
      <c r="B316" s="185">
        <v>2183</v>
      </c>
      <c r="C316" s="189">
        <v>244666</v>
      </c>
      <c r="D316" s="185">
        <v>243666</v>
      </c>
      <c r="E316" s="185" t="s">
        <v>2003</v>
      </c>
      <c r="F316" s="185" t="s">
        <v>886</v>
      </c>
      <c r="G316" s="185"/>
      <c r="H316" s="185"/>
      <c r="I316" s="188">
        <v>1</v>
      </c>
      <c r="J316" s="185"/>
      <c r="K316" s="188">
        <v>0</v>
      </c>
      <c r="L316" s="185" t="s">
        <v>1093</v>
      </c>
      <c r="M316" s="185"/>
      <c r="N316" s="185" t="s">
        <v>2183</v>
      </c>
      <c r="O316" s="185" t="s">
        <v>2184</v>
      </c>
      <c r="P316" s="185" t="s">
        <v>1028</v>
      </c>
      <c r="Q316" s="185"/>
      <c r="R316" s="185"/>
      <c r="S316" s="186">
        <v>44187</v>
      </c>
      <c r="T316" s="186">
        <v>44187</v>
      </c>
      <c r="U316" s="185" t="s">
        <v>1087</v>
      </c>
      <c r="V316" s="185">
        <v>500</v>
      </c>
      <c r="W316" s="185">
        <v>14040</v>
      </c>
      <c r="X316" s="187">
        <v>588.59</v>
      </c>
      <c r="Y316" s="185">
        <v>14046</v>
      </c>
      <c r="Z316" s="187">
        <v>392.4</v>
      </c>
      <c r="AA316" s="187">
        <v>0</v>
      </c>
      <c r="AB316" s="187">
        <v>196.19000000000005</v>
      </c>
      <c r="AC316" s="187">
        <v>39.24</v>
      </c>
      <c r="AD316" s="185">
        <v>51260</v>
      </c>
      <c r="AE316" s="187">
        <v>9.81</v>
      </c>
      <c r="AF316" s="187">
        <v>0</v>
      </c>
      <c r="AG316" s="187">
        <v>9.81</v>
      </c>
      <c r="AH316" s="185" t="s">
        <v>989</v>
      </c>
      <c r="AI316" s="185"/>
      <c r="AJ316" s="185"/>
      <c r="AK316" s="185" t="s">
        <v>45</v>
      </c>
      <c r="AL316" s="185" t="s">
        <v>2267</v>
      </c>
      <c r="AM316" s="185" t="s">
        <v>2269</v>
      </c>
      <c r="AN316" s="196"/>
      <c r="AO316" s="196"/>
      <c r="AP316" s="195"/>
      <c r="AQ316" s="194"/>
      <c r="AR316" s="193"/>
      <c r="AS316" s="192"/>
      <c r="AT316" s="192"/>
      <c r="AU316" s="192"/>
      <c r="AV316" s="192"/>
      <c r="AW316" s="191"/>
      <c r="AX316" s="190" t="s">
        <v>72</v>
      </c>
      <c r="AY316" s="184"/>
    </row>
    <row r="317" spans="2:51" hidden="1">
      <c r="B317" s="185">
        <v>2183</v>
      </c>
      <c r="C317" s="189">
        <v>244665</v>
      </c>
      <c r="D317" s="185">
        <v>242814</v>
      </c>
      <c r="E317" s="185" t="s">
        <v>2003</v>
      </c>
      <c r="F317" s="185" t="s">
        <v>788</v>
      </c>
      <c r="G317" s="185"/>
      <c r="H317" s="185"/>
      <c r="I317" s="188">
        <v>1</v>
      </c>
      <c r="J317" s="185"/>
      <c r="K317" s="188">
        <v>0</v>
      </c>
      <c r="L317" s="185" t="s">
        <v>1093</v>
      </c>
      <c r="M317" s="185"/>
      <c r="N317" s="185" t="s">
        <v>2183</v>
      </c>
      <c r="O317" s="185" t="s">
        <v>2184</v>
      </c>
      <c r="P317" s="185" t="s">
        <v>1028</v>
      </c>
      <c r="Q317" s="185"/>
      <c r="R317" s="185"/>
      <c r="S317" s="186">
        <v>44194</v>
      </c>
      <c r="T317" s="186">
        <v>44194</v>
      </c>
      <c r="U317" s="185" t="s">
        <v>1089</v>
      </c>
      <c r="V317" s="185">
        <v>500</v>
      </c>
      <c r="W317" s="185">
        <v>14040</v>
      </c>
      <c r="X317" s="187">
        <v>592.41999999999996</v>
      </c>
      <c r="Y317" s="185">
        <v>14046</v>
      </c>
      <c r="Z317" s="187">
        <v>394.89</v>
      </c>
      <c r="AA317" s="187">
        <v>0</v>
      </c>
      <c r="AB317" s="187">
        <v>197.52999999999997</v>
      </c>
      <c r="AC317" s="187">
        <v>39.479999999999997</v>
      </c>
      <c r="AD317" s="185">
        <v>51260</v>
      </c>
      <c r="AE317" s="187">
        <v>9.8699999999999992</v>
      </c>
      <c r="AF317" s="187">
        <v>0</v>
      </c>
      <c r="AG317" s="187">
        <v>9.8699999999999992</v>
      </c>
      <c r="AH317" s="185" t="s">
        <v>989</v>
      </c>
      <c r="AI317" s="185"/>
      <c r="AJ317" s="185"/>
      <c r="AK317" s="185" t="s">
        <v>45</v>
      </c>
      <c r="AL317" s="185" t="s">
        <v>2267</v>
      </c>
      <c r="AM317" s="185" t="s">
        <v>2269</v>
      </c>
      <c r="AN317" s="196"/>
      <c r="AO317" s="196"/>
      <c r="AP317" s="195"/>
      <c r="AQ317" s="194"/>
      <c r="AR317" s="193"/>
      <c r="AS317" s="192"/>
      <c r="AT317" s="192"/>
      <c r="AU317" s="192"/>
      <c r="AV317" s="192"/>
      <c r="AW317" s="191"/>
      <c r="AX317" s="190" t="s">
        <v>72</v>
      </c>
      <c r="AY317" s="184"/>
    </row>
    <row r="318" spans="2:51">
      <c r="B318" s="185">
        <v>2183</v>
      </c>
      <c r="C318" s="189">
        <v>244033</v>
      </c>
      <c r="D318" s="185" t="s">
        <v>989</v>
      </c>
      <c r="E318" s="185" t="s">
        <v>2003</v>
      </c>
      <c r="F318" s="185" t="s">
        <v>907</v>
      </c>
      <c r="G318" s="185"/>
      <c r="H318" s="185"/>
      <c r="I318" s="188">
        <v>1</v>
      </c>
      <c r="J318" s="185"/>
      <c r="K318" s="188">
        <v>0</v>
      </c>
      <c r="L318" s="185"/>
      <c r="M318" s="185"/>
      <c r="N318" s="185" t="s">
        <v>2190</v>
      </c>
      <c r="O318" s="185" t="s">
        <v>2184</v>
      </c>
      <c r="P318" s="185"/>
      <c r="Q318" s="185" t="s">
        <v>2201</v>
      </c>
      <c r="R318" s="185" t="s">
        <v>2192</v>
      </c>
      <c r="S318" s="186">
        <v>43570</v>
      </c>
      <c r="T318" s="186">
        <v>43570</v>
      </c>
      <c r="U318" s="185"/>
      <c r="V318" s="185">
        <v>700</v>
      </c>
      <c r="W318" s="185">
        <v>14050</v>
      </c>
      <c r="X318" s="187">
        <v>3000</v>
      </c>
      <c r="Y318" s="185">
        <v>14056</v>
      </c>
      <c r="Z318" s="187">
        <v>2178.5500000000002</v>
      </c>
      <c r="AA318" s="187">
        <v>0</v>
      </c>
      <c r="AB318" s="187">
        <v>821.44999999999982</v>
      </c>
      <c r="AC318" s="187">
        <v>142.84</v>
      </c>
      <c r="AD318" s="185">
        <v>54260</v>
      </c>
      <c r="AE318" s="187">
        <v>35.71</v>
      </c>
      <c r="AF318" s="187">
        <v>0</v>
      </c>
      <c r="AG318" s="187">
        <v>35.71</v>
      </c>
      <c r="AH318" s="185" t="s">
        <v>994</v>
      </c>
      <c r="AI318" s="185" t="s">
        <v>1095</v>
      </c>
      <c r="AJ318" s="185">
        <v>14050</v>
      </c>
      <c r="AK318" s="185" t="s">
        <v>45</v>
      </c>
      <c r="AL318" s="185" t="s">
        <v>2267</v>
      </c>
      <c r="AM318" s="185" t="s">
        <v>2269</v>
      </c>
      <c r="AN318" s="196"/>
      <c r="AO318" s="196"/>
      <c r="AP318" s="195"/>
      <c r="AQ318" s="194"/>
      <c r="AR318" s="193"/>
      <c r="AS318" s="192"/>
      <c r="AT318" s="192"/>
      <c r="AU318" s="192"/>
      <c r="AV318" s="192"/>
      <c r="AW318" s="191"/>
      <c r="AX318" s="190" t="s">
        <v>72</v>
      </c>
      <c r="AY318" s="184"/>
    </row>
    <row r="319" spans="2:51">
      <c r="B319" s="185">
        <v>2183</v>
      </c>
      <c r="C319" s="189">
        <v>243666</v>
      </c>
      <c r="D319" s="185" t="s">
        <v>989</v>
      </c>
      <c r="E319" s="185" t="s">
        <v>2003</v>
      </c>
      <c r="F319" s="185" t="s">
        <v>899</v>
      </c>
      <c r="G319" s="185"/>
      <c r="H319" s="185"/>
      <c r="I319" s="188">
        <v>1</v>
      </c>
      <c r="J319" s="185" t="s">
        <v>1096</v>
      </c>
      <c r="K319" s="188">
        <v>2021</v>
      </c>
      <c r="L319" s="185" t="s">
        <v>1097</v>
      </c>
      <c r="M319" s="185" t="s">
        <v>1098</v>
      </c>
      <c r="N319" s="185" t="s">
        <v>2183</v>
      </c>
      <c r="O319" s="185" t="s">
        <v>2184</v>
      </c>
      <c r="P319" s="185" t="s">
        <v>2186</v>
      </c>
      <c r="Q319" s="185"/>
      <c r="R319" s="185"/>
      <c r="S319" s="186">
        <v>44105</v>
      </c>
      <c r="T319" s="186">
        <v>44105</v>
      </c>
      <c r="U319" s="185" t="s">
        <v>1099</v>
      </c>
      <c r="V319" s="185">
        <v>1000</v>
      </c>
      <c r="W319" s="185">
        <v>14040</v>
      </c>
      <c r="X319" s="187">
        <v>302791.59999999998</v>
      </c>
      <c r="Y319" s="185">
        <v>14046</v>
      </c>
      <c r="Z319" s="187">
        <v>108500.28</v>
      </c>
      <c r="AA319" s="187">
        <v>0</v>
      </c>
      <c r="AB319" s="187">
        <v>194291.31999999998</v>
      </c>
      <c r="AC319" s="187">
        <v>10093.040000000001</v>
      </c>
      <c r="AD319" s="185">
        <v>51260</v>
      </c>
      <c r="AE319" s="187">
        <v>2523.2600000000002</v>
      </c>
      <c r="AF319" s="187">
        <v>0</v>
      </c>
      <c r="AG319" s="187">
        <v>2523.2600000000002</v>
      </c>
      <c r="AH319" s="185" t="s">
        <v>989</v>
      </c>
      <c r="AI319" s="185"/>
      <c r="AJ319" s="185">
        <v>1088</v>
      </c>
      <c r="AK319" s="185" t="s">
        <v>45</v>
      </c>
      <c r="AL319" s="185" t="s">
        <v>2267</v>
      </c>
      <c r="AM319" s="185" t="s">
        <v>2269</v>
      </c>
      <c r="AN319" s="196"/>
      <c r="AO319" s="196"/>
      <c r="AP319" s="195"/>
      <c r="AQ319" s="194"/>
      <c r="AR319" s="193"/>
      <c r="AS319" s="192"/>
      <c r="AT319" s="192"/>
      <c r="AU319" s="192"/>
      <c r="AV319" s="192"/>
      <c r="AW319" s="191"/>
      <c r="AX319" s="190" t="s">
        <v>72</v>
      </c>
      <c r="AY319" s="184"/>
    </row>
    <row r="320" spans="2:51">
      <c r="B320" s="185">
        <v>2183</v>
      </c>
      <c r="C320" s="189">
        <v>243353</v>
      </c>
      <c r="D320" s="185" t="s">
        <v>989</v>
      </c>
      <c r="E320" s="185" t="s">
        <v>2003</v>
      </c>
      <c r="F320" s="185" t="s">
        <v>897</v>
      </c>
      <c r="G320" s="185"/>
      <c r="H320" s="185"/>
      <c r="I320" s="188">
        <v>20</v>
      </c>
      <c r="J320" s="185"/>
      <c r="K320" s="188">
        <v>0</v>
      </c>
      <c r="L320" s="185" t="s">
        <v>1018</v>
      </c>
      <c r="M320" s="185"/>
      <c r="N320" s="185" t="s">
        <v>2190</v>
      </c>
      <c r="O320" s="185" t="s">
        <v>2184</v>
      </c>
      <c r="P320" s="185"/>
      <c r="Q320" s="185" t="s">
        <v>2208</v>
      </c>
      <c r="R320" s="185" t="s">
        <v>2195</v>
      </c>
      <c r="S320" s="186">
        <v>44139</v>
      </c>
      <c r="T320" s="186">
        <v>44139</v>
      </c>
      <c r="U320" s="185" t="s">
        <v>1100</v>
      </c>
      <c r="V320" s="185">
        <v>1200</v>
      </c>
      <c r="W320" s="185">
        <v>14050</v>
      </c>
      <c r="X320" s="187">
        <v>12230.92</v>
      </c>
      <c r="Y320" s="185">
        <v>14056</v>
      </c>
      <c r="Z320" s="187">
        <v>3567.35</v>
      </c>
      <c r="AA320" s="187">
        <v>0</v>
      </c>
      <c r="AB320" s="187">
        <v>8663.57</v>
      </c>
      <c r="AC320" s="187">
        <v>339.76</v>
      </c>
      <c r="AD320" s="185">
        <v>54260</v>
      </c>
      <c r="AE320" s="187">
        <v>84.94</v>
      </c>
      <c r="AF320" s="187">
        <v>0</v>
      </c>
      <c r="AG320" s="187">
        <v>84.94</v>
      </c>
      <c r="AH320" s="185" t="s">
        <v>989</v>
      </c>
      <c r="AI320" s="185"/>
      <c r="AJ320" s="185"/>
      <c r="AK320" s="185" t="s">
        <v>45</v>
      </c>
      <c r="AL320" s="185" t="s">
        <v>2267</v>
      </c>
      <c r="AM320" s="185" t="s">
        <v>2269</v>
      </c>
      <c r="AN320" s="196"/>
      <c r="AO320" s="196"/>
      <c r="AP320" s="195"/>
      <c r="AQ320" s="194"/>
      <c r="AR320" s="193"/>
      <c r="AS320" s="192"/>
      <c r="AT320" s="192"/>
      <c r="AU320" s="192"/>
      <c r="AV320" s="192"/>
      <c r="AW320" s="191"/>
      <c r="AX320" s="190" t="s">
        <v>72</v>
      </c>
      <c r="AY320" s="184"/>
    </row>
    <row r="321" spans="2:51">
      <c r="B321" s="185">
        <v>2183</v>
      </c>
      <c r="C321" s="189">
        <v>243352</v>
      </c>
      <c r="D321" s="185" t="s">
        <v>989</v>
      </c>
      <c r="E321" s="185" t="s">
        <v>2003</v>
      </c>
      <c r="F321" s="185" t="s">
        <v>898</v>
      </c>
      <c r="G321" s="185"/>
      <c r="H321" s="185"/>
      <c r="I321" s="188">
        <v>15</v>
      </c>
      <c r="J321" s="185"/>
      <c r="K321" s="188">
        <v>0</v>
      </c>
      <c r="L321" s="185" t="s">
        <v>1018</v>
      </c>
      <c r="M321" s="185"/>
      <c r="N321" s="185" t="s">
        <v>2190</v>
      </c>
      <c r="O321" s="185" t="s">
        <v>2184</v>
      </c>
      <c r="P321" s="185"/>
      <c r="Q321" s="185" t="s">
        <v>2209</v>
      </c>
      <c r="R321" s="185" t="s">
        <v>2195</v>
      </c>
      <c r="S321" s="186">
        <v>44139</v>
      </c>
      <c r="T321" s="186">
        <v>44139</v>
      </c>
      <c r="U321" s="185" t="s">
        <v>1100</v>
      </c>
      <c r="V321" s="185">
        <v>1200</v>
      </c>
      <c r="W321" s="185">
        <v>14050</v>
      </c>
      <c r="X321" s="187">
        <v>7614.24</v>
      </c>
      <c r="Y321" s="185">
        <v>14056</v>
      </c>
      <c r="Z321" s="187">
        <v>2220.83</v>
      </c>
      <c r="AA321" s="187">
        <v>0</v>
      </c>
      <c r="AB321" s="187">
        <v>5393.41</v>
      </c>
      <c r="AC321" s="187">
        <v>211.52</v>
      </c>
      <c r="AD321" s="185">
        <v>54260</v>
      </c>
      <c r="AE321" s="187">
        <v>52.88</v>
      </c>
      <c r="AF321" s="187">
        <v>0</v>
      </c>
      <c r="AG321" s="187">
        <v>52.88</v>
      </c>
      <c r="AH321" s="185" t="s">
        <v>989</v>
      </c>
      <c r="AI321" s="185"/>
      <c r="AJ321" s="185"/>
      <c r="AK321" s="185" t="s">
        <v>45</v>
      </c>
      <c r="AL321" s="185" t="s">
        <v>2267</v>
      </c>
      <c r="AM321" s="185" t="s">
        <v>2269</v>
      </c>
      <c r="AN321" s="196"/>
      <c r="AO321" s="196"/>
      <c r="AP321" s="195"/>
      <c r="AQ321" s="194"/>
      <c r="AR321" s="193"/>
      <c r="AS321" s="192"/>
      <c r="AT321" s="192"/>
      <c r="AU321" s="192"/>
      <c r="AV321" s="192"/>
      <c r="AW321" s="191"/>
      <c r="AX321" s="190" t="s">
        <v>72</v>
      </c>
      <c r="AY321" s="184"/>
    </row>
    <row r="322" spans="2:51">
      <c r="B322" s="185">
        <v>2183</v>
      </c>
      <c r="C322" s="189">
        <v>243351</v>
      </c>
      <c r="D322" s="185" t="s">
        <v>989</v>
      </c>
      <c r="E322" s="185" t="s">
        <v>2003</v>
      </c>
      <c r="F322" s="185" t="s">
        <v>1101</v>
      </c>
      <c r="G322" s="185"/>
      <c r="H322" s="185"/>
      <c r="I322" s="188">
        <v>13</v>
      </c>
      <c r="J322" s="185"/>
      <c r="K322" s="188">
        <v>0</v>
      </c>
      <c r="L322" s="185" t="s">
        <v>1018</v>
      </c>
      <c r="M322" s="185"/>
      <c r="N322" s="185" t="s">
        <v>2190</v>
      </c>
      <c r="O322" s="185" t="s">
        <v>2184</v>
      </c>
      <c r="P322" s="185"/>
      <c r="Q322" s="185" t="s">
        <v>137</v>
      </c>
      <c r="R322" s="185" t="s">
        <v>2195</v>
      </c>
      <c r="S322" s="186">
        <v>44139</v>
      </c>
      <c r="T322" s="186">
        <v>44139</v>
      </c>
      <c r="U322" s="185" t="s">
        <v>1100</v>
      </c>
      <c r="V322" s="185">
        <v>1200</v>
      </c>
      <c r="W322" s="185">
        <v>14050</v>
      </c>
      <c r="X322" s="187">
        <v>10026.52</v>
      </c>
      <c r="Y322" s="185">
        <v>14056</v>
      </c>
      <c r="Z322" s="187">
        <v>2924.4</v>
      </c>
      <c r="AA322" s="187">
        <v>0</v>
      </c>
      <c r="AB322" s="187">
        <v>7102.1200000000008</v>
      </c>
      <c r="AC322" s="187">
        <v>278.52</v>
      </c>
      <c r="AD322" s="185">
        <v>54260</v>
      </c>
      <c r="AE322" s="187">
        <v>69.63</v>
      </c>
      <c r="AF322" s="187">
        <v>0</v>
      </c>
      <c r="AG322" s="187">
        <v>69.63</v>
      </c>
      <c r="AH322" s="185" t="s">
        <v>989</v>
      </c>
      <c r="AI322" s="185"/>
      <c r="AJ322" s="185"/>
      <c r="AK322" s="185" t="s">
        <v>45</v>
      </c>
      <c r="AL322" s="185" t="s">
        <v>2267</v>
      </c>
      <c r="AM322" s="185" t="s">
        <v>2269</v>
      </c>
      <c r="AN322" s="196"/>
      <c r="AO322" s="196"/>
      <c r="AP322" s="195"/>
      <c r="AQ322" s="194"/>
      <c r="AR322" s="193"/>
      <c r="AS322" s="192"/>
      <c r="AT322" s="192"/>
      <c r="AU322" s="192"/>
      <c r="AV322" s="192"/>
      <c r="AW322" s="191"/>
      <c r="AX322" s="190" t="s">
        <v>72</v>
      </c>
      <c r="AY322" s="184"/>
    </row>
    <row r="323" spans="2:51">
      <c r="B323" s="185">
        <v>2183</v>
      </c>
      <c r="C323" s="189">
        <v>243350</v>
      </c>
      <c r="D323" s="185" t="s">
        <v>989</v>
      </c>
      <c r="E323" s="185" t="s">
        <v>2003</v>
      </c>
      <c r="F323" s="185" t="s">
        <v>1102</v>
      </c>
      <c r="G323" s="185"/>
      <c r="H323" s="185"/>
      <c r="I323" s="188">
        <v>2</v>
      </c>
      <c r="J323" s="185"/>
      <c r="K323" s="188">
        <v>0</v>
      </c>
      <c r="L323" s="185" t="s">
        <v>1018</v>
      </c>
      <c r="M323" s="185"/>
      <c r="N323" s="185" t="s">
        <v>2190</v>
      </c>
      <c r="O323" s="185" t="s">
        <v>2184</v>
      </c>
      <c r="P323" s="185"/>
      <c r="Q323" s="185" t="s">
        <v>137</v>
      </c>
      <c r="R323" s="185" t="s">
        <v>2195</v>
      </c>
      <c r="S323" s="186">
        <v>44139</v>
      </c>
      <c r="T323" s="186">
        <v>44139</v>
      </c>
      <c r="U323" s="185" t="s">
        <v>1100</v>
      </c>
      <c r="V323" s="185">
        <v>1200</v>
      </c>
      <c r="W323" s="185">
        <v>14050</v>
      </c>
      <c r="X323" s="187">
        <v>1542.56</v>
      </c>
      <c r="Y323" s="185">
        <v>14056</v>
      </c>
      <c r="Z323" s="187">
        <v>449.92</v>
      </c>
      <c r="AA323" s="187">
        <v>0</v>
      </c>
      <c r="AB323" s="187">
        <v>1092.6399999999999</v>
      </c>
      <c r="AC323" s="187">
        <v>42.84</v>
      </c>
      <c r="AD323" s="185">
        <v>54260</v>
      </c>
      <c r="AE323" s="187">
        <v>10.71</v>
      </c>
      <c r="AF323" s="187">
        <v>0</v>
      </c>
      <c r="AG323" s="187">
        <v>10.71</v>
      </c>
      <c r="AH323" s="185" t="s">
        <v>989</v>
      </c>
      <c r="AI323" s="185"/>
      <c r="AJ323" s="185"/>
      <c r="AK323" s="185" t="s">
        <v>45</v>
      </c>
      <c r="AL323" s="185" t="s">
        <v>2267</v>
      </c>
      <c r="AM323" s="185" t="s">
        <v>2269</v>
      </c>
      <c r="AN323" s="196"/>
      <c r="AO323" s="196"/>
      <c r="AP323" s="195"/>
      <c r="AQ323" s="194"/>
      <c r="AR323" s="193"/>
      <c r="AS323" s="192"/>
      <c r="AT323" s="192"/>
      <c r="AU323" s="192"/>
      <c r="AV323" s="192"/>
      <c r="AW323" s="191"/>
      <c r="AX323" s="190" t="s">
        <v>72</v>
      </c>
      <c r="AY323" s="184"/>
    </row>
    <row r="324" spans="2:51">
      <c r="B324" s="185">
        <v>2183</v>
      </c>
      <c r="C324" s="189">
        <v>243349</v>
      </c>
      <c r="D324" s="185" t="s">
        <v>989</v>
      </c>
      <c r="E324" s="185" t="s">
        <v>2003</v>
      </c>
      <c r="F324" s="185" t="s">
        <v>895</v>
      </c>
      <c r="G324" s="185"/>
      <c r="H324" s="185"/>
      <c r="I324" s="188">
        <v>15</v>
      </c>
      <c r="J324" s="185"/>
      <c r="K324" s="188">
        <v>0</v>
      </c>
      <c r="L324" s="185" t="s">
        <v>1018</v>
      </c>
      <c r="M324" s="185"/>
      <c r="N324" s="185" t="s">
        <v>2190</v>
      </c>
      <c r="O324" s="185" t="s">
        <v>2184</v>
      </c>
      <c r="P324" s="185"/>
      <c r="Q324" s="185" t="s">
        <v>2214</v>
      </c>
      <c r="R324" s="185" t="s">
        <v>2195</v>
      </c>
      <c r="S324" s="186">
        <v>44139</v>
      </c>
      <c r="T324" s="186">
        <v>44139</v>
      </c>
      <c r="U324" s="185" t="s">
        <v>1100</v>
      </c>
      <c r="V324" s="185">
        <v>1200</v>
      </c>
      <c r="W324" s="185">
        <v>14050</v>
      </c>
      <c r="X324" s="187">
        <v>7072.71</v>
      </c>
      <c r="Y324" s="185">
        <v>14056</v>
      </c>
      <c r="Z324" s="187">
        <v>2062.88</v>
      </c>
      <c r="AA324" s="187">
        <v>0</v>
      </c>
      <c r="AB324" s="187">
        <v>5009.83</v>
      </c>
      <c r="AC324" s="187">
        <v>196.48</v>
      </c>
      <c r="AD324" s="185">
        <v>54260</v>
      </c>
      <c r="AE324" s="187">
        <v>49.12</v>
      </c>
      <c r="AF324" s="187">
        <v>0</v>
      </c>
      <c r="AG324" s="187">
        <v>49.12</v>
      </c>
      <c r="AH324" s="185" t="s">
        <v>989</v>
      </c>
      <c r="AI324" s="185"/>
      <c r="AJ324" s="185"/>
      <c r="AK324" s="185" t="s">
        <v>45</v>
      </c>
      <c r="AL324" s="185" t="s">
        <v>2267</v>
      </c>
      <c r="AM324" s="185" t="s">
        <v>2269</v>
      </c>
      <c r="AN324" s="196"/>
      <c r="AO324" s="196"/>
      <c r="AP324" s="195"/>
      <c r="AQ324" s="194"/>
      <c r="AR324" s="193"/>
      <c r="AS324" s="192"/>
      <c r="AT324" s="192"/>
      <c r="AU324" s="192"/>
      <c r="AV324" s="192"/>
      <c r="AW324" s="191"/>
      <c r="AX324" s="190" t="s">
        <v>72</v>
      </c>
      <c r="AY324" s="184"/>
    </row>
    <row r="325" spans="2:51">
      <c r="B325" s="185">
        <v>2183</v>
      </c>
      <c r="C325" s="189">
        <v>243348</v>
      </c>
      <c r="D325" s="185" t="s">
        <v>989</v>
      </c>
      <c r="E325" s="185" t="s">
        <v>2003</v>
      </c>
      <c r="F325" s="185" t="s">
        <v>894</v>
      </c>
      <c r="G325" s="185"/>
      <c r="H325" s="185"/>
      <c r="I325" s="188">
        <v>10</v>
      </c>
      <c r="J325" s="185"/>
      <c r="K325" s="188">
        <v>0</v>
      </c>
      <c r="L325" s="185" t="s">
        <v>1018</v>
      </c>
      <c r="M325" s="185"/>
      <c r="N325" s="185" t="s">
        <v>2190</v>
      </c>
      <c r="O325" s="185" t="s">
        <v>2184</v>
      </c>
      <c r="P325" s="185"/>
      <c r="Q325" s="185" t="s">
        <v>2208</v>
      </c>
      <c r="R325" s="185" t="s">
        <v>2195</v>
      </c>
      <c r="S325" s="186">
        <v>44139</v>
      </c>
      <c r="T325" s="186">
        <v>44139</v>
      </c>
      <c r="U325" s="185" t="s">
        <v>1100</v>
      </c>
      <c r="V325" s="185">
        <v>1200</v>
      </c>
      <c r="W325" s="185">
        <v>14050</v>
      </c>
      <c r="X325" s="187">
        <v>4638.5600000000004</v>
      </c>
      <c r="Y325" s="185">
        <v>14056</v>
      </c>
      <c r="Z325" s="187">
        <v>1352.92</v>
      </c>
      <c r="AA325" s="187">
        <v>0</v>
      </c>
      <c r="AB325" s="187">
        <v>3285.6400000000003</v>
      </c>
      <c r="AC325" s="187">
        <v>128.84</v>
      </c>
      <c r="AD325" s="185">
        <v>54260</v>
      </c>
      <c r="AE325" s="187">
        <v>32.21</v>
      </c>
      <c r="AF325" s="187">
        <v>0</v>
      </c>
      <c r="AG325" s="187">
        <v>32.21</v>
      </c>
      <c r="AH325" s="185" t="s">
        <v>989</v>
      </c>
      <c r="AI325" s="185"/>
      <c r="AJ325" s="185"/>
      <c r="AK325" s="185" t="s">
        <v>45</v>
      </c>
      <c r="AL325" s="185" t="s">
        <v>2267</v>
      </c>
      <c r="AM325" s="185" t="s">
        <v>2269</v>
      </c>
      <c r="AN325" s="196"/>
      <c r="AO325" s="196"/>
      <c r="AP325" s="195"/>
      <c r="AQ325" s="194"/>
      <c r="AR325" s="193"/>
      <c r="AS325" s="192"/>
      <c r="AT325" s="192"/>
      <c r="AU325" s="192"/>
      <c r="AV325" s="192"/>
      <c r="AW325" s="191"/>
      <c r="AX325" s="190" t="s">
        <v>72</v>
      </c>
      <c r="AY325" s="184"/>
    </row>
    <row r="326" spans="2:51">
      <c r="B326" s="185">
        <v>2183</v>
      </c>
      <c r="C326" s="189">
        <v>243347</v>
      </c>
      <c r="D326" s="185" t="s">
        <v>989</v>
      </c>
      <c r="E326" s="185" t="s">
        <v>2003</v>
      </c>
      <c r="F326" s="185" t="s">
        <v>893</v>
      </c>
      <c r="G326" s="185"/>
      <c r="H326" s="185"/>
      <c r="I326" s="188">
        <v>15</v>
      </c>
      <c r="J326" s="185"/>
      <c r="K326" s="188">
        <v>0</v>
      </c>
      <c r="L326" s="185" t="s">
        <v>1018</v>
      </c>
      <c r="M326" s="185"/>
      <c r="N326" s="185" t="s">
        <v>2190</v>
      </c>
      <c r="O326" s="185" t="s">
        <v>2184</v>
      </c>
      <c r="P326" s="185"/>
      <c r="Q326" s="185" t="s">
        <v>2209</v>
      </c>
      <c r="R326" s="185" t="s">
        <v>2195</v>
      </c>
      <c r="S326" s="186">
        <v>44139</v>
      </c>
      <c r="T326" s="186">
        <v>44139</v>
      </c>
      <c r="U326" s="185" t="s">
        <v>1100</v>
      </c>
      <c r="V326" s="185">
        <v>1200</v>
      </c>
      <c r="W326" s="185">
        <v>14050</v>
      </c>
      <c r="X326" s="187">
        <v>6252.21</v>
      </c>
      <c r="Y326" s="185">
        <v>14056</v>
      </c>
      <c r="Z326" s="187">
        <v>1823.58</v>
      </c>
      <c r="AA326" s="187">
        <v>0</v>
      </c>
      <c r="AB326" s="187">
        <v>4428.63</v>
      </c>
      <c r="AC326" s="187">
        <v>173.68</v>
      </c>
      <c r="AD326" s="185">
        <v>54260</v>
      </c>
      <c r="AE326" s="187">
        <v>43.42</v>
      </c>
      <c r="AF326" s="187">
        <v>0</v>
      </c>
      <c r="AG326" s="187">
        <v>43.42</v>
      </c>
      <c r="AH326" s="185" t="s">
        <v>989</v>
      </c>
      <c r="AI326" s="185"/>
      <c r="AJ326" s="185"/>
      <c r="AK326" s="185" t="s">
        <v>45</v>
      </c>
      <c r="AL326" s="185" t="s">
        <v>2267</v>
      </c>
      <c r="AM326" s="185" t="s">
        <v>2269</v>
      </c>
      <c r="AN326" s="196"/>
      <c r="AO326" s="196"/>
      <c r="AP326" s="195"/>
      <c r="AQ326" s="194"/>
      <c r="AR326" s="193"/>
      <c r="AS326" s="192"/>
      <c r="AT326" s="192"/>
      <c r="AU326" s="192"/>
      <c r="AV326" s="192"/>
      <c r="AW326" s="191"/>
      <c r="AX326" s="190" t="s">
        <v>72</v>
      </c>
      <c r="AY326" s="184"/>
    </row>
    <row r="327" spans="2:51">
      <c r="B327" s="185">
        <v>2183</v>
      </c>
      <c r="C327" s="189">
        <v>243346</v>
      </c>
      <c r="D327" s="185" t="s">
        <v>989</v>
      </c>
      <c r="E327" s="185" t="s">
        <v>2003</v>
      </c>
      <c r="F327" s="185" t="s">
        <v>892</v>
      </c>
      <c r="G327" s="185"/>
      <c r="H327" s="185"/>
      <c r="I327" s="188">
        <v>2</v>
      </c>
      <c r="J327" s="185"/>
      <c r="K327" s="188">
        <v>0</v>
      </c>
      <c r="L327" s="185" t="s">
        <v>1018</v>
      </c>
      <c r="M327" s="185"/>
      <c r="N327" s="185" t="s">
        <v>2190</v>
      </c>
      <c r="O327" s="185" t="s">
        <v>2184</v>
      </c>
      <c r="P327" s="185"/>
      <c r="Q327" s="185" t="s">
        <v>2194</v>
      </c>
      <c r="R327" s="185" t="s">
        <v>2195</v>
      </c>
      <c r="S327" s="186">
        <v>44139</v>
      </c>
      <c r="T327" s="186">
        <v>44139</v>
      </c>
      <c r="U327" s="185" t="s">
        <v>1100</v>
      </c>
      <c r="V327" s="185">
        <v>1200</v>
      </c>
      <c r="W327" s="185">
        <v>14050</v>
      </c>
      <c r="X327" s="187">
        <v>1525.04</v>
      </c>
      <c r="Y327" s="185">
        <v>14056</v>
      </c>
      <c r="Z327" s="187">
        <v>444.81</v>
      </c>
      <c r="AA327" s="187">
        <v>0</v>
      </c>
      <c r="AB327" s="187">
        <v>1080.23</v>
      </c>
      <c r="AC327" s="187">
        <v>42.36</v>
      </c>
      <c r="AD327" s="185">
        <v>54260</v>
      </c>
      <c r="AE327" s="187">
        <v>10.59</v>
      </c>
      <c r="AF327" s="187">
        <v>0</v>
      </c>
      <c r="AG327" s="187">
        <v>10.59</v>
      </c>
      <c r="AH327" s="185" t="s">
        <v>989</v>
      </c>
      <c r="AI327" s="185"/>
      <c r="AJ327" s="185"/>
      <c r="AK327" s="185" t="s">
        <v>45</v>
      </c>
      <c r="AL327" s="185" t="s">
        <v>2267</v>
      </c>
      <c r="AM327" s="185" t="s">
        <v>2269</v>
      </c>
      <c r="AN327" s="196"/>
      <c r="AO327" s="196"/>
      <c r="AP327" s="195"/>
      <c r="AQ327" s="194"/>
      <c r="AR327" s="193"/>
      <c r="AS327" s="192"/>
      <c r="AT327" s="192"/>
      <c r="AU327" s="192"/>
      <c r="AV327" s="192"/>
      <c r="AW327" s="191"/>
      <c r="AX327" s="190" t="s">
        <v>72</v>
      </c>
      <c r="AY327" s="184"/>
    </row>
    <row r="328" spans="2:51">
      <c r="B328" s="185">
        <v>2183</v>
      </c>
      <c r="C328" s="189">
        <v>243345</v>
      </c>
      <c r="D328" s="185" t="s">
        <v>989</v>
      </c>
      <c r="E328" s="185" t="s">
        <v>2003</v>
      </c>
      <c r="F328" s="185" t="s">
        <v>891</v>
      </c>
      <c r="G328" s="185"/>
      <c r="H328" s="185"/>
      <c r="I328" s="188">
        <v>15</v>
      </c>
      <c r="J328" s="185"/>
      <c r="K328" s="188">
        <v>0</v>
      </c>
      <c r="L328" s="185" t="s">
        <v>1018</v>
      </c>
      <c r="M328" s="185"/>
      <c r="N328" s="185" t="s">
        <v>2190</v>
      </c>
      <c r="O328" s="185" t="s">
        <v>2184</v>
      </c>
      <c r="P328" s="185"/>
      <c r="Q328" s="185" t="s">
        <v>2203</v>
      </c>
      <c r="R328" s="185" t="s">
        <v>2195</v>
      </c>
      <c r="S328" s="186">
        <v>44139</v>
      </c>
      <c r="T328" s="186">
        <v>44139</v>
      </c>
      <c r="U328" s="185" t="s">
        <v>1100</v>
      </c>
      <c r="V328" s="185">
        <v>1200</v>
      </c>
      <c r="W328" s="185">
        <v>14050</v>
      </c>
      <c r="X328" s="187">
        <v>7876.8</v>
      </c>
      <c r="Y328" s="185">
        <v>14056</v>
      </c>
      <c r="Z328" s="187">
        <v>2297.4</v>
      </c>
      <c r="AA328" s="187">
        <v>0</v>
      </c>
      <c r="AB328" s="187">
        <v>5579.4</v>
      </c>
      <c r="AC328" s="187">
        <v>218.8</v>
      </c>
      <c r="AD328" s="185">
        <v>54260</v>
      </c>
      <c r="AE328" s="187">
        <v>54.7</v>
      </c>
      <c r="AF328" s="187">
        <v>0</v>
      </c>
      <c r="AG328" s="187">
        <v>54.7</v>
      </c>
      <c r="AH328" s="185" t="s">
        <v>989</v>
      </c>
      <c r="AI328" s="185"/>
      <c r="AJ328" s="185"/>
      <c r="AK328" s="185" t="s">
        <v>45</v>
      </c>
      <c r="AL328" s="185" t="s">
        <v>2267</v>
      </c>
      <c r="AM328" s="185" t="s">
        <v>2269</v>
      </c>
      <c r="AN328" s="196"/>
      <c r="AO328" s="196"/>
      <c r="AP328" s="195"/>
      <c r="AQ328" s="194"/>
      <c r="AR328" s="193"/>
      <c r="AS328" s="192"/>
      <c r="AT328" s="192"/>
      <c r="AU328" s="192"/>
      <c r="AV328" s="192"/>
      <c r="AW328" s="191"/>
      <c r="AX328" s="190" t="s">
        <v>72</v>
      </c>
      <c r="AY328" s="184"/>
    </row>
    <row r="329" spans="2:51">
      <c r="B329" s="185">
        <v>2183</v>
      </c>
      <c r="C329" s="189">
        <v>242995</v>
      </c>
      <c r="D329" s="185" t="s">
        <v>989</v>
      </c>
      <c r="E329" s="185" t="s">
        <v>2003</v>
      </c>
      <c r="F329" s="185" t="s">
        <v>890</v>
      </c>
      <c r="G329" s="185"/>
      <c r="H329" s="185"/>
      <c r="I329" s="188">
        <v>13</v>
      </c>
      <c r="J329" s="185"/>
      <c r="K329" s="188">
        <v>0</v>
      </c>
      <c r="L329" s="185" t="s">
        <v>1018</v>
      </c>
      <c r="M329" s="185"/>
      <c r="N329" s="185" t="s">
        <v>2190</v>
      </c>
      <c r="O329" s="185" t="s">
        <v>2184</v>
      </c>
      <c r="P329" s="185"/>
      <c r="Q329" s="185" t="s">
        <v>2194</v>
      </c>
      <c r="R329" s="185" t="s">
        <v>2195</v>
      </c>
      <c r="S329" s="186">
        <v>44139</v>
      </c>
      <c r="T329" s="186">
        <v>44139</v>
      </c>
      <c r="U329" s="185" t="s">
        <v>1100</v>
      </c>
      <c r="V329" s="185">
        <v>1200</v>
      </c>
      <c r="W329" s="185">
        <v>14050</v>
      </c>
      <c r="X329" s="187">
        <v>9912.74</v>
      </c>
      <c r="Y329" s="185">
        <v>14056</v>
      </c>
      <c r="Z329" s="187">
        <v>2891.22</v>
      </c>
      <c r="AA329" s="187">
        <v>0</v>
      </c>
      <c r="AB329" s="187">
        <v>7021.52</v>
      </c>
      <c r="AC329" s="187">
        <v>275.36</v>
      </c>
      <c r="AD329" s="185">
        <v>54260</v>
      </c>
      <c r="AE329" s="187">
        <v>68.84</v>
      </c>
      <c r="AF329" s="187">
        <v>0</v>
      </c>
      <c r="AG329" s="187">
        <v>68.84</v>
      </c>
      <c r="AH329" s="185" t="s">
        <v>989</v>
      </c>
      <c r="AI329" s="185"/>
      <c r="AJ329" s="185"/>
      <c r="AK329" s="185" t="s">
        <v>45</v>
      </c>
      <c r="AL329" s="185" t="s">
        <v>2267</v>
      </c>
      <c r="AM329" s="185" t="s">
        <v>2269</v>
      </c>
      <c r="AN329" s="196"/>
      <c r="AO329" s="196"/>
      <c r="AP329" s="195"/>
      <c r="AQ329" s="194"/>
      <c r="AR329" s="193"/>
      <c r="AS329" s="192"/>
      <c r="AT329" s="192"/>
      <c r="AU329" s="192"/>
      <c r="AV329" s="192"/>
      <c r="AW329" s="191"/>
      <c r="AX329" s="190" t="s">
        <v>72</v>
      </c>
      <c r="AY329" s="184"/>
    </row>
    <row r="330" spans="2:51">
      <c r="B330" s="185">
        <v>2183</v>
      </c>
      <c r="C330" s="189">
        <v>242814</v>
      </c>
      <c r="D330" s="185" t="s">
        <v>989</v>
      </c>
      <c r="E330" s="185" t="s">
        <v>2003</v>
      </c>
      <c r="F330" s="185" t="s">
        <v>889</v>
      </c>
      <c r="G330" s="185"/>
      <c r="H330" s="185"/>
      <c r="I330" s="188">
        <v>1</v>
      </c>
      <c r="J330" s="185" t="s">
        <v>1103</v>
      </c>
      <c r="K330" s="188">
        <v>2021</v>
      </c>
      <c r="L330" s="185" t="s">
        <v>1097</v>
      </c>
      <c r="M330" s="185" t="s">
        <v>1104</v>
      </c>
      <c r="N330" s="185" t="s">
        <v>2183</v>
      </c>
      <c r="O330" s="185" t="s">
        <v>2184</v>
      </c>
      <c r="P330" s="185" t="s">
        <v>1105</v>
      </c>
      <c r="Q330" s="185"/>
      <c r="R330" s="185"/>
      <c r="S330" s="186">
        <v>44136</v>
      </c>
      <c r="T330" s="186">
        <v>44136</v>
      </c>
      <c r="U330" s="185" t="s">
        <v>1106</v>
      </c>
      <c r="V330" s="185">
        <v>1000</v>
      </c>
      <c r="W330" s="185">
        <v>14040</v>
      </c>
      <c r="X330" s="187">
        <v>247824.64000000001</v>
      </c>
      <c r="Y330" s="185">
        <v>14046</v>
      </c>
      <c r="Z330" s="187">
        <v>86738.6</v>
      </c>
      <c r="AA330" s="187">
        <v>0</v>
      </c>
      <c r="AB330" s="187">
        <v>161086.04</v>
      </c>
      <c r="AC330" s="187">
        <v>8260.84</v>
      </c>
      <c r="AD330" s="185">
        <v>51260</v>
      </c>
      <c r="AE330" s="187">
        <v>2065.21</v>
      </c>
      <c r="AF330" s="187">
        <v>0</v>
      </c>
      <c r="AG330" s="187">
        <v>2065.21</v>
      </c>
      <c r="AH330" s="185" t="s">
        <v>989</v>
      </c>
      <c r="AI330" s="185"/>
      <c r="AJ330" s="185">
        <v>5051</v>
      </c>
      <c r="AK330" s="185" t="s">
        <v>45</v>
      </c>
      <c r="AL330" s="185" t="s">
        <v>2267</v>
      </c>
      <c r="AM330" s="185" t="s">
        <v>2269</v>
      </c>
      <c r="AN330" s="196"/>
      <c r="AO330" s="196"/>
      <c r="AP330" s="195"/>
      <c r="AQ330" s="194"/>
      <c r="AR330" s="193"/>
      <c r="AS330" s="192"/>
      <c r="AT330" s="192"/>
      <c r="AU330" s="192"/>
      <c r="AV330" s="192"/>
      <c r="AW330" s="191"/>
      <c r="AX330" s="190" t="s">
        <v>72</v>
      </c>
      <c r="AY330" s="184"/>
    </row>
    <row r="331" spans="2:51" hidden="1">
      <c r="B331" s="185">
        <v>2183</v>
      </c>
      <c r="C331" s="189">
        <v>242699</v>
      </c>
      <c r="D331" s="185">
        <v>241234</v>
      </c>
      <c r="E331" s="185" t="s">
        <v>2003</v>
      </c>
      <c r="F331" s="185" t="s">
        <v>888</v>
      </c>
      <c r="G331" s="185"/>
      <c r="H331" s="185"/>
      <c r="I331" s="188">
        <v>1</v>
      </c>
      <c r="J331" s="185"/>
      <c r="K331" s="188">
        <v>0</v>
      </c>
      <c r="L331" s="185" t="s">
        <v>1037</v>
      </c>
      <c r="M331" s="185"/>
      <c r="N331" s="185" t="s">
        <v>2183</v>
      </c>
      <c r="O331" s="185" t="s">
        <v>2184</v>
      </c>
      <c r="P331" s="185" t="s">
        <v>1028</v>
      </c>
      <c r="Q331" s="185"/>
      <c r="R331" s="185"/>
      <c r="S331" s="186">
        <v>44152</v>
      </c>
      <c r="T331" s="186">
        <v>44152</v>
      </c>
      <c r="U331" s="185" t="s">
        <v>1107</v>
      </c>
      <c r="V331" s="185">
        <v>500</v>
      </c>
      <c r="W331" s="185">
        <v>14040</v>
      </c>
      <c r="X331" s="187">
        <v>667.34</v>
      </c>
      <c r="Y331" s="185">
        <v>14046</v>
      </c>
      <c r="Z331" s="187">
        <v>456.01</v>
      </c>
      <c r="AA331" s="187">
        <v>0</v>
      </c>
      <c r="AB331" s="187">
        <v>211.33000000000004</v>
      </c>
      <c r="AC331" s="187">
        <v>44.48</v>
      </c>
      <c r="AD331" s="185">
        <v>51260</v>
      </c>
      <c r="AE331" s="187">
        <v>11.12</v>
      </c>
      <c r="AF331" s="187">
        <v>0</v>
      </c>
      <c r="AG331" s="187">
        <v>11.12</v>
      </c>
      <c r="AH331" s="185" t="s">
        <v>989</v>
      </c>
      <c r="AI331" s="185"/>
      <c r="AJ331" s="185"/>
      <c r="AK331" s="185" t="s">
        <v>45</v>
      </c>
      <c r="AL331" s="185" t="s">
        <v>2267</v>
      </c>
      <c r="AM331" s="185" t="s">
        <v>2269</v>
      </c>
      <c r="AN331" s="196"/>
      <c r="AO331" s="196"/>
      <c r="AP331" s="195"/>
      <c r="AQ331" s="194"/>
      <c r="AR331" s="193"/>
      <c r="AS331" s="192"/>
      <c r="AT331" s="192"/>
      <c r="AU331" s="192"/>
      <c r="AV331" s="192"/>
      <c r="AW331" s="191"/>
      <c r="AX331" s="190" t="s">
        <v>72</v>
      </c>
      <c r="AY331" s="184"/>
    </row>
    <row r="332" spans="2:51" hidden="1">
      <c r="B332" s="185">
        <v>2183</v>
      </c>
      <c r="C332" s="189">
        <v>242536</v>
      </c>
      <c r="D332" s="185">
        <v>241234</v>
      </c>
      <c r="E332" s="185" t="s">
        <v>2003</v>
      </c>
      <c r="F332" s="185" t="s">
        <v>886</v>
      </c>
      <c r="G332" s="185"/>
      <c r="H332" s="185"/>
      <c r="I332" s="188">
        <v>1</v>
      </c>
      <c r="J332" s="185"/>
      <c r="K332" s="188">
        <v>0</v>
      </c>
      <c r="L332" s="185" t="s">
        <v>1093</v>
      </c>
      <c r="M332" s="185"/>
      <c r="N332" s="185" t="s">
        <v>2183</v>
      </c>
      <c r="O332" s="185" t="s">
        <v>2184</v>
      </c>
      <c r="P332" s="185" t="s">
        <v>1028</v>
      </c>
      <c r="Q332" s="185"/>
      <c r="R332" s="185"/>
      <c r="S332" s="186">
        <v>44152</v>
      </c>
      <c r="T332" s="186">
        <v>44152</v>
      </c>
      <c r="U332" s="185" t="s">
        <v>1107</v>
      </c>
      <c r="V332" s="185">
        <v>500</v>
      </c>
      <c r="W332" s="185">
        <v>14040</v>
      </c>
      <c r="X332" s="187">
        <v>584.21</v>
      </c>
      <c r="Y332" s="185">
        <v>14046</v>
      </c>
      <c r="Z332" s="187">
        <v>399.22</v>
      </c>
      <c r="AA332" s="187">
        <v>0</v>
      </c>
      <c r="AB332" s="187">
        <v>184.99</v>
      </c>
      <c r="AC332" s="187">
        <v>38.96</v>
      </c>
      <c r="AD332" s="185">
        <v>51260</v>
      </c>
      <c r="AE332" s="187">
        <v>9.74</v>
      </c>
      <c r="AF332" s="187">
        <v>0</v>
      </c>
      <c r="AG332" s="187">
        <v>9.74</v>
      </c>
      <c r="AH332" s="185" t="s">
        <v>989</v>
      </c>
      <c r="AI332" s="185"/>
      <c r="AJ332" s="185"/>
      <c r="AK332" s="185" t="s">
        <v>45</v>
      </c>
      <c r="AL332" s="185" t="s">
        <v>2267</v>
      </c>
      <c r="AM332" s="185" t="s">
        <v>2269</v>
      </c>
      <c r="AN332" s="196"/>
      <c r="AO332" s="196"/>
      <c r="AP332" s="195"/>
      <c r="AQ332" s="194"/>
      <c r="AR332" s="193"/>
      <c r="AS332" s="192"/>
      <c r="AT332" s="192"/>
      <c r="AU332" s="192"/>
      <c r="AV332" s="192"/>
      <c r="AW332" s="191"/>
      <c r="AX332" s="190" t="s">
        <v>72</v>
      </c>
      <c r="AY332" s="184"/>
    </row>
    <row r="333" spans="2:51" hidden="1">
      <c r="B333" s="185">
        <v>2183</v>
      </c>
      <c r="C333" s="189">
        <v>242363</v>
      </c>
      <c r="D333" s="185">
        <v>241234</v>
      </c>
      <c r="E333" s="185" t="s">
        <v>2003</v>
      </c>
      <c r="F333" s="185" t="s">
        <v>884</v>
      </c>
      <c r="G333" s="185"/>
      <c r="H333" s="185"/>
      <c r="I333" s="188">
        <v>1</v>
      </c>
      <c r="J333" s="185"/>
      <c r="K333" s="188">
        <v>0</v>
      </c>
      <c r="L333" s="185" t="s">
        <v>1027</v>
      </c>
      <c r="M333" s="185"/>
      <c r="N333" s="185" t="s">
        <v>2183</v>
      </c>
      <c r="O333" s="185" t="s">
        <v>2184</v>
      </c>
      <c r="P333" s="185" t="s">
        <v>1028</v>
      </c>
      <c r="Q333" s="185"/>
      <c r="R333" s="185"/>
      <c r="S333" s="186">
        <v>44152</v>
      </c>
      <c r="T333" s="186">
        <v>44152</v>
      </c>
      <c r="U333" s="185" t="s">
        <v>1107</v>
      </c>
      <c r="V333" s="185">
        <v>1000</v>
      </c>
      <c r="W333" s="185">
        <v>14040</v>
      </c>
      <c r="X333" s="187">
        <v>957.25</v>
      </c>
      <c r="Y333" s="185">
        <v>14046</v>
      </c>
      <c r="Z333" s="187">
        <v>327.08999999999997</v>
      </c>
      <c r="AA333" s="187">
        <v>0</v>
      </c>
      <c r="AB333" s="187">
        <v>630.16000000000008</v>
      </c>
      <c r="AC333" s="187">
        <v>31.92</v>
      </c>
      <c r="AD333" s="185">
        <v>51260</v>
      </c>
      <c r="AE333" s="187">
        <v>7.98</v>
      </c>
      <c r="AF333" s="187">
        <v>0</v>
      </c>
      <c r="AG333" s="187">
        <v>7.98</v>
      </c>
      <c r="AH333" s="185" t="s">
        <v>989</v>
      </c>
      <c r="AI333" s="185"/>
      <c r="AJ333" s="185"/>
      <c r="AK333" s="185" t="s">
        <v>45</v>
      </c>
      <c r="AL333" s="185" t="s">
        <v>2267</v>
      </c>
      <c r="AM333" s="185" t="s">
        <v>2269</v>
      </c>
      <c r="AN333" s="196"/>
      <c r="AO333" s="196"/>
      <c r="AP333" s="195"/>
      <c r="AQ333" s="194"/>
      <c r="AR333" s="193"/>
      <c r="AS333" s="192"/>
      <c r="AT333" s="192"/>
      <c r="AU333" s="192"/>
      <c r="AV333" s="192"/>
      <c r="AW333" s="191"/>
      <c r="AX333" s="190" t="s">
        <v>72</v>
      </c>
      <c r="AY333" s="184"/>
    </row>
    <row r="334" spans="2:51">
      <c r="B334" s="185">
        <v>2183</v>
      </c>
      <c r="C334" s="189">
        <v>241480</v>
      </c>
      <c r="D334" s="185" t="s">
        <v>989</v>
      </c>
      <c r="E334" s="185" t="s">
        <v>2003</v>
      </c>
      <c r="F334" s="185" t="s">
        <v>881</v>
      </c>
      <c r="G334" s="185"/>
      <c r="H334" s="185"/>
      <c r="I334" s="188">
        <v>702</v>
      </c>
      <c r="J334" s="185"/>
      <c r="K334" s="188">
        <v>0</v>
      </c>
      <c r="L334" s="185" t="s">
        <v>1001</v>
      </c>
      <c r="M334" s="185"/>
      <c r="N334" s="185" t="s">
        <v>2190</v>
      </c>
      <c r="O334" s="185" t="s">
        <v>2184</v>
      </c>
      <c r="P334" s="185"/>
      <c r="Q334" s="185"/>
      <c r="R334" s="185"/>
      <c r="S334" s="186">
        <v>44148</v>
      </c>
      <c r="T334" s="186">
        <v>44148</v>
      </c>
      <c r="U334" s="185" t="s">
        <v>1108</v>
      </c>
      <c r="V334" s="185">
        <v>700</v>
      </c>
      <c r="W334" s="185">
        <v>14050</v>
      </c>
      <c r="X334" s="187">
        <v>31902.22</v>
      </c>
      <c r="Y334" s="185">
        <v>14056</v>
      </c>
      <c r="Z334" s="187">
        <v>15951.12</v>
      </c>
      <c r="AA334" s="187">
        <v>0</v>
      </c>
      <c r="AB334" s="187">
        <v>15951.1</v>
      </c>
      <c r="AC334" s="187">
        <v>1519.16</v>
      </c>
      <c r="AD334" s="185">
        <v>54260</v>
      </c>
      <c r="AE334" s="187">
        <v>379.79</v>
      </c>
      <c r="AF334" s="187">
        <v>0</v>
      </c>
      <c r="AG334" s="187">
        <v>379.79</v>
      </c>
      <c r="AH334" s="185" t="s">
        <v>989</v>
      </c>
      <c r="AI334" s="185"/>
      <c r="AJ334" s="185"/>
      <c r="AK334" s="185" t="s">
        <v>45</v>
      </c>
      <c r="AL334" s="185" t="s">
        <v>2267</v>
      </c>
      <c r="AM334" s="185" t="s">
        <v>2269</v>
      </c>
      <c r="AN334" s="196"/>
      <c r="AO334" s="196"/>
      <c r="AP334" s="195"/>
      <c r="AQ334" s="194"/>
      <c r="AR334" s="193"/>
      <c r="AS334" s="192"/>
      <c r="AT334" s="192"/>
      <c r="AU334" s="192"/>
      <c r="AV334" s="192"/>
      <c r="AW334" s="191"/>
      <c r="AX334" s="190" t="s">
        <v>72</v>
      </c>
      <c r="AY334" s="184"/>
    </row>
    <row r="335" spans="2:51">
      <c r="B335" s="185">
        <v>2183</v>
      </c>
      <c r="C335" s="189">
        <v>241479</v>
      </c>
      <c r="D335" s="185" t="s">
        <v>989</v>
      </c>
      <c r="E335" s="185" t="s">
        <v>2003</v>
      </c>
      <c r="F335" s="185" t="s">
        <v>880</v>
      </c>
      <c r="G335" s="185"/>
      <c r="H335" s="185"/>
      <c r="I335" s="188">
        <v>702</v>
      </c>
      <c r="J335" s="185"/>
      <c r="K335" s="188">
        <v>0</v>
      </c>
      <c r="L335" s="185" t="s">
        <v>1001</v>
      </c>
      <c r="M335" s="185"/>
      <c r="N335" s="185" t="s">
        <v>2190</v>
      </c>
      <c r="O335" s="185" t="s">
        <v>2184</v>
      </c>
      <c r="P335" s="185"/>
      <c r="Q335" s="185"/>
      <c r="R335" s="185"/>
      <c r="S335" s="186">
        <v>44148</v>
      </c>
      <c r="T335" s="186">
        <v>44148</v>
      </c>
      <c r="U335" s="185" t="s">
        <v>1108</v>
      </c>
      <c r="V335" s="185">
        <v>700</v>
      </c>
      <c r="W335" s="185">
        <v>14050</v>
      </c>
      <c r="X335" s="187">
        <v>31902.22</v>
      </c>
      <c r="Y335" s="185">
        <v>14056</v>
      </c>
      <c r="Z335" s="187">
        <v>15951.12</v>
      </c>
      <c r="AA335" s="187">
        <v>0</v>
      </c>
      <c r="AB335" s="187">
        <v>15951.1</v>
      </c>
      <c r="AC335" s="187">
        <v>1519.16</v>
      </c>
      <c r="AD335" s="185">
        <v>54260</v>
      </c>
      <c r="AE335" s="187">
        <v>379.79</v>
      </c>
      <c r="AF335" s="187">
        <v>0</v>
      </c>
      <c r="AG335" s="187">
        <v>379.79</v>
      </c>
      <c r="AH335" s="185" t="s">
        <v>989</v>
      </c>
      <c r="AI335" s="185"/>
      <c r="AJ335" s="185"/>
      <c r="AK335" s="185" t="s">
        <v>45</v>
      </c>
      <c r="AL335" s="185" t="s">
        <v>2267</v>
      </c>
      <c r="AM335" s="185" t="s">
        <v>2269</v>
      </c>
      <c r="AN335" s="196"/>
      <c r="AO335" s="196"/>
      <c r="AP335" s="195"/>
      <c r="AQ335" s="194"/>
      <c r="AR335" s="193"/>
      <c r="AS335" s="192"/>
      <c r="AT335" s="192"/>
      <c r="AU335" s="192"/>
      <c r="AV335" s="192"/>
      <c r="AW335" s="191"/>
      <c r="AX335" s="190" t="s">
        <v>72</v>
      </c>
      <c r="AY335" s="184"/>
    </row>
    <row r="336" spans="2:51">
      <c r="B336" s="185">
        <v>2183</v>
      </c>
      <c r="C336" s="189">
        <v>241478</v>
      </c>
      <c r="D336" s="185" t="s">
        <v>989</v>
      </c>
      <c r="E336" s="185" t="s">
        <v>2003</v>
      </c>
      <c r="F336" s="185" t="s">
        <v>908</v>
      </c>
      <c r="G336" s="185"/>
      <c r="H336" s="185"/>
      <c r="I336" s="188">
        <v>972</v>
      </c>
      <c r="J336" s="185"/>
      <c r="K336" s="188">
        <v>0</v>
      </c>
      <c r="L336" s="185" t="s">
        <v>1001</v>
      </c>
      <c r="M336" s="185"/>
      <c r="N336" s="185" t="s">
        <v>2190</v>
      </c>
      <c r="O336" s="185" t="s">
        <v>2184</v>
      </c>
      <c r="P336" s="185"/>
      <c r="Q336" s="185"/>
      <c r="R336" s="185"/>
      <c r="S336" s="186">
        <v>44148</v>
      </c>
      <c r="T336" s="186">
        <v>44148</v>
      </c>
      <c r="U336" s="185" t="s">
        <v>1108</v>
      </c>
      <c r="V336" s="185">
        <v>700</v>
      </c>
      <c r="W336" s="185">
        <v>14050</v>
      </c>
      <c r="X336" s="187">
        <v>38855.47</v>
      </c>
      <c r="Y336" s="185">
        <v>14056</v>
      </c>
      <c r="Z336" s="187">
        <v>19427.75</v>
      </c>
      <c r="AA336" s="187">
        <v>0</v>
      </c>
      <c r="AB336" s="187">
        <v>19427.72</v>
      </c>
      <c r="AC336" s="187">
        <v>1850.28</v>
      </c>
      <c r="AD336" s="185">
        <v>54260</v>
      </c>
      <c r="AE336" s="187">
        <v>462.57</v>
      </c>
      <c r="AF336" s="187">
        <v>0</v>
      </c>
      <c r="AG336" s="187">
        <v>462.57</v>
      </c>
      <c r="AH336" s="185" t="s">
        <v>989</v>
      </c>
      <c r="AI336" s="185"/>
      <c r="AJ336" s="185"/>
      <c r="AK336" s="185" t="s">
        <v>45</v>
      </c>
      <c r="AL336" s="185" t="s">
        <v>2267</v>
      </c>
      <c r="AM336" s="185" t="s">
        <v>2269</v>
      </c>
      <c r="AN336" s="196"/>
      <c r="AO336" s="196"/>
      <c r="AP336" s="195"/>
      <c r="AQ336" s="194"/>
      <c r="AR336" s="193"/>
      <c r="AS336" s="192"/>
      <c r="AT336" s="192"/>
      <c r="AU336" s="192"/>
      <c r="AV336" s="192"/>
      <c r="AW336" s="191"/>
      <c r="AX336" s="190" t="s">
        <v>72</v>
      </c>
      <c r="AY336" s="184"/>
    </row>
    <row r="337" spans="2:51">
      <c r="B337" s="185">
        <v>2183</v>
      </c>
      <c r="C337" s="189">
        <v>241477</v>
      </c>
      <c r="D337" s="185" t="s">
        <v>989</v>
      </c>
      <c r="E337" s="185" t="s">
        <v>2003</v>
      </c>
      <c r="F337" s="185" t="s">
        <v>879</v>
      </c>
      <c r="G337" s="185"/>
      <c r="H337" s="185"/>
      <c r="I337" s="188">
        <v>702</v>
      </c>
      <c r="J337" s="185"/>
      <c r="K337" s="188">
        <v>0</v>
      </c>
      <c r="L337" s="185" t="s">
        <v>1001</v>
      </c>
      <c r="M337" s="185"/>
      <c r="N337" s="185" t="s">
        <v>2190</v>
      </c>
      <c r="O337" s="185" t="s">
        <v>2184</v>
      </c>
      <c r="P337" s="185"/>
      <c r="Q337" s="185"/>
      <c r="R337" s="185"/>
      <c r="S337" s="186">
        <v>44148</v>
      </c>
      <c r="T337" s="186">
        <v>44148</v>
      </c>
      <c r="U337" s="185" t="s">
        <v>1108</v>
      </c>
      <c r="V337" s="185">
        <v>700</v>
      </c>
      <c r="W337" s="185">
        <v>14050</v>
      </c>
      <c r="X337" s="187">
        <v>31902.22</v>
      </c>
      <c r="Y337" s="185">
        <v>14056</v>
      </c>
      <c r="Z337" s="187">
        <v>15951.12</v>
      </c>
      <c r="AA337" s="187">
        <v>0</v>
      </c>
      <c r="AB337" s="187">
        <v>15951.1</v>
      </c>
      <c r="AC337" s="187">
        <v>1519.16</v>
      </c>
      <c r="AD337" s="185">
        <v>54260</v>
      </c>
      <c r="AE337" s="187">
        <v>379.79</v>
      </c>
      <c r="AF337" s="187">
        <v>0</v>
      </c>
      <c r="AG337" s="187">
        <v>379.79</v>
      </c>
      <c r="AH337" s="185" t="s">
        <v>989</v>
      </c>
      <c r="AI337" s="185"/>
      <c r="AJ337" s="185"/>
      <c r="AK337" s="185" t="s">
        <v>45</v>
      </c>
      <c r="AL337" s="185" t="s">
        <v>2267</v>
      </c>
      <c r="AM337" s="185" t="s">
        <v>2269</v>
      </c>
      <c r="AN337" s="196"/>
      <c r="AO337" s="196"/>
      <c r="AP337" s="195"/>
      <c r="AQ337" s="194"/>
      <c r="AR337" s="193"/>
      <c r="AS337" s="192"/>
      <c r="AT337" s="192"/>
      <c r="AU337" s="192"/>
      <c r="AV337" s="192"/>
      <c r="AW337" s="191"/>
      <c r="AX337" s="190" t="s">
        <v>72</v>
      </c>
      <c r="AY337" s="184"/>
    </row>
    <row r="338" spans="2:51">
      <c r="B338" s="185">
        <v>2183</v>
      </c>
      <c r="C338" s="189">
        <v>241476</v>
      </c>
      <c r="D338" s="185" t="s">
        <v>989</v>
      </c>
      <c r="E338" s="185" t="s">
        <v>2003</v>
      </c>
      <c r="F338" s="185" t="s">
        <v>878</v>
      </c>
      <c r="G338" s="185"/>
      <c r="H338" s="185"/>
      <c r="I338" s="188">
        <v>540</v>
      </c>
      <c r="J338" s="185"/>
      <c r="K338" s="188">
        <v>0</v>
      </c>
      <c r="L338" s="185" t="s">
        <v>1001</v>
      </c>
      <c r="M338" s="185"/>
      <c r="N338" s="185" t="s">
        <v>2190</v>
      </c>
      <c r="O338" s="185" t="s">
        <v>2184</v>
      </c>
      <c r="P338" s="185"/>
      <c r="Q338" s="185"/>
      <c r="R338" s="185"/>
      <c r="S338" s="186">
        <v>44148</v>
      </c>
      <c r="T338" s="186">
        <v>44148</v>
      </c>
      <c r="U338" s="185" t="s">
        <v>1108</v>
      </c>
      <c r="V338" s="185">
        <v>700</v>
      </c>
      <c r="W338" s="185">
        <v>14050</v>
      </c>
      <c r="X338" s="187">
        <v>18632.57</v>
      </c>
      <c r="Y338" s="185">
        <v>14056</v>
      </c>
      <c r="Z338" s="187">
        <v>9316.31</v>
      </c>
      <c r="AA338" s="187">
        <v>0</v>
      </c>
      <c r="AB338" s="187">
        <v>9316.26</v>
      </c>
      <c r="AC338" s="187">
        <v>887.28</v>
      </c>
      <c r="AD338" s="185">
        <v>54260</v>
      </c>
      <c r="AE338" s="187">
        <v>221.82</v>
      </c>
      <c r="AF338" s="187">
        <v>0</v>
      </c>
      <c r="AG338" s="187">
        <v>221.82</v>
      </c>
      <c r="AH338" s="185" t="s">
        <v>989</v>
      </c>
      <c r="AI338" s="185"/>
      <c r="AJ338" s="185"/>
      <c r="AK338" s="185" t="s">
        <v>45</v>
      </c>
      <c r="AL338" s="185" t="s">
        <v>2267</v>
      </c>
      <c r="AM338" s="185" t="s">
        <v>2269</v>
      </c>
      <c r="AN338" s="196"/>
      <c r="AO338" s="196"/>
      <c r="AP338" s="195"/>
      <c r="AQ338" s="194"/>
      <c r="AR338" s="193"/>
      <c r="AS338" s="192"/>
      <c r="AT338" s="192"/>
      <c r="AU338" s="192"/>
      <c r="AV338" s="192"/>
      <c r="AW338" s="191"/>
      <c r="AX338" s="190" t="s">
        <v>72</v>
      </c>
      <c r="AY338" s="184"/>
    </row>
    <row r="339" spans="2:51">
      <c r="B339" s="185">
        <v>2183</v>
      </c>
      <c r="C339" s="189">
        <v>241234</v>
      </c>
      <c r="D339" s="185" t="s">
        <v>989</v>
      </c>
      <c r="E339" s="185" t="s">
        <v>2003</v>
      </c>
      <c r="F339" s="185" t="s">
        <v>832</v>
      </c>
      <c r="G339" s="185"/>
      <c r="H339" s="185"/>
      <c r="I339" s="188">
        <v>1</v>
      </c>
      <c r="J339" s="185" t="s">
        <v>1109</v>
      </c>
      <c r="K339" s="188">
        <v>2020</v>
      </c>
      <c r="L339" s="185" t="s">
        <v>1097</v>
      </c>
      <c r="M339" s="185" t="s">
        <v>1110</v>
      </c>
      <c r="N339" s="185" t="s">
        <v>2183</v>
      </c>
      <c r="O339" s="185" t="s">
        <v>2184</v>
      </c>
      <c r="P339" s="185" t="s">
        <v>2187</v>
      </c>
      <c r="Q339" s="185"/>
      <c r="R339" s="185"/>
      <c r="S339" s="186">
        <v>44105</v>
      </c>
      <c r="T339" s="186">
        <v>44105</v>
      </c>
      <c r="U339" s="185" t="s">
        <v>1111</v>
      </c>
      <c r="V339" s="185">
        <v>1000</v>
      </c>
      <c r="W339" s="185">
        <v>14040</v>
      </c>
      <c r="X339" s="187">
        <v>368277.46</v>
      </c>
      <c r="Y339" s="185">
        <v>14046</v>
      </c>
      <c r="Z339" s="187">
        <v>131966.10999999999</v>
      </c>
      <c r="AA339" s="187">
        <v>0</v>
      </c>
      <c r="AB339" s="187">
        <v>236311.35000000003</v>
      </c>
      <c r="AC339" s="187">
        <v>12275.92</v>
      </c>
      <c r="AD339" s="185">
        <v>51260</v>
      </c>
      <c r="AE339" s="187">
        <v>3068.98</v>
      </c>
      <c r="AF339" s="187">
        <v>0</v>
      </c>
      <c r="AG339" s="187">
        <v>3068.98</v>
      </c>
      <c r="AH339" s="185" t="s">
        <v>989</v>
      </c>
      <c r="AI339" s="185"/>
      <c r="AJ339" s="185">
        <v>3703</v>
      </c>
      <c r="AK339" s="185" t="s">
        <v>45</v>
      </c>
      <c r="AL339" s="185" t="s">
        <v>2267</v>
      </c>
      <c r="AM339" s="185" t="s">
        <v>2269</v>
      </c>
      <c r="AN339" s="196"/>
      <c r="AO339" s="196"/>
      <c r="AP339" s="195"/>
      <c r="AQ339" s="194"/>
      <c r="AR339" s="193"/>
      <c r="AS339" s="192"/>
      <c r="AT339" s="192"/>
      <c r="AU339" s="192"/>
      <c r="AV339" s="192"/>
      <c r="AW339" s="191"/>
      <c r="AX339" s="190" t="s">
        <v>72</v>
      </c>
      <c r="AY339" s="184"/>
    </row>
    <row r="340" spans="2:51" hidden="1">
      <c r="B340" s="185">
        <v>2183</v>
      </c>
      <c r="C340" s="189">
        <v>240655</v>
      </c>
      <c r="D340" s="185">
        <v>236404</v>
      </c>
      <c r="E340" s="185" t="s">
        <v>2003</v>
      </c>
      <c r="F340" s="185" t="s">
        <v>877</v>
      </c>
      <c r="G340" s="185"/>
      <c r="H340" s="185"/>
      <c r="I340" s="188">
        <v>1</v>
      </c>
      <c r="J340" s="185"/>
      <c r="K340" s="188">
        <v>0</v>
      </c>
      <c r="L340" s="185" t="s">
        <v>1112</v>
      </c>
      <c r="M340" s="185"/>
      <c r="N340" s="185" t="s">
        <v>2183</v>
      </c>
      <c r="O340" s="185" t="s">
        <v>2184</v>
      </c>
      <c r="P340" s="185" t="s">
        <v>1028</v>
      </c>
      <c r="Q340" s="185"/>
      <c r="R340" s="185"/>
      <c r="S340" s="186">
        <v>44085</v>
      </c>
      <c r="T340" s="186">
        <v>44085</v>
      </c>
      <c r="U340" s="185" t="s">
        <v>1113</v>
      </c>
      <c r="V340" s="185">
        <v>1000</v>
      </c>
      <c r="W340" s="185">
        <v>14040</v>
      </c>
      <c r="X340" s="187">
        <v>537.99</v>
      </c>
      <c r="Y340" s="185">
        <v>14046</v>
      </c>
      <c r="Z340" s="187">
        <v>197.25</v>
      </c>
      <c r="AA340" s="187">
        <v>0</v>
      </c>
      <c r="AB340" s="187">
        <v>340.74</v>
      </c>
      <c r="AC340" s="187">
        <v>17.920000000000002</v>
      </c>
      <c r="AD340" s="185">
        <v>51260</v>
      </c>
      <c r="AE340" s="187">
        <v>4.4800000000000004</v>
      </c>
      <c r="AF340" s="187">
        <v>0</v>
      </c>
      <c r="AG340" s="187">
        <v>4.4800000000000004</v>
      </c>
      <c r="AH340" s="185" t="s">
        <v>989</v>
      </c>
      <c r="AI340" s="185"/>
      <c r="AJ340" s="185"/>
      <c r="AK340" s="185" t="s">
        <v>45</v>
      </c>
      <c r="AL340" s="185" t="s">
        <v>2267</v>
      </c>
      <c r="AM340" s="185" t="s">
        <v>2269</v>
      </c>
      <c r="AN340" s="196"/>
      <c r="AO340" s="196"/>
      <c r="AP340" s="195"/>
      <c r="AQ340" s="194"/>
      <c r="AR340" s="193"/>
      <c r="AS340" s="192"/>
      <c r="AT340" s="192"/>
      <c r="AU340" s="192"/>
      <c r="AV340" s="192"/>
      <c r="AW340" s="191"/>
      <c r="AX340" s="190" t="s">
        <v>72</v>
      </c>
      <c r="AY340" s="184"/>
    </row>
    <row r="341" spans="2:51" hidden="1">
      <c r="B341" s="185">
        <v>2183</v>
      </c>
      <c r="C341" s="189">
        <v>240654</v>
      </c>
      <c r="D341" s="185">
        <v>236404</v>
      </c>
      <c r="E341" s="185" t="s">
        <v>2003</v>
      </c>
      <c r="F341" s="185" t="s">
        <v>875</v>
      </c>
      <c r="G341" s="185"/>
      <c r="H341" s="185"/>
      <c r="I341" s="188">
        <v>1</v>
      </c>
      <c r="J341" s="185"/>
      <c r="K341" s="188">
        <v>0</v>
      </c>
      <c r="L341" s="185" t="s">
        <v>1027</v>
      </c>
      <c r="M341" s="185"/>
      <c r="N341" s="185" t="s">
        <v>2183</v>
      </c>
      <c r="O341" s="185" t="s">
        <v>2184</v>
      </c>
      <c r="P341" s="185" t="s">
        <v>1028</v>
      </c>
      <c r="Q341" s="185"/>
      <c r="R341" s="185"/>
      <c r="S341" s="186">
        <v>44085</v>
      </c>
      <c r="T341" s="186">
        <v>44085</v>
      </c>
      <c r="U341" s="185" t="s">
        <v>1113</v>
      </c>
      <c r="V341" s="185">
        <v>1000</v>
      </c>
      <c r="W341" s="185">
        <v>14040</v>
      </c>
      <c r="X341" s="187">
        <v>268.02999999999997</v>
      </c>
      <c r="Y341" s="185">
        <v>14046</v>
      </c>
      <c r="Z341" s="187">
        <v>98.26</v>
      </c>
      <c r="AA341" s="187">
        <v>0</v>
      </c>
      <c r="AB341" s="187">
        <v>169.76999999999998</v>
      </c>
      <c r="AC341" s="187">
        <v>8.92</v>
      </c>
      <c r="AD341" s="185">
        <v>51260</v>
      </c>
      <c r="AE341" s="187">
        <v>2.23</v>
      </c>
      <c r="AF341" s="187">
        <v>0</v>
      </c>
      <c r="AG341" s="187">
        <v>2.23</v>
      </c>
      <c r="AH341" s="185" t="s">
        <v>989</v>
      </c>
      <c r="AI341" s="185"/>
      <c r="AJ341" s="185"/>
      <c r="AK341" s="185" t="s">
        <v>45</v>
      </c>
      <c r="AL341" s="185" t="s">
        <v>2267</v>
      </c>
      <c r="AM341" s="185" t="s">
        <v>2269</v>
      </c>
      <c r="AN341" s="196"/>
      <c r="AO341" s="196"/>
      <c r="AP341" s="195"/>
      <c r="AQ341" s="194"/>
      <c r="AR341" s="193"/>
      <c r="AS341" s="192"/>
      <c r="AT341" s="192"/>
      <c r="AU341" s="192"/>
      <c r="AV341" s="192"/>
      <c r="AW341" s="191"/>
      <c r="AX341" s="190" t="s">
        <v>72</v>
      </c>
      <c r="AY341" s="184"/>
    </row>
    <row r="342" spans="2:51" hidden="1">
      <c r="B342" s="185">
        <v>2183</v>
      </c>
      <c r="C342" s="189">
        <v>240653</v>
      </c>
      <c r="D342" s="185">
        <v>237513</v>
      </c>
      <c r="E342" s="185" t="s">
        <v>2003</v>
      </c>
      <c r="F342" s="185" t="s">
        <v>729</v>
      </c>
      <c r="G342" s="185"/>
      <c r="H342" s="185"/>
      <c r="I342" s="188">
        <v>1</v>
      </c>
      <c r="J342" s="185"/>
      <c r="K342" s="188">
        <v>0</v>
      </c>
      <c r="L342" s="185" t="s">
        <v>1114</v>
      </c>
      <c r="M342" s="185"/>
      <c r="N342" s="185" t="s">
        <v>2183</v>
      </c>
      <c r="O342" s="185" t="s">
        <v>2184</v>
      </c>
      <c r="P342" s="185" t="s">
        <v>1028</v>
      </c>
      <c r="Q342" s="185"/>
      <c r="R342" s="185"/>
      <c r="S342" s="186">
        <v>44055</v>
      </c>
      <c r="T342" s="186">
        <v>44055</v>
      </c>
      <c r="U342" s="185" t="s">
        <v>1115</v>
      </c>
      <c r="V342" s="185">
        <v>1000</v>
      </c>
      <c r="W342" s="185">
        <v>14040</v>
      </c>
      <c r="X342" s="187">
        <v>220.99</v>
      </c>
      <c r="Y342" s="185">
        <v>14046</v>
      </c>
      <c r="Z342" s="187">
        <v>82.87</v>
      </c>
      <c r="AA342" s="187">
        <v>0</v>
      </c>
      <c r="AB342" s="187">
        <v>138.12</v>
      </c>
      <c r="AC342" s="187">
        <v>7.36</v>
      </c>
      <c r="AD342" s="185">
        <v>51260</v>
      </c>
      <c r="AE342" s="187">
        <v>1.84</v>
      </c>
      <c r="AF342" s="187">
        <v>0</v>
      </c>
      <c r="AG342" s="187">
        <v>1.84</v>
      </c>
      <c r="AH342" s="185" t="s">
        <v>989</v>
      </c>
      <c r="AI342" s="185"/>
      <c r="AJ342" s="185"/>
      <c r="AK342" s="185" t="s">
        <v>45</v>
      </c>
      <c r="AL342" s="185" t="s">
        <v>2267</v>
      </c>
      <c r="AM342" s="185" t="s">
        <v>2269</v>
      </c>
      <c r="AN342" s="196"/>
      <c r="AO342" s="196"/>
      <c r="AP342" s="195"/>
      <c r="AQ342" s="194"/>
      <c r="AR342" s="193"/>
      <c r="AS342" s="192"/>
      <c r="AT342" s="192"/>
      <c r="AU342" s="192"/>
      <c r="AV342" s="192"/>
      <c r="AW342" s="191"/>
      <c r="AX342" s="190" t="s">
        <v>72</v>
      </c>
      <c r="AY342" s="184"/>
    </row>
    <row r="343" spans="2:51" hidden="1">
      <c r="B343" s="185">
        <v>2183</v>
      </c>
      <c r="C343" s="189">
        <v>240614</v>
      </c>
      <c r="D343" s="185">
        <v>240613</v>
      </c>
      <c r="E343" s="185" t="s">
        <v>2003</v>
      </c>
      <c r="F343" s="185" t="s">
        <v>870</v>
      </c>
      <c r="G343" s="185"/>
      <c r="H343" s="185"/>
      <c r="I343" s="188">
        <v>30</v>
      </c>
      <c r="J343" s="185"/>
      <c r="K343" s="188">
        <v>0</v>
      </c>
      <c r="L343" s="185" t="s">
        <v>1093</v>
      </c>
      <c r="M343" s="185"/>
      <c r="N343" s="185" t="s">
        <v>2198</v>
      </c>
      <c r="O343" s="185" t="s">
        <v>2184</v>
      </c>
      <c r="P343" s="185"/>
      <c r="Q343" s="185"/>
      <c r="R343" s="185"/>
      <c r="S343" s="186">
        <v>44126</v>
      </c>
      <c r="T343" s="186">
        <v>44126</v>
      </c>
      <c r="U343" s="185" t="s">
        <v>1094</v>
      </c>
      <c r="V343" s="185">
        <v>500</v>
      </c>
      <c r="W343" s="185">
        <v>14070</v>
      </c>
      <c r="X343" s="187">
        <v>1148.7</v>
      </c>
      <c r="Y343" s="185">
        <v>14076</v>
      </c>
      <c r="Z343" s="187">
        <v>804.11</v>
      </c>
      <c r="AA343" s="187">
        <v>0</v>
      </c>
      <c r="AB343" s="187">
        <v>344.59000000000003</v>
      </c>
      <c r="AC343" s="187">
        <v>76.599999999999994</v>
      </c>
      <c r="AD343" s="185">
        <v>51260</v>
      </c>
      <c r="AE343" s="187">
        <v>19.149999999999999</v>
      </c>
      <c r="AF343" s="187">
        <v>0</v>
      </c>
      <c r="AG343" s="187">
        <v>19.149999999999999</v>
      </c>
      <c r="AH343" s="185" t="s">
        <v>989</v>
      </c>
      <c r="AI343" s="185"/>
      <c r="AJ343" s="185"/>
      <c r="AK343" s="185" t="s">
        <v>45</v>
      </c>
      <c r="AL343" s="185" t="s">
        <v>2267</v>
      </c>
      <c r="AM343" s="185" t="s">
        <v>2269</v>
      </c>
      <c r="AN343" s="196"/>
      <c r="AO343" s="196"/>
      <c r="AP343" s="195"/>
      <c r="AQ343" s="194"/>
      <c r="AR343" s="193"/>
      <c r="AS343" s="192"/>
      <c r="AT343" s="192"/>
      <c r="AU343" s="192"/>
      <c r="AV343" s="192"/>
      <c r="AW343" s="191"/>
      <c r="AX343" s="190" t="s">
        <v>72</v>
      </c>
      <c r="AY343" s="184"/>
    </row>
    <row r="344" spans="2:51">
      <c r="B344" s="185">
        <v>2183</v>
      </c>
      <c r="C344" s="189">
        <v>240613</v>
      </c>
      <c r="D344" s="185" t="s">
        <v>989</v>
      </c>
      <c r="E344" s="185" t="s">
        <v>2003</v>
      </c>
      <c r="F344" s="185" t="s">
        <v>869</v>
      </c>
      <c r="G344" s="185"/>
      <c r="H344" s="185"/>
      <c r="I344" s="188">
        <v>108</v>
      </c>
      <c r="J344" s="185"/>
      <c r="K344" s="188">
        <v>0</v>
      </c>
      <c r="L344" s="185" t="s">
        <v>1093</v>
      </c>
      <c r="M344" s="185"/>
      <c r="N344" s="185" t="s">
        <v>2198</v>
      </c>
      <c r="O344" s="185" t="s">
        <v>2184</v>
      </c>
      <c r="P344" s="185"/>
      <c r="Q344" s="185"/>
      <c r="R344" s="185"/>
      <c r="S344" s="186">
        <v>44105</v>
      </c>
      <c r="T344" s="186">
        <v>44105</v>
      </c>
      <c r="U344" s="185" t="s">
        <v>1094</v>
      </c>
      <c r="V344" s="185">
        <v>500</v>
      </c>
      <c r="W344" s="185">
        <v>14070</v>
      </c>
      <c r="X344" s="187">
        <v>99074.29</v>
      </c>
      <c r="Y344" s="185">
        <v>14076</v>
      </c>
      <c r="Z344" s="187">
        <v>71003.259999999995</v>
      </c>
      <c r="AA344" s="187">
        <v>0</v>
      </c>
      <c r="AB344" s="187">
        <v>28071.03</v>
      </c>
      <c r="AC344" s="187">
        <v>6604.96</v>
      </c>
      <c r="AD344" s="185">
        <v>51260</v>
      </c>
      <c r="AE344" s="187">
        <v>1651.24</v>
      </c>
      <c r="AF344" s="187">
        <v>0</v>
      </c>
      <c r="AG344" s="187">
        <v>1651.24</v>
      </c>
      <c r="AH344" s="185" t="s">
        <v>989</v>
      </c>
      <c r="AI344" s="185"/>
      <c r="AJ344" s="185"/>
      <c r="AK344" s="185" t="s">
        <v>45</v>
      </c>
      <c r="AL344" s="185" t="s">
        <v>2267</v>
      </c>
      <c r="AM344" s="185" t="s">
        <v>2269</v>
      </c>
      <c r="AN344" s="196"/>
      <c r="AO344" s="196"/>
      <c r="AP344" s="195"/>
      <c r="AQ344" s="194"/>
      <c r="AR344" s="193"/>
      <c r="AS344" s="192"/>
      <c r="AT344" s="192"/>
      <c r="AU344" s="192"/>
      <c r="AV344" s="192"/>
      <c r="AW344" s="191"/>
      <c r="AX344" s="190" t="s">
        <v>72</v>
      </c>
      <c r="AY344" s="184"/>
    </row>
    <row r="345" spans="2:51">
      <c r="B345" s="185">
        <v>2183</v>
      </c>
      <c r="C345" s="189">
        <v>240306</v>
      </c>
      <c r="D345" s="185" t="s">
        <v>989</v>
      </c>
      <c r="E345" s="185" t="s">
        <v>2003</v>
      </c>
      <c r="F345" s="185" t="s">
        <v>904</v>
      </c>
      <c r="G345" s="185"/>
      <c r="H345" s="185"/>
      <c r="I345" s="188">
        <v>1</v>
      </c>
      <c r="J345" s="185"/>
      <c r="K345" s="188">
        <v>0</v>
      </c>
      <c r="L345" s="185"/>
      <c r="M345" s="185"/>
      <c r="N345" s="185" t="s">
        <v>2190</v>
      </c>
      <c r="O345" s="185" t="s">
        <v>2184</v>
      </c>
      <c r="P345" s="185"/>
      <c r="Q345" s="185" t="s">
        <v>2191</v>
      </c>
      <c r="R345" s="185" t="s">
        <v>2192</v>
      </c>
      <c r="S345" s="186">
        <v>39755</v>
      </c>
      <c r="T345" s="186">
        <v>39755</v>
      </c>
      <c r="U345" s="185"/>
      <c r="V345" s="185">
        <v>700</v>
      </c>
      <c r="W345" s="185">
        <v>14050</v>
      </c>
      <c r="X345" s="187">
        <v>135.63999999999999</v>
      </c>
      <c r="Y345" s="185">
        <v>14056</v>
      </c>
      <c r="Z345" s="187">
        <v>135.63999999999999</v>
      </c>
      <c r="AA345" s="187">
        <v>0</v>
      </c>
      <c r="AB345" s="187">
        <v>0</v>
      </c>
      <c r="AC345" s="187">
        <v>0</v>
      </c>
      <c r="AD345" s="185">
        <v>54260</v>
      </c>
      <c r="AE345" s="187">
        <v>0</v>
      </c>
      <c r="AF345" s="187">
        <v>0</v>
      </c>
      <c r="AG345" s="187">
        <v>0</v>
      </c>
      <c r="AH345" s="185" t="s">
        <v>994</v>
      </c>
      <c r="AI345" s="185" t="s">
        <v>1050</v>
      </c>
      <c r="AJ345" s="185" t="s">
        <v>1296</v>
      </c>
      <c r="AK345" s="185" t="s">
        <v>45</v>
      </c>
      <c r="AL345" s="185" t="s">
        <v>2267</v>
      </c>
      <c r="AM345" s="185" t="s">
        <v>2269</v>
      </c>
      <c r="AN345" s="196"/>
      <c r="AO345" s="196"/>
      <c r="AP345" s="195"/>
      <c r="AQ345" s="194"/>
      <c r="AR345" s="193"/>
      <c r="AS345" s="192"/>
      <c r="AT345" s="192"/>
      <c r="AU345" s="192"/>
      <c r="AV345" s="192"/>
      <c r="AW345" s="191"/>
      <c r="AX345" s="190" t="s">
        <v>72</v>
      </c>
      <c r="AY345" s="184"/>
    </row>
    <row r="346" spans="2:51">
      <c r="B346" s="185">
        <v>2183</v>
      </c>
      <c r="C346" s="189">
        <v>240299</v>
      </c>
      <c r="D346" s="185" t="s">
        <v>989</v>
      </c>
      <c r="E346" s="185" t="s">
        <v>2003</v>
      </c>
      <c r="F346" s="185" t="s">
        <v>905</v>
      </c>
      <c r="G346" s="185"/>
      <c r="H346" s="185"/>
      <c r="I346" s="188">
        <v>28</v>
      </c>
      <c r="J346" s="185"/>
      <c r="K346" s="188">
        <v>0</v>
      </c>
      <c r="L346" s="185"/>
      <c r="M346" s="185"/>
      <c r="N346" s="185" t="s">
        <v>2190</v>
      </c>
      <c r="O346" s="185" t="s">
        <v>2184</v>
      </c>
      <c r="P346" s="185"/>
      <c r="Q346" s="185" t="s">
        <v>2218</v>
      </c>
      <c r="R346" s="185" t="s">
        <v>2192</v>
      </c>
      <c r="S346" s="186">
        <v>39755</v>
      </c>
      <c r="T346" s="186">
        <v>39755</v>
      </c>
      <c r="U346" s="185"/>
      <c r="V346" s="185">
        <v>700</v>
      </c>
      <c r="W346" s="185">
        <v>14050</v>
      </c>
      <c r="X346" s="187">
        <v>5076.1899999999996</v>
      </c>
      <c r="Y346" s="185">
        <v>14056</v>
      </c>
      <c r="Z346" s="187">
        <v>5076.1899999999996</v>
      </c>
      <c r="AA346" s="187">
        <v>0</v>
      </c>
      <c r="AB346" s="187">
        <v>0</v>
      </c>
      <c r="AC346" s="187">
        <v>0</v>
      </c>
      <c r="AD346" s="185">
        <v>54260</v>
      </c>
      <c r="AE346" s="187">
        <v>0</v>
      </c>
      <c r="AF346" s="187">
        <v>0</v>
      </c>
      <c r="AG346" s="187">
        <v>0</v>
      </c>
      <c r="AH346" s="185" t="s">
        <v>994</v>
      </c>
      <c r="AI346" s="185" t="s">
        <v>1050</v>
      </c>
      <c r="AJ346" s="185" t="s">
        <v>1296</v>
      </c>
      <c r="AK346" s="185" t="s">
        <v>45</v>
      </c>
      <c r="AL346" s="185" t="s">
        <v>2267</v>
      </c>
      <c r="AM346" s="185" t="s">
        <v>2269</v>
      </c>
      <c r="AN346" s="196"/>
      <c r="AO346" s="196"/>
      <c r="AP346" s="195"/>
      <c r="AQ346" s="194"/>
      <c r="AR346" s="193"/>
      <c r="AS346" s="192"/>
      <c r="AT346" s="192"/>
      <c r="AU346" s="192"/>
      <c r="AV346" s="192"/>
      <c r="AW346" s="191"/>
      <c r="AX346" s="190" t="s">
        <v>72</v>
      </c>
      <c r="AY346" s="184"/>
    </row>
    <row r="347" spans="2:51">
      <c r="B347" s="185">
        <v>2183</v>
      </c>
      <c r="C347" s="189">
        <v>240153</v>
      </c>
      <c r="D347" s="185" t="s">
        <v>989</v>
      </c>
      <c r="E347" s="185" t="s">
        <v>2003</v>
      </c>
      <c r="F347" s="185" t="s">
        <v>906</v>
      </c>
      <c r="G347" s="185"/>
      <c r="H347" s="185"/>
      <c r="I347" s="188">
        <v>2</v>
      </c>
      <c r="J347" s="185"/>
      <c r="K347" s="188">
        <v>0</v>
      </c>
      <c r="L347" s="185"/>
      <c r="M347" s="185"/>
      <c r="N347" s="185" t="s">
        <v>2190</v>
      </c>
      <c r="O347" s="185" t="s">
        <v>2184</v>
      </c>
      <c r="P347" s="185"/>
      <c r="Q347" s="185" t="s">
        <v>2191</v>
      </c>
      <c r="R347" s="185" t="s">
        <v>2192</v>
      </c>
      <c r="S347" s="186">
        <v>39755</v>
      </c>
      <c r="T347" s="186">
        <v>39755</v>
      </c>
      <c r="U347" s="185"/>
      <c r="V347" s="185">
        <v>700</v>
      </c>
      <c r="W347" s="185">
        <v>14050</v>
      </c>
      <c r="X347" s="187">
        <v>3060</v>
      </c>
      <c r="Y347" s="185">
        <v>14056</v>
      </c>
      <c r="Z347" s="187">
        <v>3060</v>
      </c>
      <c r="AA347" s="187">
        <v>0</v>
      </c>
      <c r="AB347" s="187">
        <v>0</v>
      </c>
      <c r="AC347" s="187">
        <v>0</v>
      </c>
      <c r="AD347" s="185">
        <v>54260</v>
      </c>
      <c r="AE347" s="187">
        <v>0</v>
      </c>
      <c r="AF347" s="187">
        <v>0</v>
      </c>
      <c r="AG347" s="187">
        <v>0</v>
      </c>
      <c r="AH347" s="185" t="s">
        <v>994</v>
      </c>
      <c r="AI347" s="185" t="s">
        <v>1050</v>
      </c>
      <c r="AJ347" s="185" t="s">
        <v>1296</v>
      </c>
      <c r="AK347" s="185" t="s">
        <v>45</v>
      </c>
      <c r="AL347" s="185" t="s">
        <v>2267</v>
      </c>
      <c r="AM347" s="185" t="s">
        <v>2269</v>
      </c>
      <c r="AN347" s="196"/>
      <c r="AO347" s="196"/>
      <c r="AP347" s="195"/>
      <c r="AQ347" s="194"/>
      <c r="AR347" s="193"/>
      <c r="AS347" s="192"/>
      <c r="AT347" s="192"/>
      <c r="AU347" s="192"/>
      <c r="AV347" s="192"/>
      <c r="AW347" s="191"/>
      <c r="AX347" s="190" t="s">
        <v>72</v>
      </c>
      <c r="AY347" s="184"/>
    </row>
    <row r="348" spans="2:51" hidden="1">
      <c r="B348" s="185">
        <v>2183</v>
      </c>
      <c r="C348" s="189">
        <v>239456</v>
      </c>
      <c r="D348" s="185">
        <v>236404</v>
      </c>
      <c r="E348" s="185" t="s">
        <v>2003</v>
      </c>
      <c r="F348" s="185" t="s">
        <v>788</v>
      </c>
      <c r="G348" s="185"/>
      <c r="H348" s="185"/>
      <c r="I348" s="188">
        <v>1</v>
      </c>
      <c r="J348" s="185"/>
      <c r="K348" s="188">
        <v>0</v>
      </c>
      <c r="L348" s="185" t="s">
        <v>1093</v>
      </c>
      <c r="M348" s="185"/>
      <c r="N348" s="185" t="s">
        <v>2183</v>
      </c>
      <c r="O348" s="185" t="s">
        <v>2184</v>
      </c>
      <c r="P348" s="185" t="s">
        <v>1028</v>
      </c>
      <c r="Q348" s="185"/>
      <c r="R348" s="185"/>
      <c r="S348" s="186">
        <v>44044</v>
      </c>
      <c r="T348" s="186">
        <v>44044</v>
      </c>
      <c r="U348" s="185" t="s">
        <v>1113</v>
      </c>
      <c r="V348" s="185">
        <v>500</v>
      </c>
      <c r="W348" s="185">
        <v>14040</v>
      </c>
      <c r="X348" s="187">
        <v>342.97</v>
      </c>
      <c r="Y348" s="185">
        <v>14046</v>
      </c>
      <c r="Z348" s="187">
        <v>257.23</v>
      </c>
      <c r="AA348" s="187">
        <v>0</v>
      </c>
      <c r="AB348" s="187">
        <v>85.740000000000009</v>
      </c>
      <c r="AC348" s="187">
        <v>22.88</v>
      </c>
      <c r="AD348" s="185">
        <v>51260</v>
      </c>
      <c r="AE348" s="187">
        <v>5.72</v>
      </c>
      <c r="AF348" s="187">
        <v>0</v>
      </c>
      <c r="AG348" s="187">
        <v>5.72</v>
      </c>
      <c r="AH348" s="185" t="s">
        <v>989</v>
      </c>
      <c r="AI348" s="185"/>
      <c r="AJ348" s="185"/>
      <c r="AK348" s="185" t="s">
        <v>45</v>
      </c>
      <c r="AL348" s="185" t="s">
        <v>2267</v>
      </c>
      <c r="AM348" s="185" t="s">
        <v>2269</v>
      </c>
      <c r="AN348" s="196"/>
      <c r="AO348" s="196"/>
      <c r="AP348" s="195"/>
      <c r="AQ348" s="194"/>
      <c r="AR348" s="193"/>
      <c r="AS348" s="192"/>
      <c r="AT348" s="192"/>
      <c r="AU348" s="192"/>
      <c r="AV348" s="192"/>
      <c r="AW348" s="191"/>
      <c r="AX348" s="190" t="s">
        <v>72</v>
      </c>
      <c r="AY348" s="184"/>
    </row>
    <row r="349" spans="2:51" hidden="1">
      <c r="B349" s="185">
        <v>2183</v>
      </c>
      <c r="C349" s="189">
        <v>239455</v>
      </c>
      <c r="D349" s="185">
        <v>237513</v>
      </c>
      <c r="E349" s="185" t="s">
        <v>2003</v>
      </c>
      <c r="F349" s="185" t="s">
        <v>1116</v>
      </c>
      <c r="G349" s="185"/>
      <c r="H349" s="185"/>
      <c r="I349" s="188">
        <v>1</v>
      </c>
      <c r="J349" s="185"/>
      <c r="K349" s="188">
        <v>0</v>
      </c>
      <c r="L349" s="185" t="s">
        <v>1112</v>
      </c>
      <c r="M349" s="185"/>
      <c r="N349" s="185" t="s">
        <v>2183</v>
      </c>
      <c r="O349" s="185" t="s">
        <v>2184</v>
      </c>
      <c r="P349" s="185" t="s">
        <v>1028</v>
      </c>
      <c r="Q349" s="185"/>
      <c r="R349" s="185"/>
      <c r="S349" s="186">
        <v>44075</v>
      </c>
      <c r="T349" s="186">
        <v>44075</v>
      </c>
      <c r="U349" s="185" t="s">
        <v>1115</v>
      </c>
      <c r="V349" s="185">
        <v>1000</v>
      </c>
      <c r="W349" s="185">
        <v>14040</v>
      </c>
      <c r="X349" s="187">
        <v>1009.58</v>
      </c>
      <c r="Y349" s="185">
        <v>14046</v>
      </c>
      <c r="Z349" s="187">
        <v>370.13</v>
      </c>
      <c r="AA349" s="187">
        <v>0</v>
      </c>
      <c r="AB349" s="187">
        <v>639.45000000000005</v>
      </c>
      <c r="AC349" s="187">
        <v>33.64</v>
      </c>
      <c r="AD349" s="185">
        <v>51260</v>
      </c>
      <c r="AE349" s="187">
        <v>8.41</v>
      </c>
      <c r="AF349" s="187">
        <v>0</v>
      </c>
      <c r="AG349" s="187">
        <v>8.41</v>
      </c>
      <c r="AH349" s="185" t="s">
        <v>989</v>
      </c>
      <c r="AI349" s="185"/>
      <c r="AJ349" s="185"/>
      <c r="AK349" s="185" t="s">
        <v>45</v>
      </c>
      <c r="AL349" s="185" t="s">
        <v>2267</v>
      </c>
      <c r="AM349" s="185" t="s">
        <v>2269</v>
      </c>
      <c r="AN349" s="196"/>
      <c r="AO349" s="196"/>
      <c r="AP349" s="195"/>
      <c r="AQ349" s="194"/>
      <c r="AR349" s="193"/>
      <c r="AS349" s="192"/>
      <c r="AT349" s="192"/>
      <c r="AU349" s="192"/>
      <c r="AV349" s="192"/>
      <c r="AW349" s="191"/>
      <c r="AX349" s="190" t="s">
        <v>72</v>
      </c>
      <c r="AY349" s="184"/>
    </row>
    <row r="350" spans="2:51" hidden="1">
      <c r="B350" s="185">
        <v>2183</v>
      </c>
      <c r="C350" s="189">
        <v>239454</v>
      </c>
      <c r="D350" s="185">
        <v>237513</v>
      </c>
      <c r="E350" s="185" t="s">
        <v>2003</v>
      </c>
      <c r="F350" s="185" t="s">
        <v>1117</v>
      </c>
      <c r="G350" s="185"/>
      <c r="H350" s="185"/>
      <c r="I350" s="188">
        <v>1</v>
      </c>
      <c r="J350" s="185"/>
      <c r="K350" s="188">
        <v>0</v>
      </c>
      <c r="L350" s="185" t="s">
        <v>1112</v>
      </c>
      <c r="M350" s="185"/>
      <c r="N350" s="185" t="s">
        <v>2183</v>
      </c>
      <c r="O350" s="185" t="s">
        <v>2184</v>
      </c>
      <c r="P350" s="185" t="s">
        <v>1028</v>
      </c>
      <c r="Q350" s="185"/>
      <c r="R350" s="185"/>
      <c r="S350" s="186">
        <v>44075</v>
      </c>
      <c r="T350" s="186">
        <v>44075</v>
      </c>
      <c r="U350" s="185" t="s">
        <v>1115</v>
      </c>
      <c r="V350" s="185">
        <v>1000</v>
      </c>
      <c r="W350" s="185">
        <v>14040</v>
      </c>
      <c r="X350" s="187">
        <v>427.45</v>
      </c>
      <c r="Y350" s="185">
        <v>14046</v>
      </c>
      <c r="Z350" s="187">
        <v>156.74</v>
      </c>
      <c r="AA350" s="187">
        <v>0</v>
      </c>
      <c r="AB350" s="187">
        <v>270.70999999999998</v>
      </c>
      <c r="AC350" s="187">
        <v>14.24</v>
      </c>
      <c r="AD350" s="185">
        <v>51260</v>
      </c>
      <c r="AE350" s="187">
        <v>3.56</v>
      </c>
      <c r="AF350" s="187">
        <v>0</v>
      </c>
      <c r="AG350" s="187">
        <v>3.56</v>
      </c>
      <c r="AH350" s="185" t="s">
        <v>989</v>
      </c>
      <c r="AI350" s="185"/>
      <c r="AJ350" s="185"/>
      <c r="AK350" s="185" t="s">
        <v>45</v>
      </c>
      <c r="AL350" s="185" t="s">
        <v>2267</v>
      </c>
      <c r="AM350" s="185" t="s">
        <v>2269</v>
      </c>
      <c r="AN350" s="196"/>
      <c r="AO350" s="196"/>
      <c r="AP350" s="195"/>
      <c r="AQ350" s="194"/>
      <c r="AR350" s="193"/>
      <c r="AS350" s="192"/>
      <c r="AT350" s="192"/>
      <c r="AU350" s="192"/>
      <c r="AV350" s="192"/>
      <c r="AW350" s="191"/>
      <c r="AX350" s="190" t="s">
        <v>72</v>
      </c>
      <c r="AY350" s="184"/>
    </row>
    <row r="351" spans="2:51">
      <c r="B351" s="185">
        <v>2183</v>
      </c>
      <c r="C351" s="189">
        <v>237687</v>
      </c>
      <c r="D351" s="185" t="s">
        <v>989</v>
      </c>
      <c r="E351" s="185" t="s">
        <v>2003</v>
      </c>
      <c r="F351" s="185" t="s">
        <v>906</v>
      </c>
      <c r="G351" s="185"/>
      <c r="H351" s="185"/>
      <c r="I351" s="188">
        <v>25</v>
      </c>
      <c r="J351" s="185"/>
      <c r="K351" s="188">
        <v>0</v>
      </c>
      <c r="L351" s="185"/>
      <c r="M351" s="185"/>
      <c r="N351" s="185" t="s">
        <v>2190</v>
      </c>
      <c r="O351" s="185" t="s">
        <v>2184</v>
      </c>
      <c r="P351" s="185"/>
      <c r="Q351" s="185" t="s">
        <v>2191</v>
      </c>
      <c r="R351" s="185" t="s">
        <v>2192</v>
      </c>
      <c r="S351" s="186">
        <v>39755</v>
      </c>
      <c r="T351" s="186">
        <v>39755</v>
      </c>
      <c r="U351" s="185"/>
      <c r="V351" s="185">
        <v>700</v>
      </c>
      <c r="W351" s="185">
        <v>14050</v>
      </c>
      <c r="X351" s="187">
        <v>37543.25</v>
      </c>
      <c r="Y351" s="185">
        <v>14056</v>
      </c>
      <c r="Z351" s="187">
        <v>37543.25</v>
      </c>
      <c r="AA351" s="187">
        <v>0</v>
      </c>
      <c r="AB351" s="187">
        <v>0</v>
      </c>
      <c r="AC351" s="187">
        <v>0</v>
      </c>
      <c r="AD351" s="185">
        <v>54260</v>
      </c>
      <c r="AE351" s="187">
        <v>0</v>
      </c>
      <c r="AF351" s="187">
        <v>0</v>
      </c>
      <c r="AG351" s="187">
        <v>0</v>
      </c>
      <c r="AH351" s="185" t="s">
        <v>994</v>
      </c>
      <c r="AI351" s="185" t="s">
        <v>1050</v>
      </c>
      <c r="AJ351" s="185" t="s">
        <v>1296</v>
      </c>
      <c r="AK351" s="185" t="s">
        <v>45</v>
      </c>
      <c r="AL351" s="185" t="s">
        <v>2267</v>
      </c>
      <c r="AM351" s="185" t="s">
        <v>2269</v>
      </c>
      <c r="AN351" s="196"/>
      <c r="AO351" s="196"/>
      <c r="AP351" s="195"/>
      <c r="AQ351" s="194"/>
      <c r="AR351" s="193"/>
      <c r="AS351" s="192"/>
      <c r="AT351" s="192"/>
      <c r="AU351" s="192"/>
      <c r="AV351" s="192"/>
      <c r="AW351" s="191"/>
      <c r="AX351" s="190" t="s">
        <v>72</v>
      </c>
      <c r="AY351" s="184"/>
    </row>
    <row r="352" spans="2:51">
      <c r="B352" s="185">
        <v>2183</v>
      </c>
      <c r="C352" s="189">
        <v>237569</v>
      </c>
      <c r="D352" s="185" t="s">
        <v>989</v>
      </c>
      <c r="E352" s="185" t="s">
        <v>2003</v>
      </c>
      <c r="F352" s="185" t="s">
        <v>859</v>
      </c>
      <c r="G352" s="185"/>
      <c r="H352" s="185"/>
      <c r="I352" s="188">
        <v>351</v>
      </c>
      <c r="J352" s="185"/>
      <c r="K352" s="188">
        <v>0</v>
      </c>
      <c r="L352" s="185" t="s">
        <v>1001</v>
      </c>
      <c r="M352" s="185"/>
      <c r="N352" s="185" t="s">
        <v>2190</v>
      </c>
      <c r="O352" s="185" t="s">
        <v>2184</v>
      </c>
      <c r="P352" s="185"/>
      <c r="Q352" s="185"/>
      <c r="R352" s="185"/>
      <c r="S352" s="186">
        <v>44040</v>
      </c>
      <c r="T352" s="186">
        <v>44040</v>
      </c>
      <c r="U352" s="185" t="s">
        <v>1118</v>
      </c>
      <c r="V352" s="185">
        <v>700</v>
      </c>
      <c r="W352" s="185">
        <v>14050</v>
      </c>
      <c r="X352" s="187">
        <v>15029.53</v>
      </c>
      <c r="Y352" s="185">
        <v>14056</v>
      </c>
      <c r="Z352" s="187">
        <v>8051.54</v>
      </c>
      <c r="AA352" s="187">
        <v>0</v>
      </c>
      <c r="AB352" s="187">
        <v>6977.9900000000007</v>
      </c>
      <c r="AC352" s="187">
        <v>715.68</v>
      </c>
      <c r="AD352" s="185">
        <v>54260</v>
      </c>
      <c r="AE352" s="187">
        <v>178.92</v>
      </c>
      <c r="AF352" s="187">
        <v>0</v>
      </c>
      <c r="AG352" s="187">
        <v>178.92</v>
      </c>
      <c r="AH352" s="185" t="s">
        <v>989</v>
      </c>
      <c r="AI352" s="185"/>
      <c r="AJ352" s="185"/>
      <c r="AK352" s="185" t="s">
        <v>45</v>
      </c>
      <c r="AL352" s="185" t="s">
        <v>2267</v>
      </c>
      <c r="AM352" s="185" t="s">
        <v>2269</v>
      </c>
      <c r="AN352" s="196"/>
      <c r="AO352" s="196"/>
      <c r="AP352" s="195"/>
      <c r="AQ352" s="194"/>
      <c r="AR352" s="193"/>
      <c r="AS352" s="192"/>
      <c r="AT352" s="192"/>
      <c r="AU352" s="192"/>
      <c r="AV352" s="192"/>
      <c r="AW352" s="191"/>
      <c r="AX352" s="190" t="s">
        <v>72</v>
      </c>
      <c r="AY352" s="184"/>
    </row>
    <row r="353" spans="2:51">
      <c r="B353" s="185">
        <v>2183</v>
      </c>
      <c r="C353" s="189">
        <v>237513</v>
      </c>
      <c r="D353" s="185" t="s">
        <v>989</v>
      </c>
      <c r="E353" s="185" t="s">
        <v>2003</v>
      </c>
      <c r="F353" s="185" t="s">
        <v>838</v>
      </c>
      <c r="G353" s="185"/>
      <c r="H353" s="185"/>
      <c r="I353" s="188">
        <v>1</v>
      </c>
      <c r="J353" s="185" t="s">
        <v>1119</v>
      </c>
      <c r="K353" s="188">
        <v>2020</v>
      </c>
      <c r="L353" s="185" t="s">
        <v>1097</v>
      </c>
      <c r="M353" s="185" t="s">
        <v>1120</v>
      </c>
      <c r="N353" s="185" t="s">
        <v>2183</v>
      </c>
      <c r="O353" s="185" t="s">
        <v>2184</v>
      </c>
      <c r="P353" s="185" t="s">
        <v>287</v>
      </c>
      <c r="Q353" s="185"/>
      <c r="R353" s="185"/>
      <c r="S353" s="186">
        <v>44075</v>
      </c>
      <c r="T353" s="186">
        <v>44075</v>
      </c>
      <c r="U353" s="185" t="s">
        <v>1121</v>
      </c>
      <c r="V353" s="185">
        <v>1000</v>
      </c>
      <c r="W353" s="185">
        <v>14040</v>
      </c>
      <c r="X353" s="187">
        <v>269291.76</v>
      </c>
      <c r="Y353" s="185">
        <v>14046</v>
      </c>
      <c r="Z353" s="187">
        <v>98740.33</v>
      </c>
      <c r="AA353" s="187">
        <v>0</v>
      </c>
      <c r="AB353" s="187">
        <v>170551.43</v>
      </c>
      <c r="AC353" s="187">
        <v>8976.4</v>
      </c>
      <c r="AD353" s="185">
        <v>51260</v>
      </c>
      <c r="AE353" s="187">
        <v>2244.1</v>
      </c>
      <c r="AF353" s="187">
        <v>0</v>
      </c>
      <c r="AG353" s="187">
        <v>2244.1</v>
      </c>
      <c r="AH353" s="185" t="s">
        <v>989</v>
      </c>
      <c r="AI353" s="185"/>
      <c r="AJ353" s="185">
        <v>4089</v>
      </c>
      <c r="AK353" s="185" t="s">
        <v>45</v>
      </c>
      <c r="AL353" s="185" t="s">
        <v>2267</v>
      </c>
      <c r="AM353" s="185" t="s">
        <v>2269</v>
      </c>
      <c r="AN353" s="196"/>
      <c r="AO353" s="196"/>
      <c r="AP353" s="195"/>
      <c r="AQ353" s="194"/>
      <c r="AR353" s="193"/>
      <c r="AS353" s="192"/>
      <c r="AT353" s="192"/>
      <c r="AU353" s="192"/>
      <c r="AV353" s="192"/>
      <c r="AW353" s="191"/>
      <c r="AX353" s="190" t="s">
        <v>72</v>
      </c>
      <c r="AY353" s="184"/>
    </row>
    <row r="354" spans="2:51">
      <c r="B354" s="185">
        <v>2183</v>
      </c>
      <c r="C354" s="189">
        <v>236859</v>
      </c>
      <c r="D354" s="185" t="s">
        <v>989</v>
      </c>
      <c r="E354" s="185" t="s">
        <v>2003</v>
      </c>
      <c r="F354" s="185" t="s">
        <v>1122</v>
      </c>
      <c r="G354" s="185"/>
      <c r="H354" s="185"/>
      <c r="I354" s="188">
        <v>15</v>
      </c>
      <c r="J354" s="185"/>
      <c r="K354" s="188">
        <v>0</v>
      </c>
      <c r="L354" s="185" t="s">
        <v>1018</v>
      </c>
      <c r="M354" s="185"/>
      <c r="N354" s="185" t="s">
        <v>2190</v>
      </c>
      <c r="O354" s="185" t="s">
        <v>2184</v>
      </c>
      <c r="P354" s="185"/>
      <c r="Q354" s="185" t="s">
        <v>2208</v>
      </c>
      <c r="R354" s="185" t="s">
        <v>2195</v>
      </c>
      <c r="S354" s="186">
        <v>44047</v>
      </c>
      <c r="T354" s="186">
        <v>44047</v>
      </c>
      <c r="U354" s="185" t="s">
        <v>1123</v>
      </c>
      <c r="V354" s="185">
        <v>1200</v>
      </c>
      <c r="W354" s="185">
        <v>14050</v>
      </c>
      <c r="X354" s="187">
        <v>7349.18</v>
      </c>
      <c r="Y354" s="185">
        <v>14056</v>
      </c>
      <c r="Z354" s="187">
        <v>2296.63</v>
      </c>
      <c r="AA354" s="187">
        <v>0</v>
      </c>
      <c r="AB354" s="187">
        <v>5052.55</v>
      </c>
      <c r="AC354" s="187">
        <v>204.16</v>
      </c>
      <c r="AD354" s="185">
        <v>54260</v>
      </c>
      <c r="AE354" s="187">
        <v>51.04</v>
      </c>
      <c r="AF354" s="187">
        <v>0</v>
      </c>
      <c r="AG354" s="187">
        <v>51.04</v>
      </c>
      <c r="AH354" s="185" t="s">
        <v>989</v>
      </c>
      <c r="AI354" s="185"/>
      <c r="AJ354" s="185"/>
      <c r="AK354" s="185" t="s">
        <v>45</v>
      </c>
      <c r="AL354" s="185" t="s">
        <v>2267</v>
      </c>
      <c r="AM354" s="185" t="s">
        <v>2269</v>
      </c>
      <c r="AN354" s="196"/>
      <c r="AO354" s="196"/>
      <c r="AP354" s="195"/>
      <c r="AQ354" s="194"/>
      <c r="AR354" s="193"/>
      <c r="AS354" s="192"/>
      <c r="AT354" s="192"/>
      <c r="AU354" s="192"/>
      <c r="AV354" s="192"/>
      <c r="AW354" s="191"/>
      <c r="AX354" s="190" t="s">
        <v>72</v>
      </c>
      <c r="AY354" s="184"/>
    </row>
    <row r="355" spans="2:51">
      <c r="B355" s="185">
        <v>2183</v>
      </c>
      <c r="C355" s="189">
        <v>236858</v>
      </c>
      <c r="D355" s="185" t="s">
        <v>989</v>
      </c>
      <c r="E355" s="185" t="s">
        <v>2003</v>
      </c>
      <c r="F355" s="185" t="s">
        <v>1124</v>
      </c>
      <c r="G355" s="185"/>
      <c r="H355" s="185"/>
      <c r="I355" s="188">
        <v>25</v>
      </c>
      <c r="J355" s="185"/>
      <c r="K355" s="188">
        <v>0</v>
      </c>
      <c r="L355" s="185" t="s">
        <v>1018</v>
      </c>
      <c r="M355" s="185"/>
      <c r="N355" s="185" t="s">
        <v>2190</v>
      </c>
      <c r="O355" s="185" t="s">
        <v>2184</v>
      </c>
      <c r="P355" s="185"/>
      <c r="Q355" s="185" t="s">
        <v>2208</v>
      </c>
      <c r="R355" s="185" t="s">
        <v>2195</v>
      </c>
      <c r="S355" s="186">
        <v>44047</v>
      </c>
      <c r="T355" s="186">
        <v>44047</v>
      </c>
      <c r="U355" s="185" t="s">
        <v>1123</v>
      </c>
      <c r="V355" s="185">
        <v>1200</v>
      </c>
      <c r="W355" s="185">
        <v>14050</v>
      </c>
      <c r="X355" s="187">
        <v>15940.84</v>
      </c>
      <c r="Y355" s="185">
        <v>14056</v>
      </c>
      <c r="Z355" s="187">
        <v>4981.5</v>
      </c>
      <c r="AA355" s="187">
        <v>0</v>
      </c>
      <c r="AB355" s="187">
        <v>10959.34</v>
      </c>
      <c r="AC355" s="187">
        <v>442.8</v>
      </c>
      <c r="AD355" s="185">
        <v>54260</v>
      </c>
      <c r="AE355" s="187">
        <v>110.7</v>
      </c>
      <c r="AF355" s="187">
        <v>0</v>
      </c>
      <c r="AG355" s="187">
        <v>110.7</v>
      </c>
      <c r="AH355" s="185" t="s">
        <v>989</v>
      </c>
      <c r="AI355" s="185"/>
      <c r="AJ355" s="185"/>
      <c r="AK355" s="185" t="s">
        <v>45</v>
      </c>
      <c r="AL355" s="185" t="s">
        <v>2267</v>
      </c>
      <c r="AM355" s="185" t="s">
        <v>2269</v>
      </c>
      <c r="AN355" s="196"/>
      <c r="AO355" s="196"/>
      <c r="AP355" s="195"/>
      <c r="AQ355" s="194"/>
      <c r="AR355" s="193"/>
      <c r="AS355" s="192"/>
      <c r="AT355" s="192"/>
      <c r="AU355" s="192"/>
      <c r="AV355" s="192"/>
      <c r="AW355" s="191"/>
      <c r="AX355" s="190" t="s">
        <v>72</v>
      </c>
      <c r="AY355" s="184"/>
    </row>
    <row r="356" spans="2:51">
      <c r="B356" s="185">
        <v>2183</v>
      </c>
      <c r="C356" s="189">
        <v>236857</v>
      </c>
      <c r="D356" s="185" t="s">
        <v>989</v>
      </c>
      <c r="E356" s="185" t="s">
        <v>2003</v>
      </c>
      <c r="F356" s="185" t="s">
        <v>1125</v>
      </c>
      <c r="G356" s="185"/>
      <c r="H356" s="185"/>
      <c r="I356" s="188">
        <v>25</v>
      </c>
      <c r="J356" s="185"/>
      <c r="K356" s="188">
        <v>0</v>
      </c>
      <c r="L356" s="185" t="s">
        <v>1018</v>
      </c>
      <c r="M356" s="185"/>
      <c r="N356" s="185" t="s">
        <v>2190</v>
      </c>
      <c r="O356" s="185" t="s">
        <v>2184</v>
      </c>
      <c r="P356" s="185"/>
      <c r="Q356" s="185" t="s">
        <v>2200</v>
      </c>
      <c r="R356" s="185" t="s">
        <v>2195</v>
      </c>
      <c r="S356" s="186">
        <v>44047</v>
      </c>
      <c r="T356" s="186">
        <v>44047</v>
      </c>
      <c r="U356" s="185" t="s">
        <v>1123</v>
      </c>
      <c r="V356" s="185">
        <v>1200</v>
      </c>
      <c r="W356" s="185">
        <v>14050</v>
      </c>
      <c r="X356" s="187">
        <v>13862.24</v>
      </c>
      <c r="Y356" s="185">
        <v>14056</v>
      </c>
      <c r="Z356" s="187">
        <v>4331.9799999999996</v>
      </c>
      <c r="AA356" s="187">
        <v>0</v>
      </c>
      <c r="AB356" s="187">
        <v>9530.26</v>
      </c>
      <c r="AC356" s="187">
        <v>385.08</v>
      </c>
      <c r="AD356" s="185">
        <v>54260</v>
      </c>
      <c r="AE356" s="187">
        <v>96.27</v>
      </c>
      <c r="AF356" s="187">
        <v>0</v>
      </c>
      <c r="AG356" s="187">
        <v>96.27</v>
      </c>
      <c r="AH356" s="185" t="s">
        <v>989</v>
      </c>
      <c r="AI356" s="185"/>
      <c r="AJ356" s="185"/>
      <c r="AK356" s="185" t="s">
        <v>45</v>
      </c>
      <c r="AL356" s="185" t="s">
        <v>2267</v>
      </c>
      <c r="AM356" s="185" t="s">
        <v>2269</v>
      </c>
      <c r="AN356" s="196"/>
      <c r="AO356" s="196"/>
      <c r="AP356" s="195"/>
      <c r="AQ356" s="194"/>
      <c r="AR356" s="193"/>
      <c r="AS356" s="192"/>
      <c r="AT356" s="192"/>
      <c r="AU356" s="192"/>
      <c r="AV356" s="192"/>
      <c r="AW356" s="191"/>
      <c r="AX356" s="190" t="s">
        <v>72</v>
      </c>
      <c r="AY356" s="184"/>
    </row>
    <row r="357" spans="2:51">
      <c r="B357" s="185">
        <v>2183</v>
      </c>
      <c r="C357" s="189">
        <v>236856</v>
      </c>
      <c r="D357" s="185" t="s">
        <v>989</v>
      </c>
      <c r="E357" s="185" t="s">
        <v>2003</v>
      </c>
      <c r="F357" s="185" t="s">
        <v>1126</v>
      </c>
      <c r="G357" s="185"/>
      <c r="H357" s="185"/>
      <c r="I357" s="188">
        <v>10</v>
      </c>
      <c r="J357" s="185"/>
      <c r="K357" s="188">
        <v>0</v>
      </c>
      <c r="L357" s="185" t="s">
        <v>1018</v>
      </c>
      <c r="M357" s="185"/>
      <c r="N357" s="185" t="s">
        <v>2190</v>
      </c>
      <c r="O357" s="185" t="s">
        <v>2184</v>
      </c>
      <c r="P357" s="185"/>
      <c r="Q357" s="185" t="s">
        <v>137</v>
      </c>
      <c r="R357" s="185" t="s">
        <v>2195</v>
      </c>
      <c r="S357" s="186">
        <v>44047</v>
      </c>
      <c r="T357" s="186">
        <v>44047</v>
      </c>
      <c r="U357" s="185" t="s">
        <v>1123</v>
      </c>
      <c r="V357" s="185">
        <v>1200</v>
      </c>
      <c r="W357" s="185">
        <v>14050</v>
      </c>
      <c r="X357" s="187">
        <v>7868.98</v>
      </c>
      <c r="Y357" s="185">
        <v>14056</v>
      </c>
      <c r="Z357" s="187">
        <v>2459.08</v>
      </c>
      <c r="AA357" s="187">
        <v>0</v>
      </c>
      <c r="AB357" s="187">
        <v>5409.9</v>
      </c>
      <c r="AC357" s="187">
        <v>218.6</v>
      </c>
      <c r="AD357" s="185">
        <v>54260</v>
      </c>
      <c r="AE357" s="187">
        <v>54.65</v>
      </c>
      <c r="AF357" s="187">
        <v>0</v>
      </c>
      <c r="AG357" s="187">
        <v>54.65</v>
      </c>
      <c r="AH357" s="185" t="s">
        <v>989</v>
      </c>
      <c r="AI357" s="185"/>
      <c r="AJ357" s="185"/>
      <c r="AK357" s="185" t="s">
        <v>45</v>
      </c>
      <c r="AL357" s="185" t="s">
        <v>2267</v>
      </c>
      <c r="AM357" s="185" t="s">
        <v>2269</v>
      </c>
      <c r="AN357" s="196"/>
      <c r="AO357" s="196"/>
      <c r="AP357" s="195"/>
      <c r="AQ357" s="194"/>
      <c r="AR357" s="193"/>
      <c r="AS357" s="192"/>
      <c r="AT357" s="192"/>
      <c r="AU357" s="192"/>
      <c r="AV357" s="192"/>
      <c r="AW357" s="191"/>
      <c r="AX357" s="190" t="s">
        <v>72</v>
      </c>
      <c r="AY357" s="184"/>
    </row>
    <row r="358" spans="2:51">
      <c r="B358" s="185">
        <v>2183</v>
      </c>
      <c r="C358" s="189">
        <v>236855</v>
      </c>
      <c r="D358" s="185" t="s">
        <v>989</v>
      </c>
      <c r="E358" s="185" t="s">
        <v>2003</v>
      </c>
      <c r="F358" s="185" t="s">
        <v>826</v>
      </c>
      <c r="G358" s="185"/>
      <c r="H358" s="185"/>
      <c r="I358" s="188">
        <v>10</v>
      </c>
      <c r="J358" s="185"/>
      <c r="K358" s="188">
        <v>0</v>
      </c>
      <c r="L358" s="185" t="s">
        <v>1018</v>
      </c>
      <c r="M358" s="185"/>
      <c r="N358" s="185" t="s">
        <v>2190</v>
      </c>
      <c r="O358" s="185" t="s">
        <v>2184</v>
      </c>
      <c r="P358" s="185"/>
      <c r="Q358" s="185" t="s">
        <v>2214</v>
      </c>
      <c r="R358" s="185" t="s">
        <v>2195</v>
      </c>
      <c r="S358" s="186">
        <v>44047</v>
      </c>
      <c r="T358" s="186">
        <v>44047</v>
      </c>
      <c r="U358" s="185" t="s">
        <v>1123</v>
      </c>
      <c r="V358" s="185">
        <v>1200</v>
      </c>
      <c r="W358" s="185">
        <v>14050</v>
      </c>
      <c r="X358" s="187">
        <v>5123.05</v>
      </c>
      <c r="Y358" s="185">
        <v>14056</v>
      </c>
      <c r="Z358" s="187">
        <v>1600.96</v>
      </c>
      <c r="AA358" s="187">
        <v>0</v>
      </c>
      <c r="AB358" s="187">
        <v>3522.09</v>
      </c>
      <c r="AC358" s="187">
        <v>142.32</v>
      </c>
      <c r="AD358" s="185">
        <v>54260</v>
      </c>
      <c r="AE358" s="187">
        <v>35.58</v>
      </c>
      <c r="AF358" s="187">
        <v>0</v>
      </c>
      <c r="AG358" s="187">
        <v>35.58</v>
      </c>
      <c r="AH358" s="185" t="s">
        <v>989</v>
      </c>
      <c r="AI358" s="185"/>
      <c r="AJ358" s="185"/>
      <c r="AK358" s="185" t="s">
        <v>45</v>
      </c>
      <c r="AL358" s="185" t="s">
        <v>2267</v>
      </c>
      <c r="AM358" s="185" t="s">
        <v>2269</v>
      </c>
      <c r="AN358" s="196"/>
      <c r="AO358" s="196"/>
      <c r="AP358" s="195"/>
      <c r="AQ358" s="194"/>
      <c r="AR358" s="193"/>
      <c r="AS358" s="192"/>
      <c r="AT358" s="192"/>
      <c r="AU358" s="192"/>
      <c r="AV358" s="192"/>
      <c r="AW358" s="191"/>
      <c r="AX358" s="190" t="s">
        <v>72</v>
      </c>
      <c r="AY358" s="184"/>
    </row>
    <row r="359" spans="2:51">
      <c r="B359" s="185">
        <v>2183</v>
      </c>
      <c r="C359" s="189">
        <v>236854</v>
      </c>
      <c r="D359" s="185" t="s">
        <v>989</v>
      </c>
      <c r="E359" s="185" t="s">
        <v>2003</v>
      </c>
      <c r="F359" s="185" t="s">
        <v>1127</v>
      </c>
      <c r="G359" s="185"/>
      <c r="H359" s="185"/>
      <c r="I359" s="188">
        <v>15</v>
      </c>
      <c r="J359" s="185"/>
      <c r="K359" s="188">
        <v>0</v>
      </c>
      <c r="L359" s="185" t="s">
        <v>1018</v>
      </c>
      <c r="M359" s="185"/>
      <c r="N359" s="185" t="s">
        <v>2190</v>
      </c>
      <c r="O359" s="185" t="s">
        <v>2184</v>
      </c>
      <c r="P359" s="185"/>
      <c r="Q359" s="185" t="s">
        <v>2209</v>
      </c>
      <c r="R359" s="185" t="s">
        <v>2195</v>
      </c>
      <c r="S359" s="186">
        <v>44047</v>
      </c>
      <c r="T359" s="186">
        <v>44047</v>
      </c>
      <c r="U359" s="185" t="s">
        <v>1123</v>
      </c>
      <c r="V359" s="185">
        <v>1200</v>
      </c>
      <c r="W359" s="185">
        <v>14050</v>
      </c>
      <c r="X359" s="187">
        <v>8012.77</v>
      </c>
      <c r="Y359" s="185">
        <v>14056</v>
      </c>
      <c r="Z359" s="187">
        <v>2503.9699999999998</v>
      </c>
      <c r="AA359" s="187">
        <v>0</v>
      </c>
      <c r="AB359" s="187">
        <v>5508.8000000000011</v>
      </c>
      <c r="AC359" s="187">
        <v>222.56</v>
      </c>
      <c r="AD359" s="185">
        <v>54260</v>
      </c>
      <c r="AE359" s="187">
        <v>55.64</v>
      </c>
      <c r="AF359" s="187">
        <v>0</v>
      </c>
      <c r="AG359" s="187">
        <v>55.64</v>
      </c>
      <c r="AH359" s="185" t="s">
        <v>989</v>
      </c>
      <c r="AI359" s="185"/>
      <c r="AJ359" s="185"/>
      <c r="AK359" s="185" t="s">
        <v>45</v>
      </c>
      <c r="AL359" s="185" t="s">
        <v>2267</v>
      </c>
      <c r="AM359" s="185" t="s">
        <v>2269</v>
      </c>
      <c r="AN359" s="196"/>
      <c r="AO359" s="196"/>
      <c r="AP359" s="195"/>
      <c r="AQ359" s="194"/>
      <c r="AR359" s="193"/>
      <c r="AS359" s="192"/>
      <c r="AT359" s="192"/>
      <c r="AU359" s="192"/>
      <c r="AV359" s="192"/>
      <c r="AW359" s="191"/>
      <c r="AX359" s="190" t="s">
        <v>72</v>
      </c>
      <c r="AY359" s="184"/>
    </row>
    <row r="360" spans="2:51">
      <c r="B360" s="185">
        <v>2183</v>
      </c>
      <c r="C360" s="189">
        <v>236853</v>
      </c>
      <c r="D360" s="185" t="s">
        <v>989</v>
      </c>
      <c r="E360" s="185" t="s">
        <v>2003</v>
      </c>
      <c r="F360" s="185" t="s">
        <v>1128</v>
      </c>
      <c r="G360" s="185"/>
      <c r="H360" s="185"/>
      <c r="I360" s="188">
        <v>702</v>
      </c>
      <c r="J360" s="185"/>
      <c r="K360" s="188">
        <v>0</v>
      </c>
      <c r="L360" s="185" t="s">
        <v>1001</v>
      </c>
      <c r="M360" s="185"/>
      <c r="N360" s="185" t="s">
        <v>2190</v>
      </c>
      <c r="O360" s="185" t="s">
        <v>2184</v>
      </c>
      <c r="P360" s="185"/>
      <c r="Q360" s="185"/>
      <c r="R360" s="185"/>
      <c r="S360" s="186">
        <v>44040</v>
      </c>
      <c r="T360" s="186">
        <v>44040</v>
      </c>
      <c r="U360" s="185" t="s">
        <v>1118</v>
      </c>
      <c r="V360" s="185">
        <v>700</v>
      </c>
      <c r="W360" s="185">
        <v>14050</v>
      </c>
      <c r="X360" s="187">
        <v>30059.05</v>
      </c>
      <c r="Y360" s="185">
        <v>14056</v>
      </c>
      <c r="Z360" s="187">
        <v>16103.08</v>
      </c>
      <c r="AA360" s="187">
        <v>0</v>
      </c>
      <c r="AB360" s="187">
        <v>13955.97</v>
      </c>
      <c r="AC360" s="187">
        <v>1431.4</v>
      </c>
      <c r="AD360" s="185">
        <v>54260</v>
      </c>
      <c r="AE360" s="187">
        <v>357.85</v>
      </c>
      <c r="AF360" s="187">
        <v>0</v>
      </c>
      <c r="AG360" s="187">
        <v>357.85</v>
      </c>
      <c r="AH360" s="185" t="s">
        <v>989</v>
      </c>
      <c r="AI360" s="185"/>
      <c r="AJ360" s="185"/>
      <c r="AK360" s="185" t="s">
        <v>45</v>
      </c>
      <c r="AL360" s="185" t="s">
        <v>2267</v>
      </c>
      <c r="AM360" s="185" t="s">
        <v>2269</v>
      </c>
      <c r="AN360" s="196"/>
      <c r="AO360" s="196"/>
      <c r="AP360" s="195"/>
      <c r="AQ360" s="194"/>
      <c r="AR360" s="193"/>
      <c r="AS360" s="192"/>
      <c r="AT360" s="192"/>
      <c r="AU360" s="192"/>
      <c r="AV360" s="192"/>
      <c r="AW360" s="191"/>
      <c r="AX360" s="190" t="s">
        <v>72</v>
      </c>
      <c r="AY360" s="184"/>
    </row>
    <row r="361" spans="2:51">
      <c r="B361" s="185">
        <v>2183</v>
      </c>
      <c r="C361" s="189">
        <v>236852</v>
      </c>
      <c r="D361" s="185" t="s">
        <v>989</v>
      </c>
      <c r="E361" s="185" t="s">
        <v>2003</v>
      </c>
      <c r="F361" s="185" t="s">
        <v>861</v>
      </c>
      <c r="G361" s="185"/>
      <c r="H361" s="185"/>
      <c r="I361" s="188">
        <v>702</v>
      </c>
      <c r="J361" s="185"/>
      <c r="K361" s="188">
        <v>0</v>
      </c>
      <c r="L361" s="185" t="s">
        <v>1001</v>
      </c>
      <c r="M361" s="185"/>
      <c r="N361" s="185" t="s">
        <v>2190</v>
      </c>
      <c r="O361" s="185" t="s">
        <v>2184</v>
      </c>
      <c r="P361" s="185"/>
      <c r="Q361" s="185"/>
      <c r="R361" s="185"/>
      <c r="S361" s="186">
        <v>44040</v>
      </c>
      <c r="T361" s="186">
        <v>44040</v>
      </c>
      <c r="U361" s="185" t="s">
        <v>1118</v>
      </c>
      <c r="V361" s="185">
        <v>700</v>
      </c>
      <c r="W361" s="185">
        <v>14050</v>
      </c>
      <c r="X361" s="187">
        <v>30059.05</v>
      </c>
      <c r="Y361" s="185">
        <v>14056</v>
      </c>
      <c r="Z361" s="187">
        <v>16103.08</v>
      </c>
      <c r="AA361" s="187">
        <v>0</v>
      </c>
      <c r="AB361" s="187">
        <v>13955.97</v>
      </c>
      <c r="AC361" s="187">
        <v>1431.4</v>
      </c>
      <c r="AD361" s="185">
        <v>54260</v>
      </c>
      <c r="AE361" s="187">
        <v>357.85</v>
      </c>
      <c r="AF361" s="187">
        <v>0</v>
      </c>
      <c r="AG361" s="187">
        <v>357.85</v>
      </c>
      <c r="AH361" s="185" t="s">
        <v>989</v>
      </c>
      <c r="AI361" s="185"/>
      <c r="AJ361" s="185"/>
      <c r="AK361" s="185" t="s">
        <v>45</v>
      </c>
      <c r="AL361" s="185" t="s">
        <v>2267</v>
      </c>
      <c r="AM361" s="185" t="s">
        <v>2269</v>
      </c>
      <c r="AN361" s="196"/>
      <c r="AO361" s="196"/>
      <c r="AP361" s="195"/>
      <c r="AQ361" s="194"/>
      <c r="AR361" s="193"/>
      <c r="AS361" s="192"/>
      <c r="AT361" s="192"/>
      <c r="AU361" s="192"/>
      <c r="AV361" s="192"/>
      <c r="AW361" s="191"/>
      <c r="AX361" s="190" t="s">
        <v>72</v>
      </c>
      <c r="AY361" s="184"/>
    </row>
    <row r="362" spans="2:51">
      <c r="B362" s="185">
        <v>2183</v>
      </c>
      <c r="C362" s="189">
        <v>236851</v>
      </c>
      <c r="D362" s="185" t="s">
        <v>989</v>
      </c>
      <c r="E362" s="185" t="s">
        <v>2003</v>
      </c>
      <c r="F362" s="185" t="s">
        <v>862</v>
      </c>
      <c r="G362" s="185"/>
      <c r="H362" s="185"/>
      <c r="I362" s="188">
        <v>864</v>
      </c>
      <c r="J362" s="185"/>
      <c r="K362" s="188">
        <v>0</v>
      </c>
      <c r="L362" s="185" t="s">
        <v>1129</v>
      </c>
      <c r="M362" s="185"/>
      <c r="N362" s="185" t="s">
        <v>2190</v>
      </c>
      <c r="O362" s="185" t="s">
        <v>2184</v>
      </c>
      <c r="P362" s="185"/>
      <c r="Q362" s="185"/>
      <c r="R362" s="185"/>
      <c r="S362" s="186">
        <v>44040</v>
      </c>
      <c r="T362" s="186">
        <v>44040</v>
      </c>
      <c r="U362" s="185" t="s">
        <v>1118</v>
      </c>
      <c r="V362" s="185">
        <v>700</v>
      </c>
      <c r="W362" s="185">
        <v>14050</v>
      </c>
      <c r="X362" s="187">
        <v>27326.2</v>
      </c>
      <c r="Y362" s="185">
        <v>14056</v>
      </c>
      <c r="Z362" s="187">
        <v>14639.02</v>
      </c>
      <c r="AA362" s="187">
        <v>0</v>
      </c>
      <c r="AB362" s="187">
        <v>12687.18</v>
      </c>
      <c r="AC362" s="187">
        <v>1301.24</v>
      </c>
      <c r="AD362" s="185">
        <v>54260</v>
      </c>
      <c r="AE362" s="187">
        <v>325.31</v>
      </c>
      <c r="AF362" s="187">
        <v>0</v>
      </c>
      <c r="AG362" s="187">
        <v>325.31</v>
      </c>
      <c r="AH362" s="185" t="s">
        <v>989</v>
      </c>
      <c r="AI362" s="185"/>
      <c r="AJ362" s="185"/>
      <c r="AK362" s="185" t="s">
        <v>45</v>
      </c>
      <c r="AL362" s="185" t="s">
        <v>2267</v>
      </c>
      <c r="AM362" s="185" t="s">
        <v>2269</v>
      </c>
      <c r="AN362" s="196"/>
      <c r="AO362" s="196"/>
      <c r="AP362" s="195"/>
      <c r="AQ362" s="194"/>
      <c r="AR362" s="193"/>
      <c r="AS362" s="192"/>
      <c r="AT362" s="192"/>
      <c r="AU362" s="192"/>
      <c r="AV362" s="192"/>
      <c r="AW362" s="191"/>
      <c r="AX362" s="190" t="s">
        <v>72</v>
      </c>
      <c r="AY362" s="184"/>
    </row>
    <row r="363" spans="2:51">
      <c r="B363" s="185">
        <v>2183</v>
      </c>
      <c r="C363" s="189">
        <v>236404</v>
      </c>
      <c r="D363" s="185" t="s">
        <v>989</v>
      </c>
      <c r="E363" s="185" t="s">
        <v>2003</v>
      </c>
      <c r="F363" s="185" t="s">
        <v>840</v>
      </c>
      <c r="G363" s="185"/>
      <c r="H363" s="185"/>
      <c r="I363" s="188">
        <v>1</v>
      </c>
      <c r="J363" s="185" t="s">
        <v>1130</v>
      </c>
      <c r="K363" s="188">
        <v>2021</v>
      </c>
      <c r="L363" s="185" t="s">
        <v>1097</v>
      </c>
      <c r="M363" s="185" t="s">
        <v>1131</v>
      </c>
      <c r="N363" s="185" t="s">
        <v>2183</v>
      </c>
      <c r="O363" s="185" t="s">
        <v>2184</v>
      </c>
      <c r="P363" s="185" t="s">
        <v>2204</v>
      </c>
      <c r="Q363" s="185"/>
      <c r="R363" s="185"/>
      <c r="S363" s="186">
        <v>44044</v>
      </c>
      <c r="T363" s="186">
        <v>44044</v>
      </c>
      <c r="U363" s="185" t="s">
        <v>1132</v>
      </c>
      <c r="V363" s="185">
        <v>1000</v>
      </c>
      <c r="W363" s="185">
        <v>14040</v>
      </c>
      <c r="X363" s="187">
        <v>154004.04</v>
      </c>
      <c r="Y363" s="185">
        <v>14046</v>
      </c>
      <c r="Z363" s="187">
        <v>57751.519999999997</v>
      </c>
      <c r="AA363" s="187">
        <v>0</v>
      </c>
      <c r="AB363" s="187">
        <v>96252.520000000019</v>
      </c>
      <c r="AC363" s="187">
        <v>5133.4799999999996</v>
      </c>
      <c r="AD363" s="185">
        <v>51260</v>
      </c>
      <c r="AE363" s="187">
        <v>1283.3699999999999</v>
      </c>
      <c r="AF363" s="187">
        <v>0</v>
      </c>
      <c r="AG363" s="187">
        <v>1283.3699999999999</v>
      </c>
      <c r="AH363" s="185" t="s">
        <v>989</v>
      </c>
      <c r="AI363" s="185"/>
      <c r="AJ363" s="185">
        <v>4523</v>
      </c>
      <c r="AK363" s="185" t="s">
        <v>45</v>
      </c>
      <c r="AL363" s="185" t="s">
        <v>2267</v>
      </c>
      <c r="AM363" s="185" t="s">
        <v>2269</v>
      </c>
      <c r="AN363" s="196"/>
      <c r="AO363" s="196"/>
      <c r="AP363" s="195"/>
      <c r="AQ363" s="194"/>
      <c r="AR363" s="193"/>
      <c r="AS363" s="192"/>
      <c r="AT363" s="192"/>
      <c r="AU363" s="192"/>
      <c r="AV363" s="192"/>
      <c r="AW363" s="191"/>
      <c r="AX363" s="190" t="s">
        <v>72</v>
      </c>
      <c r="AY363" s="184"/>
    </row>
    <row r="364" spans="2:51">
      <c r="B364" s="185">
        <v>2183</v>
      </c>
      <c r="C364" s="189">
        <v>236330</v>
      </c>
      <c r="D364" s="185" t="s">
        <v>989</v>
      </c>
      <c r="E364" s="185" t="s">
        <v>2003</v>
      </c>
      <c r="F364" s="185" t="s">
        <v>1133</v>
      </c>
      <c r="G364" s="185"/>
      <c r="H364" s="185"/>
      <c r="I364" s="188">
        <v>10</v>
      </c>
      <c r="J364" s="185"/>
      <c r="K364" s="188">
        <v>0</v>
      </c>
      <c r="L364" s="185" t="s">
        <v>1018</v>
      </c>
      <c r="M364" s="185"/>
      <c r="N364" s="185" t="s">
        <v>2190</v>
      </c>
      <c r="O364" s="185" t="s">
        <v>2184</v>
      </c>
      <c r="P364" s="185"/>
      <c r="Q364" s="185" t="s">
        <v>2194</v>
      </c>
      <c r="R364" s="185" t="s">
        <v>2195</v>
      </c>
      <c r="S364" s="186">
        <v>44047</v>
      </c>
      <c r="T364" s="186">
        <v>44047</v>
      </c>
      <c r="U364" s="185" t="s">
        <v>1123</v>
      </c>
      <c r="V364" s="185">
        <v>1200</v>
      </c>
      <c r="W364" s="185">
        <v>14050</v>
      </c>
      <c r="X364" s="187">
        <v>8281.58</v>
      </c>
      <c r="Y364" s="185">
        <v>14056</v>
      </c>
      <c r="Z364" s="187">
        <v>2587.9899999999998</v>
      </c>
      <c r="AA364" s="187">
        <v>0</v>
      </c>
      <c r="AB364" s="187">
        <v>5693.59</v>
      </c>
      <c r="AC364" s="187">
        <v>230.04</v>
      </c>
      <c r="AD364" s="185">
        <v>54260</v>
      </c>
      <c r="AE364" s="187">
        <v>57.51</v>
      </c>
      <c r="AF364" s="187">
        <v>0</v>
      </c>
      <c r="AG364" s="187">
        <v>57.51</v>
      </c>
      <c r="AH364" s="185" t="s">
        <v>989</v>
      </c>
      <c r="AI364" s="185"/>
      <c r="AJ364" s="185"/>
      <c r="AK364" s="185" t="s">
        <v>45</v>
      </c>
      <c r="AL364" s="185" t="s">
        <v>2267</v>
      </c>
      <c r="AM364" s="185" t="s">
        <v>2269</v>
      </c>
      <c r="AN364" s="196"/>
      <c r="AO364" s="196"/>
      <c r="AP364" s="195"/>
      <c r="AQ364" s="194"/>
      <c r="AR364" s="193"/>
      <c r="AS364" s="192"/>
      <c r="AT364" s="192"/>
      <c r="AU364" s="192"/>
      <c r="AV364" s="192"/>
      <c r="AW364" s="191"/>
      <c r="AX364" s="190" t="s">
        <v>72</v>
      </c>
      <c r="AY364" s="184"/>
    </row>
    <row r="365" spans="2:51">
      <c r="B365" s="185">
        <v>2183</v>
      </c>
      <c r="C365" s="189">
        <v>236329</v>
      </c>
      <c r="D365" s="185" t="s">
        <v>989</v>
      </c>
      <c r="E365" s="185" t="s">
        <v>2003</v>
      </c>
      <c r="F365" s="185" t="s">
        <v>818</v>
      </c>
      <c r="G365" s="185"/>
      <c r="H365" s="185"/>
      <c r="I365" s="188">
        <v>864</v>
      </c>
      <c r="J365" s="185"/>
      <c r="K365" s="188">
        <v>0</v>
      </c>
      <c r="L365" s="185" t="s">
        <v>1129</v>
      </c>
      <c r="M365" s="185"/>
      <c r="N365" s="185" t="s">
        <v>2190</v>
      </c>
      <c r="O365" s="185" t="s">
        <v>2184</v>
      </c>
      <c r="P365" s="185"/>
      <c r="Q365" s="185"/>
      <c r="R365" s="185"/>
      <c r="S365" s="186">
        <v>44040</v>
      </c>
      <c r="T365" s="186">
        <v>44040</v>
      </c>
      <c r="U365" s="185" t="s">
        <v>1118</v>
      </c>
      <c r="V365" s="185">
        <v>700</v>
      </c>
      <c r="W365" s="185">
        <v>14050</v>
      </c>
      <c r="X365" s="187">
        <v>27326.2</v>
      </c>
      <c r="Y365" s="185">
        <v>14056</v>
      </c>
      <c r="Z365" s="187">
        <v>14639.02</v>
      </c>
      <c r="AA365" s="187">
        <v>0</v>
      </c>
      <c r="AB365" s="187">
        <v>12687.18</v>
      </c>
      <c r="AC365" s="187">
        <v>1301.24</v>
      </c>
      <c r="AD365" s="185">
        <v>54260</v>
      </c>
      <c r="AE365" s="187">
        <v>325.31</v>
      </c>
      <c r="AF365" s="187">
        <v>0</v>
      </c>
      <c r="AG365" s="187">
        <v>325.31</v>
      </c>
      <c r="AH365" s="185" t="s">
        <v>989</v>
      </c>
      <c r="AI365" s="185"/>
      <c r="AJ365" s="185"/>
      <c r="AK365" s="185" t="s">
        <v>45</v>
      </c>
      <c r="AL365" s="185" t="s">
        <v>2267</v>
      </c>
      <c r="AM365" s="185" t="s">
        <v>2269</v>
      </c>
      <c r="AN365" s="196"/>
      <c r="AO365" s="196"/>
      <c r="AP365" s="195"/>
      <c r="AQ365" s="194"/>
      <c r="AR365" s="193"/>
      <c r="AS365" s="192"/>
      <c r="AT365" s="192"/>
      <c r="AU365" s="192"/>
      <c r="AV365" s="192"/>
      <c r="AW365" s="191"/>
      <c r="AX365" s="190" t="s">
        <v>72</v>
      </c>
      <c r="AY365" s="184"/>
    </row>
    <row r="366" spans="2:51">
      <c r="B366" s="185">
        <v>2183</v>
      </c>
      <c r="C366" s="189">
        <v>236070</v>
      </c>
      <c r="D366" s="185" t="s">
        <v>989</v>
      </c>
      <c r="E366" s="185" t="s">
        <v>2003</v>
      </c>
      <c r="F366" s="185" t="s">
        <v>1134</v>
      </c>
      <c r="G366" s="185"/>
      <c r="H366" s="185"/>
      <c r="I366" s="188">
        <v>624</v>
      </c>
      <c r="J366" s="185"/>
      <c r="K366" s="188">
        <v>0</v>
      </c>
      <c r="L366" s="185" t="s">
        <v>1129</v>
      </c>
      <c r="M366" s="185"/>
      <c r="N366" s="185" t="s">
        <v>2190</v>
      </c>
      <c r="O366" s="185" t="s">
        <v>2184</v>
      </c>
      <c r="P366" s="185"/>
      <c r="Q366" s="185"/>
      <c r="R366" s="185"/>
      <c r="S366" s="186">
        <v>44040</v>
      </c>
      <c r="T366" s="186">
        <v>44040</v>
      </c>
      <c r="U366" s="185" t="s">
        <v>1118</v>
      </c>
      <c r="V366" s="185">
        <v>700</v>
      </c>
      <c r="W366" s="185">
        <v>14050</v>
      </c>
      <c r="X366" s="187">
        <v>23148.87</v>
      </c>
      <c r="Y366" s="185">
        <v>14056</v>
      </c>
      <c r="Z366" s="187">
        <v>12401.17</v>
      </c>
      <c r="AA366" s="187">
        <v>0</v>
      </c>
      <c r="AB366" s="187">
        <v>10747.699999999999</v>
      </c>
      <c r="AC366" s="187">
        <v>1102.32</v>
      </c>
      <c r="AD366" s="185">
        <v>54260</v>
      </c>
      <c r="AE366" s="187">
        <v>275.58</v>
      </c>
      <c r="AF366" s="187">
        <v>0</v>
      </c>
      <c r="AG366" s="187">
        <v>275.58</v>
      </c>
      <c r="AH366" s="185" t="s">
        <v>989</v>
      </c>
      <c r="AI366" s="185"/>
      <c r="AJ366" s="185"/>
      <c r="AK366" s="185" t="s">
        <v>45</v>
      </c>
      <c r="AL366" s="185" t="s">
        <v>2267</v>
      </c>
      <c r="AM366" s="185" t="s">
        <v>2269</v>
      </c>
      <c r="AN366" s="196"/>
      <c r="AO366" s="196"/>
      <c r="AP366" s="195"/>
      <c r="AQ366" s="194"/>
      <c r="AR366" s="193"/>
      <c r="AS366" s="192"/>
      <c r="AT366" s="192"/>
      <c r="AU366" s="192"/>
      <c r="AV366" s="192"/>
      <c r="AW366" s="191"/>
      <c r="AX366" s="190" t="s">
        <v>72</v>
      </c>
      <c r="AY366" s="184"/>
    </row>
    <row r="367" spans="2:51">
      <c r="B367" s="185">
        <v>2183</v>
      </c>
      <c r="C367" s="189">
        <v>233736</v>
      </c>
      <c r="D367" s="185" t="s">
        <v>989</v>
      </c>
      <c r="E367" s="185" t="s">
        <v>2003</v>
      </c>
      <c r="F367" s="185" t="s">
        <v>614</v>
      </c>
      <c r="G367" s="185"/>
      <c r="H367" s="185"/>
      <c r="I367" s="188">
        <v>351</v>
      </c>
      <c r="J367" s="185"/>
      <c r="K367" s="188">
        <v>0</v>
      </c>
      <c r="L367" s="185" t="s">
        <v>1001</v>
      </c>
      <c r="M367" s="185"/>
      <c r="N367" s="185" t="s">
        <v>2190</v>
      </c>
      <c r="O367" s="185" t="s">
        <v>2184</v>
      </c>
      <c r="P367" s="185"/>
      <c r="Q367" s="185"/>
      <c r="R367" s="185"/>
      <c r="S367" s="186">
        <v>43998</v>
      </c>
      <c r="T367" s="186">
        <v>43998</v>
      </c>
      <c r="U367" s="185" t="s">
        <v>1135</v>
      </c>
      <c r="V367" s="185">
        <v>700</v>
      </c>
      <c r="W367" s="185">
        <v>14050</v>
      </c>
      <c r="X367" s="187">
        <v>14415.13</v>
      </c>
      <c r="Y367" s="185">
        <v>14056</v>
      </c>
      <c r="Z367" s="187">
        <v>7894.02</v>
      </c>
      <c r="AA367" s="187">
        <v>0</v>
      </c>
      <c r="AB367" s="187">
        <v>6521.1099999999988</v>
      </c>
      <c r="AC367" s="187">
        <v>686.44</v>
      </c>
      <c r="AD367" s="185">
        <v>54260</v>
      </c>
      <c r="AE367" s="187">
        <v>171.61</v>
      </c>
      <c r="AF367" s="187">
        <v>0</v>
      </c>
      <c r="AG367" s="187">
        <v>171.61</v>
      </c>
      <c r="AH367" s="185" t="s">
        <v>989</v>
      </c>
      <c r="AI367" s="185"/>
      <c r="AJ367" s="185"/>
      <c r="AK367" s="185" t="s">
        <v>45</v>
      </c>
      <c r="AL367" s="185" t="s">
        <v>2267</v>
      </c>
      <c r="AM367" s="185" t="s">
        <v>2269</v>
      </c>
      <c r="AN367" s="196"/>
      <c r="AO367" s="196"/>
      <c r="AP367" s="195"/>
      <c r="AQ367" s="194"/>
      <c r="AR367" s="193"/>
      <c r="AS367" s="192"/>
      <c r="AT367" s="192"/>
      <c r="AU367" s="192"/>
      <c r="AV367" s="192"/>
      <c r="AW367" s="191"/>
      <c r="AX367" s="190" t="s">
        <v>72</v>
      </c>
      <c r="AY367" s="184"/>
    </row>
    <row r="368" spans="2:51">
      <c r="B368" s="185">
        <v>2183</v>
      </c>
      <c r="C368" s="189">
        <v>233561</v>
      </c>
      <c r="D368" s="185" t="s">
        <v>989</v>
      </c>
      <c r="E368" s="185" t="s">
        <v>2003</v>
      </c>
      <c r="F368" s="185" t="s">
        <v>861</v>
      </c>
      <c r="G368" s="185"/>
      <c r="H368" s="185"/>
      <c r="I368" s="188">
        <v>702</v>
      </c>
      <c r="J368" s="185"/>
      <c r="K368" s="188">
        <v>0</v>
      </c>
      <c r="L368" s="185" t="s">
        <v>1001</v>
      </c>
      <c r="M368" s="185"/>
      <c r="N368" s="185" t="s">
        <v>2190</v>
      </c>
      <c r="O368" s="185" t="s">
        <v>2184</v>
      </c>
      <c r="P368" s="185"/>
      <c r="Q368" s="185"/>
      <c r="R368" s="185"/>
      <c r="S368" s="186">
        <v>43955</v>
      </c>
      <c r="T368" s="186">
        <v>43955</v>
      </c>
      <c r="U368" s="185" t="s">
        <v>1135</v>
      </c>
      <c r="V368" s="185">
        <v>700</v>
      </c>
      <c r="W368" s="185">
        <v>14050</v>
      </c>
      <c r="X368" s="187">
        <v>25637.46</v>
      </c>
      <c r="Y368" s="185">
        <v>14056</v>
      </c>
      <c r="Z368" s="187">
        <v>14650</v>
      </c>
      <c r="AA368" s="187">
        <v>0</v>
      </c>
      <c r="AB368" s="187">
        <v>10987.46</v>
      </c>
      <c r="AC368" s="187">
        <v>1220.8399999999999</v>
      </c>
      <c r="AD368" s="185">
        <v>54260</v>
      </c>
      <c r="AE368" s="187">
        <v>305.20999999999998</v>
      </c>
      <c r="AF368" s="187">
        <v>0</v>
      </c>
      <c r="AG368" s="187">
        <v>305.20999999999998</v>
      </c>
      <c r="AH368" s="185" t="s">
        <v>989</v>
      </c>
      <c r="AI368" s="185"/>
      <c r="AJ368" s="185"/>
      <c r="AK368" s="185" t="s">
        <v>45</v>
      </c>
      <c r="AL368" s="185" t="s">
        <v>2267</v>
      </c>
      <c r="AM368" s="185" t="s">
        <v>2269</v>
      </c>
      <c r="AN368" s="196"/>
      <c r="AO368" s="196"/>
      <c r="AP368" s="195"/>
      <c r="AQ368" s="194"/>
      <c r="AR368" s="193"/>
      <c r="AS368" s="192"/>
      <c r="AT368" s="192"/>
      <c r="AU368" s="192"/>
      <c r="AV368" s="192"/>
      <c r="AW368" s="191"/>
      <c r="AX368" s="190" t="s">
        <v>72</v>
      </c>
      <c r="AY368" s="184"/>
    </row>
    <row r="369" spans="2:51" hidden="1">
      <c r="B369" s="185">
        <v>2183</v>
      </c>
      <c r="C369" s="189">
        <v>233145</v>
      </c>
      <c r="D369" s="185">
        <v>232602</v>
      </c>
      <c r="E369" s="185" t="s">
        <v>2003</v>
      </c>
      <c r="F369" s="185" t="s">
        <v>1116</v>
      </c>
      <c r="G369" s="185"/>
      <c r="H369" s="185"/>
      <c r="I369" s="188">
        <v>1</v>
      </c>
      <c r="J369" s="185"/>
      <c r="K369" s="188">
        <v>0</v>
      </c>
      <c r="L369" s="185" t="s">
        <v>1112</v>
      </c>
      <c r="M369" s="185"/>
      <c r="N369" s="185" t="s">
        <v>2183</v>
      </c>
      <c r="O369" s="185" t="s">
        <v>2184</v>
      </c>
      <c r="P369" s="185" t="s">
        <v>1028</v>
      </c>
      <c r="Q369" s="185"/>
      <c r="R369" s="185"/>
      <c r="S369" s="186">
        <v>43972</v>
      </c>
      <c r="T369" s="186">
        <v>43972</v>
      </c>
      <c r="U369" s="185" t="s">
        <v>1136</v>
      </c>
      <c r="V369" s="185">
        <v>500</v>
      </c>
      <c r="W369" s="185">
        <v>14040</v>
      </c>
      <c r="X369" s="187">
        <v>2570.6999999999998</v>
      </c>
      <c r="Y369" s="185">
        <v>14046</v>
      </c>
      <c r="Z369" s="187">
        <v>2013.74</v>
      </c>
      <c r="AA369" s="187">
        <v>0</v>
      </c>
      <c r="AB369" s="187">
        <v>556.95999999999981</v>
      </c>
      <c r="AC369" s="187">
        <v>171.4</v>
      </c>
      <c r="AD369" s="185">
        <v>51260</v>
      </c>
      <c r="AE369" s="187">
        <v>42.85</v>
      </c>
      <c r="AF369" s="187">
        <v>0</v>
      </c>
      <c r="AG369" s="187">
        <v>42.85</v>
      </c>
      <c r="AH369" s="185" t="s">
        <v>989</v>
      </c>
      <c r="AI369" s="185"/>
      <c r="AJ369" s="185"/>
      <c r="AK369" s="185" t="s">
        <v>45</v>
      </c>
      <c r="AL369" s="185" t="s">
        <v>2267</v>
      </c>
      <c r="AM369" s="185" t="s">
        <v>2269</v>
      </c>
      <c r="AN369" s="196"/>
      <c r="AO369" s="196"/>
      <c r="AP369" s="195"/>
      <c r="AQ369" s="194"/>
      <c r="AR369" s="193"/>
      <c r="AS369" s="192"/>
      <c r="AT369" s="192"/>
      <c r="AU369" s="192"/>
      <c r="AV369" s="192"/>
      <c r="AW369" s="191"/>
      <c r="AX369" s="190" t="s">
        <v>72</v>
      </c>
      <c r="AY369" s="184"/>
    </row>
    <row r="370" spans="2:51">
      <c r="B370" s="185">
        <v>2183</v>
      </c>
      <c r="C370" s="189">
        <v>232776</v>
      </c>
      <c r="D370" s="185" t="s">
        <v>989</v>
      </c>
      <c r="E370" s="185" t="s">
        <v>2003</v>
      </c>
      <c r="F370" s="185" t="s">
        <v>1137</v>
      </c>
      <c r="G370" s="185"/>
      <c r="H370" s="185"/>
      <c r="I370" s="188">
        <v>702</v>
      </c>
      <c r="J370" s="185"/>
      <c r="K370" s="188">
        <v>0</v>
      </c>
      <c r="L370" s="185" t="s">
        <v>1001</v>
      </c>
      <c r="M370" s="185"/>
      <c r="N370" s="185" t="s">
        <v>2190</v>
      </c>
      <c r="O370" s="185" t="s">
        <v>2184</v>
      </c>
      <c r="P370" s="185"/>
      <c r="Q370" s="185"/>
      <c r="R370" s="185"/>
      <c r="S370" s="186">
        <v>43955</v>
      </c>
      <c r="T370" s="186">
        <v>43955</v>
      </c>
      <c r="U370" s="185" t="s">
        <v>1135</v>
      </c>
      <c r="V370" s="185">
        <v>700</v>
      </c>
      <c r="W370" s="185">
        <v>14050</v>
      </c>
      <c r="X370" s="187">
        <v>30066.73</v>
      </c>
      <c r="Y370" s="185">
        <v>14056</v>
      </c>
      <c r="Z370" s="187">
        <v>17181.009999999998</v>
      </c>
      <c r="AA370" s="187">
        <v>0</v>
      </c>
      <c r="AB370" s="187">
        <v>12885.720000000001</v>
      </c>
      <c r="AC370" s="187">
        <v>1431.76</v>
      </c>
      <c r="AD370" s="185">
        <v>54260</v>
      </c>
      <c r="AE370" s="187">
        <v>357.94</v>
      </c>
      <c r="AF370" s="187">
        <v>0</v>
      </c>
      <c r="AG370" s="187">
        <v>357.94</v>
      </c>
      <c r="AH370" s="185" t="s">
        <v>989</v>
      </c>
      <c r="AI370" s="185"/>
      <c r="AJ370" s="185"/>
      <c r="AK370" s="185" t="s">
        <v>45</v>
      </c>
      <c r="AL370" s="185" t="s">
        <v>2267</v>
      </c>
      <c r="AM370" s="185" t="s">
        <v>2269</v>
      </c>
      <c r="AN370" s="196"/>
      <c r="AO370" s="196"/>
      <c r="AP370" s="195"/>
      <c r="AQ370" s="194"/>
      <c r="AR370" s="193"/>
      <c r="AS370" s="192"/>
      <c r="AT370" s="192"/>
      <c r="AU370" s="192"/>
      <c r="AV370" s="192"/>
      <c r="AW370" s="191"/>
      <c r="AX370" s="190" t="s">
        <v>72</v>
      </c>
      <c r="AY370" s="184"/>
    </row>
    <row r="371" spans="2:51">
      <c r="B371" s="185">
        <v>2183</v>
      </c>
      <c r="C371" s="189">
        <v>232602</v>
      </c>
      <c r="D371" s="185" t="s">
        <v>989</v>
      </c>
      <c r="E371" s="185" t="s">
        <v>2003</v>
      </c>
      <c r="F371" s="185" t="s">
        <v>845</v>
      </c>
      <c r="G371" s="185"/>
      <c r="H371" s="185"/>
      <c r="I371" s="188">
        <v>1</v>
      </c>
      <c r="J371" s="185" t="s">
        <v>1138</v>
      </c>
      <c r="K371" s="188">
        <v>2020</v>
      </c>
      <c r="L371" s="185" t="s">
        <v>1139</v>
      </c>
      <c r="M371" s="185"/>
      <c r="N371" s="185" t="s">
        <v>2183</v>
      </c>
      <c r="O371" s="185" t="s">
        <v>2184</v>
      </c>
      <c r="P371" s="185" t="s">
        <v>2185</v>
      </c>
      <c r="Q371" s="185"/>
      <c r="R371" s="185"/>
      <c r="S371" s="186">
        <v>43952</v>
      </c>
      <c r="T371" s="186">
        <v>43952</v>
      </c>
      <c r="U371" s="185" t="s">
        <v>1140</v>
      </c>
      <c r="V371" s="185">
        <v>500</v>
      </c>
      <c r="W371" s="185">
        <v>14040</v>
      </c>
      <c r="X371" s="187">
        <v>24681.4</v>
      </c>
      <c r="Y371" s="185">
        <v>14046</v>
      </c>
      <c r="Z371" s="187">
        <v>19745.13</v>
      </c>
      <c r="AA371" s="187">
        <v>0</v>
      </c>
      <c r="AB371" s="187">
        <v>4936.2700000000004</v>
      </c>
      <c r="AC371" s="187">
        <v>1645.44</v>
      </c>
      <c r="AD371" s="185">
        <v>51260</v>
      </c>
      <c r="AE371" s="187">
        <v>411.36</v>
      </c>
      <c r="AF371" s="187">
        <v>0</v>
      </c>
      <c r="AG371" s="187">
        <v>411.36</v>
      </c>
      <c r="AH371" s="185" t="s">
        <v>989</v>
      </c>
      <c r="AI371" s="185"/>
      <c r="AJ371" s="185">
        <v>6063</v>
      </c>
      <c r="AK371" s="185" t="s">
        <v>45</v>
      </c>
      <c r="AL371" s="185" t="s">
        <v>2267</v>
      </c>
      <c r="AM371" s="185" t="s">
        <v>2269</v>
      </c>
      <c r="AN371" s="196"/>
      <c r="AO371" s="196"/>
      <c r="AP371" s="195"/>
      <c r="AQ371" s="194"/>
      <c r="AR371" s="193"/>
      <c r="AS371" s="192"/>
      <c r="AT371" s="192"/>
      <c r="AU371" s="192"/>
      <c r="AV371" s="192"/>
      <c r="AW371" s="191"/>
      <c r="AX371" s="190" t="s">
        <v>72</v>
      </c>
      <c r="AY371" s="184"/>
    </row>
    <row r="372" spans="2:51">
      <c r="B372" s="185">
        <v>2183</v>
      </c>
      <c r="C372" s="189">
        <v>231609</v>
      </c>
      <c r="D372" s="185" t="s">
        <v>989</v>
      </c>
      <c r="E372" s="185" t="s">
        <v>2003</v>
      </c>
      <c r="F372" s="185" t="s">
        <v>1013</v>
      </c>
      <c r="G372" s="185"/>
      <c r="H372" s="185"/>
      <c r="I372" s="188">
        <v>1080</v>
      </c>
      <c r="J372" s="185"/>
      <c r="K372" s="188">
        <v>0</v>
      </c>
      <c r="L372" s="185" t="s">
        <v>1001</v>
      </c>
      <c r="M372" s="185"/>
      <c r="N372" s="185" t="s">
        <v>2190</v>
      </c>
      <c r="O372" s="185" t="s">
        <v>2184</v>
      </c>
      <c r="P372" s="185"/>
      <c r="Q372" s="185"/>
      <c r="R372" s="185"/>
      <c r="S372" s="186">
        <v>43880</v>
      </c>
      <c r="T372" s="186">
        <v>43880</v>
      </c>
      <c r="U372" s="185" t="s">
        <v>1135</v>
      </c>
      <c r="V372" s="185">
        <v>700</v>
      </c>
      <c r="W372" s="185">
        <v>14050</v>
      </c>
      <c r="X372" s="187">
        <v>35932.589999999997</v>
      </c>
      <c r="Y372" s="185">
        <v>14056</v>
      </c>
      <c r="Z372" s="187">
        <v>21388.46</v>
      </c>
      <c r="AA372" s="187">
        <v>0</v>
      </c>
      <c r="AB372" s="187">
        <v>14544.129999999997</v>
      </c>
      <c r="AC372" s="187">
        <v>1711.08</v>
      </c>
      <c r="AD372" s="185">
        <v>54260</v>
      </c>
      <c r="AE372" s="187">
        <v>427.77</v>
      </c>
      <c r="AF372" s="187">
        <v>0</v>
      </c>
      <c r="AG372" s="187">
        <v>427.77</v>
      </c>
      <c r="AH372" s="185" t="s">
        <v>989</v>
      </c>
      <c r="AI372" s="185"/>
      <c r="AJ372" s="185"/>
      <c r="AK372" s="185" t="s">
        <v>45</v>
      </c>
      <c r="AL372" s="185" t="s">
        <v>2267</v>
      </c>
      <c r="AM372" s="185" t="s">
        <v>2269</v>
      </c>
      <c r="AN372" s="196"/>
      <c r="AO372" s="196"/>
      <c r="AP372" s="195"/>
      <c r="AQ372" s="194"/>
      <c r="AR372" s="193"/>
      <c r="AS372" s="192"/>
      <c r="AT372" s="192"/>
      <c r="AU372" s="192"/>
      <c r="AV372" s="192"/>
      <c r="AW372" s="191"/>
      <c r="AX372" s="190" t="s">
        <v>72</v>
      </c>
      <c r="AY372" s="184"/>
    </row>
    <row r="373" spans="2:51">
      <c r="B373" s="185">
        <v>2183</v>
      </c>
      <c r="C373" s="189">
        <v>231608</v>
      </c>
      <c r="D373" s="185" t="s">
        <v>989</v>
      </c>
      <c r="E373" s="185" t="s">
        <v>2003</v>
      </c>
      <c r="F373" s="185" t="s">
        <v>738</v>
      </c>
      <c r="G373" s="185"/>
      <c r="H373" s="185"/>
      <c r="I373" s="188">
        <v>936</v>
      </c>
      <c r="J373" s="185"/>
      <c r="K373" s="188">
        <v>0</v>
      </c>
      <c r="L373" s="185" t="s">
        <v>1001</v>
      </c>
      <c r="M373" s="185"/>
      <c r="N373" s="185" t="s">
        <v>2190</v>
      </c>
      <c r="O373" s="185" t="s">
        <v>2184</v>
      </c>
      <c r="P373" s="185"/>
      <c r="Q373" s="185"/>
      <c r="R373" s="185"/>
      <c r="S373" s="186">
        <v>43880</v>
      </c>
      <c r="T373" s="186">
        <v>43880</v>
      </c>
      <c r="U373" s="185" t="s">
        <v>1135</v>
      </c>
      <c r="V373" s="185">
        <v>700</v>
      </c>
      <c r="W373" s="185">
        <v>14050</v>
      </c>
      <c r="X373" s="187">
        <v>37525.410000000003</v>
      </c>
      <c r="Y373" s="185">
        <v>14056</v>
      </c>
      <c r="Z373" s="187">
        <v>22336.5</v>
      </c>
      <c r="AA373" s="187">
        <v>0</v>
      </c>
      <c r="AB373" s="187">
        <v>15188.910000000003</v>
      </c>
      <c r="AC373" s="187">
        <v>1786.92</v>
      </c>
      <c r="AD373" s="185">
        <v>54260</v>
      </c>
      <c r="AE373" s="187">
        <v>446.73</v>
      </c>
      <c r="AF373" s="187">
        <v>0</v>
      </c>
      <c r="AG373" s="187">
        <v>446.73</v>
      </c>
      <c r="AH373" s="185" t="s">
        <v>989</v>
      </c>
      <c r="AI373" s="185"/>
      <c r="AJ373" s="185"/>
      <c r="AK373" s="185" t="s">
        <v>45</v>
      </c>
      <c r="AL373" s="185" t="s">
        <v>2267</v>
      </c>
      <c r="AM373" s="185" t="s">
        <v>2269</v>
      </c>
      <c r="AN373" s="196"/>
      <c r="AO373" s="196"/>
      <c r="AP373" s="195"/>
      <c r="AQ373" s="194"/>
      <c r="AR373" s="193"/>
      <c r="AS373" s="192"/>
      <c r="AT373" s="192"/>
      <c r="AU373" s="192"/>
      <c r="AV373" s="192"/>
      <c r="AW373" s="191"/>
      <c r="AX373" s="190" t="s">
        <v>72</v>
      </c>
      <c r="AY373" s="184"/>
    </row>
    <row r="374" spans="2:51" hidden="1">
      <c r="B374" s="185">
        <v>2183</v>
      </c>
      <c r="C374" s="189">
        <v>230207</v>
      </c>
      <c r="D374" s="185">
        <v>61094</v>
      </c>
      <c r="E374" s="185" t="s">
        <v>2003</v>
      </c>
      <c r="F374" s="185" t="s">
        <v>844</v>
      </c>
      <c r="G374" s="185"/>
      <c r="H374" s="185"/>
      <c r="I374" s="188">
        <v>1</v>
      </c>
      <c r="J374" s="185"/>
      <c r="K374" s="188">
        <v>0</v>
      </c>
      <c r="L374" s="185" t="s">
        <v>1141</v>
      </c>
      <c r="M374" s="185"/>
      <c r="N374" s="185" t="s">
        <v>2183</v>
      </c>
      <c r="O374" s="185" t="s">
        <v>2184</v>
      </c>
      <c r="P374" s="185" t="s">
        <v>1028</v>
      </c>
      <c r="Q374" s="185"/>
      <c r="R374" s="185"/>
      <c r="S374" s="186">
        <v>43865</v>
      </c>
      <c r="T374" s="186">
        <v>43865</v>
      </c>
      <c r="U374" s="185" t="s">
        <v>1142</v>
      </c>
      <c r="V374" s="185">
        <v>300</v>
      </c>
      <c r="W374" s="185">
        <v>14040</v>
      </c>
      <c r="X374" s="187">
        <v>14301.64</v>
      </c>
      <c r="Y374" s="185">
        <v>14046</v>
      </c>
      <c r="Z374" s="187">
        <v>14301.64</v>
      </c>
      <c r="AA374" s="187">
        <v>0</v>
      </c>
      <c r="AB374" s="187">
        <v>0</v>
      </c>
      <c r="AC374" s="187">
        <v>0</v>
      </c>
      <c r="AD374" s="185">
        <v>51260</v>
      </c>
      <c r="AE374" s="187">
        <v>0</v>
      </c>
      <c r="AF374" s="187">
        <v>0</v>
      </c>
      <c r="AG374" s="187">
        <v>0</v>
      </c>
      <c r="AH374" s="185" t="s">
        <v>989</v>
      </c>
      <c r="AI374" s="185"/>
      <c r="AJ374" s="185"/>
      <c r="AK374" s="185" t="s">
        <v>45</v>
      </c>
      <c r="AL374" s="185" t="s">
        <v>2267</v>
      </c>
      <c r="AM374" s="185" t="s">
        <v>2269</v>
      </c>
      <c r="AN374" s="196"/>
      <c r="AO374" s="196"/>
      <c r="AP374" s="195"/>
      <c r="AQ374" s="194"/>
      <c r="AR374" s="193"/>
      <c r="AS374" s="192"/>
      <c r="AT374" s="192"/>
      <c r="AU374" s="192"/>
      <c r="AV374" s="192"/>
      <c r="AW374" s="191"/>
      <c r="AX374" s="190" t="s">
        <v>72</v>
      </c>
      <c r="AY374" s="184"/>
    </row>
    <row r="375" spans="2:51">
      <c r="B375" s="185">
        <v>2183</v>
      </c>
      <c r="C375" s="189">
        <v>229285</v>
      </c>
      <c r="D375" s="185" t="s">
        <v>989</v>
      </c>
      <c r="E375" s="185" t="s">
        <v>2003</v>
      </c>
      <c r="F375" s="185" t="s">
        <v>1143</v>
      </c>
      <c r="G375" s="185"/>
      <c r="H375" s="185"/>
      <c r="I375" s="188">
        <v>875</v>
      </c>
      <c r="J375" s="185"/>
      <c r="K375" s="188">
        <v>0</v>
      </c>
      <c r="L375" s="185" t="s">
        <v>1001</v>
      </c>
      <c r="M375" s="185"/>
      <c r="N375" s="185" t="s">
        <v>2190</v>
      </c>
      <c r="O375" s="185" t="s">
        <v>2184</v>
      </c>
      <c r="P375" s="185"/>
      <c r="Q375" s="185"/>
      <c r="R375" s="185"/>
      <c r="S375" s="186">
        <v>43880</v>
      </c>
      <c r="T375" s="186">
        <v>43880</v>
      </c>
      <c r="U375" s="185" t="s">
        <v>1135</v>
      </c>
      <c r="V375" s="185">
        <v>700</v>
      </c>
      <c r="W375" s="185">
        <v>14050</v>
      </c>
      <c r="X375" s="187">
        <v>29112.05</v>
      </c>
      <c r="Y375" s="185">
        <v>14056</v>
      </c>
      <c r="Z375" s="187">
        <v>17328.61</v>
      </c>
      <c r="AA375" s="187">
        <v>0</v>
      </c>
      <c r="AB375" s="187">
        <v>11783.439999999999</v>
      </c>
      <c r="AC375" s="187">
        <v>1386.28</v>
      </c>
      <c r="AD375" s="185">
        <v>54260</v>
      </c>
      <c r="AE375" s="187">
        <v>346.57</v>
      </c>
      <c r="AF375" s="187">
        <v>0</v>
      </c>
      <c r="AG375" s="187">
        <v>346.57</v>
      </c>
      <c r="AH375" s="185" t="s">
        <v>989</v>
      </c>
      <c r="AI375" s="185"/>
      <c r="AJ375" s="185"/>
      <c r="AK375" s="185" t="s">
        <v>45</v>
      </c>
      <c r="AL375" s="185" t="s">
        <v>2267</v>
      </c>
      <c r="AM375" s="185" t="s">
        <v>2269</v>
      </c>
      <c r="AN375" s="196"/>
      <c r="AO375" s="196"/>
      <c r="AP375" s="195"/>
      <c r="AQ375" s="194"/>
      <c r="AR375" s="193"/>
      <c r="AS375" s="192"/>
      <c r="AT375" s="192"/>
      <c r="AU375" s="192"/>
      <c r="AV375" s="192"/>
      <c r="AW375" s="191"/>
      <c r="AX375" s="190" t="s">
        <v>72</v>
      </c>
      <c r="AY375" s="184"/>
    </row>
    <row r="376" spans="2:51">
      <c r="B376" s="185">
        <v>2183</v>
      </c>
      <c r="C376" s="189">
        <v>229180</v>
      </c>
      <c r="D376" s="185" t="s">
        <v>989</v>
      </c>
      <c r="E376" s="185" t="s">
        <v>2003</v>
      </c>
      <c r="F376" s="185" t="s">
        <v>1144</v>
      </c>
      <c r="G376" s="185"/>
      <c r="H376" s="185"/>
      <c r="I376" s="188">
        <v>1</v>
      </c>
      <c r="J376" s="185"/>
      <c r="K376" s="188">
        <v>0</v>
      </c>
      <c r="L376" s="185" t="s">
        <v>1145</v>
      </c>
      <c r="M376" s="185"/>
      <c r="N376" s="185" t="s">
        <v>2199</v>
      </c>
      <c r="O376" s="185" t="s">
        <v>2184</v>
      </c>
      <c r="P376" s="185"/>
      <c r="Q376" s="185"/>
      <c r="R376" s="185"/>
      <c r="S376" s="186">
        <v>43872</v>
      </c>
      <c r="T376" s="186">
        <v>43872</v>
      </c>
      <c r="U376" s="185" t="s">
        <v>1146</v>
      </c>
      <c r="V376" s="185">
        <v>300</v>
      </c>
      <c r="W376" s="185">
        <v>14110</v>
      </c>
      <c r="X376" s="187">
        <v>893.55</v>
      </c>
      <c r="Y376" s="185">
        <v>14116</v>
      </c>
      <c r="Z376" s="187">
        <v>893.55</v>
      </c>
      <c r="AA376" s="187">
        <v>0</v>
      </c>
      <c r="AB376" s="187">
        <v>0</v>
      </c>
      <c r="AC376" s="187">
        <v>0</v>
      </c>
      <c r="AD376" s="185">
        <v>70260</v>
      </c>
      <c r="AE376" s="187">
        <v>0</v>
      </c>
      <c r="AF376" s="187">
        <v>0</v>
      </c>
      <c r="AG376" s="187">
        <v>0</v>
      </c>
      <c r="AH376" s="185" t="s">
        <v>989</v>
      </c>
      <c r="AI376" s="185"/>
      <c r="AJ376" s="185"/>
      <c r="AK376" s="185" t="s">
        <v>45</v>
      </c>
      <c r="AL376" s="185" t="s">
        <v>2267</v>
      </c>
      <c r="AM376" s="185" t="s">
        <v>2269</v>
      </c>
      <c r="AN376" s="196"/>
      <c r="AO376" s="196"/>
      <c r="AP376" s="195"/>
      <c r="AQ376" s="194"/>
      <c r="AR376" s="193"/>
      <c r="AS376" s="192"/>
      <c r="AT376" s="192"/>
      <c r="AU376" s="192"/>
      <c r="AV376" s="192"/>
      <c r="AW376" s="191"/>
      <c r="AX376" s="190" t="s">
        <v>72</v>
      </c>
      <c r="AY376" s="184"/>
    </row>
    <row r="377" spans="2:51">
      <c r="B377" s="185">
        <v>2183</v>
      </c>
      <c r="C377" s="189">
        <v>229007</v>
      </c>
      <c r="D377" s="185" t="s">
        <v>989</v>
      </c>
      <c r="E377" s="185" t="s">
        <v>2003</v>
      </c>
      <c r="F377" s="185" t="s">
        <v>1147</v>
      </c>
      <c r="G377" s="185"/>
      <c r="H377" s="185"/>
      <c r="I377" s="188">
        <v>702</v>
      </c>
      <c r="J377" s="185"/>
      <c r="K377" s="188">
        <v>0</v>
      </c>
      <c r="L377" s="185" t="s">
        <v>1001</v>
      </c>
      <c r="M377" s="185"/>
      <c r="N377" s="185" t="s">
        <v>2190</v>
      </c>
      <c r="O377" s="185" t="s">
        <v>2184</v>
      </c>
      <c r="P377" s="185"/>
      <c r="Q377" s="185"/>
      <c r="R377" s="185"/>
      <c r="S377" s="186">
        <v>43880</v>
      </c>
      <c r="T377" s="186">
        <v>43880</v>
      </c>
      <c r="U377" s="185" t="s">
        <v>1135</v>
      </c>
      <c r="V377" s="185">
        <v>700</v>
      </c>
      <c r="W377" s="185">
        <v>14050</v>
      </c>
      <c r="X377" s="187">
        <v>32333.43</v>
      </c>
      <c r="Y377" s="185">
        <v>14056</v>
      </c>
      <c r="Z377" s="187">
        <v>19246.080000000002</v>
      </c>
      <c r="AA377" s="187">
        <v>0</v>
      </c>
      <c r="AB377" s="187">
        <v>13087.349999999999</v>
      </c>
      <c r="AC377" s="187">
        <v>1539.68</v>
      </c>
      <c r="AD377" s="185">
        <v>54260</v>
      </c>
      <c r="AE377" s="187">
        <v>384.92</v>
      </c>
      <c r="AF377" s="187">
        <v>0</v>
      </c>
      <c r="AG377" s="187">
        <v>384.92</v>
      </c>
      <c r="AH377" s="185" t="s">
        <v>989</v>
      </c>
      <c r="AI377" s="185"/>
      <c r="AJ377" s="185"/>
      <c r="AK377" s="185" t="s">
        <v>45</v>
      </c>
      <c r="AL377" s="185" t="s">
        <v>2267</v>
      </c>
      <c r="AM377" s="185" t="s">
        <v>2269</v>
      </c>
      <c r="AN377" s="196"/>
      <c r="AO377" s="196"/>
      <c r="AP377" s="195"/>
      <c r="AQ377" s="194"/>
      <c r="AR377" s="193"/>
      <c r="AS377" s="192"/>
      <c r="AT377" s="192"/>
      <c r="AU377" s="192"/>
      <c r="AV377" s="192"/>
      <c r="AW377" s="191"/>
      <c r="AX377" s="190" t="s">
        <v>72</v>
      </c>
      <c r="AY377" s="184"/>
    </row>
    <row r="378" spans="2:51">
      <c r="B378" s="185">
        <v>2183</v>
      </c>
      <c r="C378" s="189">
        <v>229006</v>
      </c>
      <c r="D378" s="185" t="s">
        <v>989</v>
      </c>
      <c r="E378" s="185" t="s">
        <v>2003</v>
      </c>
      <c r="F378" s="185" t="s">
        <v>736</v>
      </c>
      <c r="G378" s="185"/>
      <c r="H378" s="185"/>
      <c r="I378" s="188">
        <v>702</v>
      </c>
      <c r="J378" s="185"/>
      <c r="K378" s="188">
        <v>0</v>
      </c>
      <c r="L378" s="185" t="s">
        <v>1001</v>
      </c>
      <c r="M378" s="185"/>
      <c r="N378" s="185" t="s">
        <v>2190</v>
      </c>
      <c r="O378" s="185" t="s">
        <v>2184</v>
      </c>
      <c r="P378" s="185"/>
      <c r="Q378" s="185"/>
      <c r="R378" s="185"/>
      <c r="S378" s="186">
        <v>43880</v>
      </c>
      <c r="T378" s="186">
        <v>43880</v>
      </c>
      <c r="U378" s="185" t="s">
        <v>1135</v>
      </c>
      <c r="V378" s="185">
        <v>700</v>
      </c>
      <c r="W378" s="185">
        <v>14050</v>
      </c>
      <c r="X378" s="187">
        <v>32333.439999999999</v>
      </c>
      <c r="Y378" s="185">
        <v>14056</v>
      </c>
      <c r="Z378" s="187">
        <v>19246.080000000002</v>
      </c>
      <c r="AA378" s="187">
        <v>0</v>
      </c>
      <c r="AB378" s="187">
        <v>13087.359999999997</v>
      </c>
      <c r="AC378" s="187">
        <v>1539.68</v>
      </c>
      <c r="AD378" s="185">
        <v>54260</v>
      </c>
      <c r="AE378" s="187">
        <v>384.92</v>
      </c>
      <c r="AF378" s="187">
        <v>0</v>
      </c>
      <c r="AG378" s="187">
        <v>384.92</v>
      </c>
      <c r="AH378" s="185" t="s">
        <v>989</v>
      </c>
      <c r="AI378" s="185"/>
      <c r="AJ378" s="185"/>
      <c r="AK378" s="185" t="s">
        <v>45</v>
      </c>
      <c r="AL378" s="185" t="s">
        <v>2267</v>
      </c>
      <c r="AM378" s="185" t="s">
        <v>2269</v>
      </c>
      <c r="AN378" s="196"/>
      <c r="AO378" s="196"/>
      <c r="AP378" s="195"/>
      <c r="AQ378" s="194"/>
      <c r="AR378" s="193"/>
      <c r="AS378" s="192"/>
      <c r="AT378" s="192"/>
      <c r="AU378" s="192"/>
      <c r="AV378" s="192"/>
      <c r="AW378" s="191"/>
      <c r="AX378" s="190" t="s">
        <v>72</v>
      </c>
      <c r="AY378" s="184"/>
    </row>
    <row r="379" spans="2:51">
      <c r="B379" s="185">
        <v>2183</v>
      </c>
      <c r="C379" s="189">
        <v>228950</v>
      </c>
      <c r="D379" s="185" t="s">
        <v>989</v>
      </c>
      <c r="E379" s="185" t="s">
        <v>2003</v>
      </c>
      <c r="F379" s="185" t="s">
        <v>800</v>
      </c>
      <c r="G379" s="185"/>
      <c r="H379" s="185"/>
      <c r="I379" s="188">
        <v>702</v>
      </c>
      <c r="J379" s="185"/>
      <c r="K379" s="188">
        <v>0</v>
      </c>
      <c r="L379" s="185" t="s">
        <v>1001</v>
      </c>
      <c r="M379" s="185"/>
      <c r="N379" s="185" t="s">
        <v>2190</v>
      </c>
      <c r="O379" s="185" t="s">
        <v>2184</v>
      </c>
      <c r="P379" s="185"/>
      <c r="Q379" s="185"/>
      <c r="R379" s="185"/>
      <c r="S379" s="186">
        <v>43879</v>
      </c>
      <c r="T379" s="186">
        <v>43879</v>
      </c>
      <c r="U379" s="185" t="s">
        <v>1135</v>
      </c>
      <c r="V379" s="185">
        <v>700</v>
      </c>
      <c r="W379" s="185">
        <v>14050</v>
      </c>
      <c r="X379" s="187">
        <v>32333.43</v>
      </c>
      <c r="Y379" s="185">
        <v>14056</v>
      </c>
      <c r="Z379" s="187">
        <v>19246.080000000002</v>
      </c>
      <c r="AA379" s="187">
        <v>0</v>
      </c>
      <c r="AB379" s="187">
        <v>13087.349999999999</v>
      </c>
      <c r="AC379" s="187">
        <v>1539.68</v>
      </c>
      <c r="AD379" s="185">
        <v>54260</v>
      </c>
      <c r="AE379" s="187">
        <v>384.92</v>
      </c>
      <c r="AF379" s="187">
        <v>0</v>
      </c>
      <c r="AG379" s="187">
        <v>384.92</v>
      </c>
      <c r="AH379" s="185" t="s">
        <v>989</v>
      </c>
      <c r="AI379" s="185"/>
      <c r="AJ379" s="185"/>
      <c r="AK379" s="185" t="s">
        <v>45</v>
      </c>
      <c r="AL379" s="185" t="s">
        <v>2267</v>
      </c>
      <c r="AM379" s="185" t="s">
        <v>2269</v>
      </c>
      <c r="AN379" s="196"/>
      <c r="AO379" s="196"/>
      <c r="AP379" s="195"/>
      <c r="AQ379" s="194"/>
      <c r="AR379" s="193"/>
      <c r="AS379" s="192"/>
      <c r="AT379" s="192"/>
      <c r="AU379" s="192"/>
      <c r="AV379" s="192"/>
      <c r="AW379" s="191"/>
      <c r="AX379" s="190" t="s">
        <v>72</v>
      </c>
      <c r="AY379" s="184"/>
    </row>
    <row r="380" spans="2:51">
      <c r="B380" s="185">
        <v>2183</v>
      </c>
      <c r="C380" s="189">
        <v>227353</v>
      </c>
      <c r="D380" s="185" t="s">
        <v>989</v>
      </c>
      <c r="E380" s="185" t="s">
        <v>2003</v>
      </c>
      <c r="F380" s="185" t="s">
        <v>1148</v>
      </c>
      <c r="G380" s="185"/>
      <c r="H380" s="185"/>
      <c r="I380" s="188">
        <v>5</v>
      </c>
      <c r="J380" s="185"/>
      <c r="K380" s="188">
        <v>0</v>
      </c>
      <c r="L380" s="185" t="s">
        <v>1149</v>
      </c>
      <c r="M380" s="185"/>
      <c r="N380" s="185" t="s">
        <v>2190</v>
      </c>
      <c r="O380" s="185" t="s">
        <v>2184</v>
      </c>
      <c r="P380" s="185"/>
      <c r="Q380" s="185" t="s">
        <v>2191</v>
      </c>
      <c r="R380" s="185" t="s">
        <v>2192</v>
      </c>
      <c r="S380" s="186">
        <v>43831</v>
      </c>
      <c r="T380" s="186">
        <v>43831</v>
      </c>
      <c r="U380" s="185" t="s">
        <v>1150</v>
      </c>
      <c r="V380" s="185">
        <v>1111</v>
      </c>
      <c r="W380" s="185">
        <v>14050</v>
      </c>
      <c r="X380" s="187">
        <v>25561.63</v>
      </c>
      <c r="Y380" s="185">
        <v>14056</v>
      </c>
      <c r="Z380" s="187">
        <v>9295.1200000000008</v>
      </c>
      <c r="AA380" s="187">
        <v>0</v>
      </c>
      <c r="AB380" s="187">
        <v>16266.51</v>
      </c>
      <c r="AC380" s="187">
        <v>715</v>
      </c>
      <c r="AD380" s="185">
        <v>54260</v>
      </c>
      <c r="AE380" s="187">
        <v>178.75</v>
      </c>
      <c r="AF380" s="187">
        <v>0</v>
      </c>
      <c r="AG380" s="187">
        <v>178.75</v>
      </c>
      <c r="AH380" s="185" t="s">
        <v>989</v>
      </c>
      <c r="AI380" s="185"/>
      <c r="AJ380" s="185"/>
      <c r="AK380" s="185" t="s">
        <v>45</v>
      </c>
      <c r="AL380" s="185" t="s">
        <v>2267</v>
      </c>
      <c r="AM380" s="185" t="s">
        <v>2269</v>
      </c>
      <c r="AN380" s="196"/>
      <c r="AO380" s="196"/>
      <c r="AP380" s="195"/>
      <c r="AQ380" s="194"/>
      <c r="AR380" s="193"/>
      <c r="AS380" s="192"/>
      <c r="AT380" s="192"/>
      <c r="AU380" s="192"/>
      <c r="AV380" s="192"/>
      <c r="AW380" s="191"/>
      <c r="AX380" s="190" t="s">
        <v>72</v>
      </c>
      <c r="AY380" s="184"/>
    </row>
    <row r="381" spans="2:51" hidden="1">
      <c r="B381" s="185">
        <v>2183</v>
      </c>
      <c r="C381" s="189">
        <v>225953</v>
      </c>
      <c r="D381" s="185">
        <v>223829</v>
      </c>
      <c r="E381" s="185" t="s">
        <v>2003</v>
      </c>
      <c r="F381" s="185" t="s">
        <v>729</v>
      </c>
      <c r="G381" s="185"/>
      <c r="H381" s="185"/>
      <c r="I381" s="188">
        <v>1</v>
      </c>
      <c r="J381" s="185"/>
      <c r="K381" s="188">
        <v>0</v>
      </c>
      <c r="L381" s="185" t="s">
        <v>1151</v>
      </c>
      <c r="M381" s="185"/>
      <c r="N381" s="185" t="s">
        <v>2183</v>
      </c>
      <c r="O381" s="185" t="s">
        <v>2184</v>
      </c>
      <c r="P381" s="185" t="s">
        <v>1028</v>
      </c>
      <c r="Q381" s="185"/>
      <c r="R381" s="185"/>
      <c r="S381" s="186">
        <v>43770</v>
      </c>
      <c r="T381" s="186">
        <v>43770</v>
      </c>
      <c r="U381" s="185" t="s">
        <v>1152</v>
      </c>
      <c r="V381" s="185">
        <v>1000</v>
      </c>
      <c r="W381" s="185">
        <v>14040</v>
      </c>
      <c r="X381" s="187">
        <v>956.38</v>
      </c>
      <c r="Y381" s="185">
        <v>14046</v>
      </c>
      <c r="Z381" s="187">
        <v>430.38</v>
      </c>
      <c r="AA381" s="187">
        <v>0</v>
      </c>
      <c r="AB381" s="187">
        <v>526</v>
      </c>
      <c r="AC381" s="187">
        <v>31.88</v>
      </c>
      <c r="AD381" s="185">
        <v>51260</v>
      </c>
      <c r="AE381" s="187">
        <v>7.97</v>
      </c>
      <c r="AF381" s="187">
        <v>0</v>
      </c>
      <c r="AG381" s="187">
        <v>7.97</v>
      </c>
      <c r="AH381" s="185" t="s">
        <v>989</v>
      </c>
      <c r="AI381" s="185"/>
      <c r="AJ381" s="185"/>
      <c r="AK381" s="185" t="s">
        <v>45</v>
      </c>
      <c r="AL381" s="185" t="s">
        <v>2267</v>
      </c>
      <c r="AM381" s="185" t="s">
        <v>2269</v>
      </c>
      <c r="AN381" s="196"/>
      <c r="AO381" s="196"/>
      <c r="AP381" s="195"/>
      <c r="AQ381" s="194"/>
      <c r="AR381" s="193"/>
      <c r="AS381" s="192"/>
      <c r="AT381" s="192"/>
      <c r="AU381" s="192"/>
      <c r="AV381" s="192"/>
      <c r="AW381" s="191"/>
      <c r="AX381" s="190" t="s">
        <v>72</v>
      </c>
      <c r="AY381" s="184"/>
    </row>
    <row r="382" spans="2:51" hidden="1">
      <c r="B382" s="185">
        <v>2183</v>
      </c>
      <c r="C382" s="189">
        <v>225952</v>
      </c>
      <c r="D382" s="185">
        <v>219760</v>
      </c>
      <c r="E382" s="185" t="s">
        <v>2003</v>
      </c>
      <c r="F382" s="185" t="s">
        <v>729</v>
      </c>
      <c r="G382" s="185"/>
      <c r="H382" s="185"/>
      <c r="I382" s="188">
        <v>1</v>
      </c>
      <c r="J382" s="185"/>
      <c r="K382" s="188">
        <v>0</v>
      </c>
      <c r="L382" s="185" t="s">
        <v>1151</v>
      </c>
      <c r="M382" s="185"/>
      <c r="N382" s="185" t="s">
        <v>2183</v>
      </c>
      <c r="O382" s="185" t="s">
        <v>2184</v>
      </c>
      <c r="P382" s="185" t="s">
        <v>1028</v>
      </c>
      <c r="Q382" s="185"/>
      <c r="R382" s="185"/>
      <c r="S382" s="186">
        <v>43738</v>
      </c>
      <c r="T382" s="186">
        <v>43738</v>
      </c>
      <c r="U382" s="185" t="s">
        <v>1153</v>
      </c>
      <c r="V382" s="185">
        <v>1000</v>
      </c>
      <c r="W382" s="185">
        <v>14040</v>
      </c>
      <c r="X382" s="187">
        <v>868.94</v>
      </c>
      <c r="Y382" s="185">
        <v>14046</v>
      </c>
      <c r="Z382" s="187">
        <v>398.16</v>
      </c>
      <c r="AA382" s="187">
        <v>0</v>
      </c>
      <c r="AB382" s="187">
        <v>470.78000000000003</v>
      </c>
      <c r="AC382" s="187">
        <v>28.96</v>
      </c>
      <c r="AD382" s="185">
        <v>51260</v>
      </c>
      <c r="AE382" s="187">
        <v>7.24</v>
      </c>
      <c r="AF382" s="187">
        <v>0</v>
      </c>
      <c r="AG382" s="187">
        <v>7.24</v>
      </c>
      <c r="AH382" s="185" t="s">
        <v>989</v>
      </c>
      <c r="AI382" s="185"/>
      <c r="AJ382" s="185"/>
      <c r="AK382" s="185" t="s">
        <v>45</v>
      </c>
      <c r="AL382" s="185" t="s">
        <v>2267</v>
      </c>
      <c r="AM382" s="185" t="s">
        <v>2269</v>
      </c>
      <c r="AN382" s="196"/>
      <c r="AO382" s="196"/>
      <c r="AP382" s="195"/>
      <c r="AQ382" s="194"/>
      <c r="AR382" s="193"/>
      <c r="AS382" s="192"/>
      <c r="AT382" s="192"/>
      <c r="AU382" s="192"/>
      <c r="AV382" s="192"/>
      <c r="AW382" s="191"/>
      <c r="AX382" s="190" t="s">
        <v>72</v>
      </c>
      <c r="AY382" s="184"/>
    </row>
    <row r="383" spans="2:51">
      <c r="B383" s="185">
        <v>2183</v>
      </c>
      <c r="C383" s="189">
        <v>225450</v>
      </c>
      <c r="D383" s="185" t="s">
        <v>989</v>
      </c>
      <c r="E383" s="185" t="s">
        <v>2003</v>
      </c>
      <c r="F383" s="185" t="s">
        <v>832</v>
      </c>
      <c r="G383" s="185"/>
      <c r="H383" s="185"/>
      <c r="I383" s="188">
        <v>1</v>
      </c>
      <c r="J383" s="185" t="s">
        <v>1154</v>
      </c>
      <c r="K383" s="188">
        <v>2020</v>
      </c>
      <c r="L383" s="185" t="s">
        <v>1097</v>
      </c>
      <c r="M383" s="185" t="s">
        <v>1110</v>
      </c>
      <c r="N383" s="185" t="s">
        <v>2183</v>
      </c>
      <c r="O383" s="185" t="s">
        <v>2184</v>
      </c>
      <c r="P383" s="185" t="s">
        <v>2187</v>
      </c>
      <c r="Q383" s="185"/>
      <c r="R383" s="185"/>
      <c r="S383" s="186">
        <v>43830</v>
      </c>
      <c r="T383" s="186">
        <v>43830</v>
      </c>
      <c r="U383" s="185" t="s">
        <v>1155</v>
      </c>
      <c r="V383" s="185">
        <v>1000</v>
      </c>
      <c r="W383" s="185">
        <v>14040</v>
      </c>
      <c r="X383" s="187">
        <v>360730.61</v>
      </c>
      <c r="Y383" s="185">
        <v>14046</v>
      </c>
      <c r="Z383" s="187">
        <v>156316.6</v>
      </c>
      <c r="AA383" s="187">
        <v>0</v>
      </c>
      <c r="AB383" s="187">
        <v>204414.00999999998</v>
      </c>
      <c r="AC383" s="187">
        <v>12024.36</v>
      </c>
      <c r="AD383" s="185">
        <v>51260</v>
      </c>
      <c r="AE383" s="187">
        <v>3006.09</v>
      </c>
      <c r="AF383" s="187">
        <v>0</v>
      </c>
      <c r="AG383" s="187">
        <v>3006.09</v>
      </c>
      <c r="AH383" s="185" t="s">
        <v>989</v>
      </c>
      <c r="AI383" s="185"/>
      <c r="AJ383" s="185">
        <v>3695</v>
      </c>
      <c r="AK383" s="185" t="s">
        <v>45</v>
      </c>
      <c r="AL383" s="185" t="s">
        <v>2267</v>
      </c>
      <c r="AM383" s="185" t="s">
        <v>2269</v>
      </c>
      <c r="AN383" s="196"/>
      <c r="AO383" s="196"/>
      <c r="AP383" s="195"/>
      <c r="AQ383" s="194"/>
      <c r="AR383" s="193"/>
      <c r="AS383" s="192"/>
      <c r="AT383" s="192"/>
      <c r="AU383" s="192"/>
      <c r="AV383" s="192"/>
      <c r="AW383" s="191"/>
      <c r="AX383" s="190" t="s">
        <v>72</v>
      </c>
      <c r="AY383" s="184"/>
    </row>
    <row r="384" spans="2:51">
      <c r="B384" s="185">
        <v>2183</v>
      </c>
      <c r="C384" s="189">
        <v>225390</v>
      </c>
      <c r="D384" s="185" t="s">
        <v>989</v>
      </c>
      <c r="E384" s="185" t="s">
        <v>2003</v>
      </c>
      <c r="F384" s="185" t="s">
        <v>825</v>
      </c>
      <c r="G384" s="185"/>
      <c r="H384" s="185"/>
      <c r="I384" s="188">
        <v>15</v>
      </c>
      <c r="J384" s="185"/>
      <c r="K384" s="188">
        <v>0</v>
      </c>
      <c r="L384" s="185" t="s">
        <v>1018</v>
      </c>
      <c r="M384" s="185"/>
      <c r="N384" s="185" t="s">
        <v>2190</v>
      </c>
      <c r="O384" s="185" t="s">
        <v>2184</v>
      </c>
      <c r="P384" s="185"/>
      <c r="Q384" s="185" t="s">
        <v>2194</v>
      </c>
      <c r="R384" s="185" t="s">
        <v>2195</v>
      </c>
      <c r="S384" s="186">
        <v>43783</v>
      </c>
      <c r="T384" s="186">
        <v>43783</v>
      </c>
      <c r="U384" s="185" t="s">
        <v>1156</v>
      </c>
      <c r="V384" s="185">
        <v>1200</v>
      </c>
      <c r="W384" s="185">
        <v>14050</v>
      </c>
      <c r="X384" s="187">
        <v>13074.53</v>
      </c>
      <c r="Y384" s="185">
        <v>14056</v>
      </c>
      <c r="Z384" s="187">
        <v>4902.99</v>
      </c>
      <c r="AA384" s="187">
        <v>0</v>
      </c>
      <c r="AB384" s="187">
        <v>8171.5400000000009</v>
      </c>
      <c r="AC384" s="187">
        <v>363.2</v>
      </c>
      <c r="AD384" s="185">
        <v>54260</v>
      </c>
      <c r="AE384" s="187">
        <v>90.8</v>
      </c>
      <c r="AF384" s="187">
        <v>0</v>
      </c>
      <c r="AG384" s="187">
        <v>90.8</v>
      </c>
      <c r="AH384" s="185" t="s">
        <v>989</v>
      </c>
      <c r="AI384" s="185"/>
      <c r="AJ384" s="185"/>
      <c r="AK384" s="185" t="s">
        <v>45</v>
      </c>
      <c r="AL384" s="185" t="s">
        <v>2267</v>
      </c>
      <c r="AM384" s="185" t="s">
        <v>2269</v>
      </c>
      <c r="AN384" s="196"/>
      <c r="AO384" s="196"/>
      <c r="AP384" s="195"/>
      <c r="AQ384" s="194"/>
      <c r="AR384" s="193"/>
      <c r="AS384" s="192"/>
      <c r="AT384" s="192"/>
      <c r="AU384" s="192"/>
      <c r="AV384" s="192"/>
      <c r="AW384" s="191"/>
      <c r="AX384" s="190" t="s">
        <v>72</v>
      </c>
      <c r="AY384" s="184"/>
    </row>
    <row r="385" spans="2:51">
      <c r="B385" s="185">
        <v>2183</v>
      </c>
      <c r="C385" s="189">
        <v>225389</v>
      </c>
      <c r="D385" s="185" t="s">
        <v>989</v>
      </c>
      <c r="E385" s="185" t="s">
        <v>2003</v>
      </c>
      <c r="F385" s="185" t="s">
        <v>826</v>
      </c>
      <c r="G385" s="185"/>
      <c r="H385" s="185"/>
      <c r="I385" s="188">
        <v>20</v>
      </c>
      <c r="J385" s="185"/>
      <c r="K385" s="188">
        <v>0</v>
      </c>
      <c r="L385" s="185" t="s">
        <v>1018</v>
      </c>
      <c r="M385" s="185"/>
      <c r="N385" s="185" t="s">
        <v>2190</v>
      </c>
      <c r="O385" s="185" t="s">
        <v>2184</v>
      </c>
      <c r="P385" s="185"/>
      <c r="Q385" s="185" t="s">
        <v>2214</v>
      </c>
      <c r="R385" s="185" t="s">
        <v>2195</v>
      </c>
      <c r="S385" s="186">
        <v>43783</v>
      </c>
      <c r="T385" s="186">
        <v>43783</v>
      </c>
      <c r="U385" s="185" t="s">
        <v>1156</v>
      </c>
      <c r="V385" s="185">
        <v>1200</v>
      </c>
      <c r="W385" s="185">
        <v>14050</v>
      </c>
      <c r="X385" s="187">
        <v>10646.34</v>
      </c>
      <c r="Y385" s="185">
        <v>14056</v>
      </c>
      <c r="Z385" s="187">
        <v>3992.39</v>
      </c>
      <c r="AA385" s="187">
        <v>0</v>
      </c>
      <c r="AB385" s="187">
        <v>6653.9500000000007</v>
      </c>
      <c r="AC385" s="187">
        <v>295.72000000000003</v>
      </c>
      <c r="AD385" s="185">
        <v>54260</v>
      </c>
      <c r="AE385" s="187">
        <v>73.930000000000007</v>
      </c>
      <c r="AF385" s="187">
        <v>0</v>
      </c>
      <c r="AG385" s="187">
        <v>73.930000000000007</v>
      </c>
      <c r="AH385" s="185" t="s">
        <v>989</v>
      </c>
      <c r="AI385" s="185"/>
      <c r="AJ385" s="185"/>
      <c r="AK385" s="185" t="s">
        <v>45</v>
      </c>
      <c r="AL385" s="185" t="s">
        <v>2267</v>
      </c>
      <c r="AM385" s="185" t="s">
        <v>2269</v>
      </c>
      <c r="AN385" s="196"/>
      <c r="AO385" s="196"/>
      <c r="AP385" s="195"/>
      <c r="AQ385" s="194"/>
      <c r="AR385" s="193"/>
      <c r="AS385" s="192"/>
      <c r="AT385" s="192"/>
      <c r="AU385" s="192"/>
      <c r="AV385" s="192"/>
      <c r="AW385" s="191"/>
      <c r="AX385" s="190" t="s">
        <v>72</v>
      </c>
      <c r="AY385" s="184"/>
    </row>
    <row r="386" spans="2:51">
      <c r="B386" s="185">
        <v>2183</v>
      </c>
      <c r="C386" s="189">
        <v>225388</v>
      </c>
      <c r="D386" s="185" t="s">
        <v>989</v>
      </c>
      <c r="E386" s="185" t="s">
        <v>2003</v>
      </c>
      <c r="F386" s="185" t="s">
        <v>827</v>
      </c>
      <c r="G386" s="185"/>
      <c r="H386" s="185"/>
      <c r="I386" s="188">
        <v>35</v>
      </c>
      <c r="J386" s="185"/>
      <c r="K386" s="188">
        <v>0</v>
      </c>
      <c r="L386" s="185" t="s">
        <v>1018</v>
      </c>
      <c r="M386" s="185"/>
      <c r="N386" s="185" t="s">
        <v>2190</v>
      </c>
      <c r="O386" s="185" t="s">
        <v>2184</v>
      </c>
      <c r="P386" s="185"/>
      <c r="Q386" s="185" t="s">
        <v>2208</v>
      </c>
      <c r="R386" s="185" t="s">
        <v>2195</v>
      </c>
      <c r="S386" s="186">
        <v>43783</v>
      </c>
      <c r="T386" s="186">
        <v>43783</v>
      </c>
      <c r="U386" s="185" t="s">
        <v>1156</v>
      </c>
      <c r="V386" s="185">
        <v>1200</v>
      </c>
      <c r="W386" s="185">
        <v>14050</v>
      </c>
      <c r="X386" s="187">
        <v>20566.95</v>
      </c>
      <c r="Y386" s="185">
        <v>14056</v>
      </c>
      <c r="Z386" s="187">
        <v>7712.61</v>
      </c>
      <c r="AA386" s="187">
        <v>0</v>
      </c>
      <c r="AB386" s="187">
        <v>12854.34</v>
      </c>
      <c r="AC386" s="187">
        <v>571.32000000000005</v>
      </c>
      <c r="AD386" s="185">
        <v>54260</v>
      </c>
      <c r="AE386" s="187">
        <v>142.83000000000001</v>
      </c>
      <c r="AF386" s="187">
        <v>0</v>
      </c>
      <c r="AG386" s="187">
        <v>142.83000000000001</v>
      </c>
      <c r="AH386" s="185" t="s">
        <v>989</v>
      </c>
      <c r="AI386" s="185"/>
      <c r="AJ386" s="185"/>
      <c r="AK386" s="185" t="s">
        <v>45</v>
      </c>
      <c r="AL386" s="185" t="s">
        <v>2267</v>
      </c>
      <c r="AM386" s="185" t="s">
        <v>2269</v>
      </c>
      <c r="AN386" s="196"/>
      <c r="AO386" s="196"/>
      <c r="AP386" s="195"/>
      <c r="AQ386" s="194"/>
      <c r="AR386" s="193"/>
      <c r="AS386" s="192"/>
      <c r="AT386" s="192"/>
      <c r="AU386" s="192"/>
      <c r="AV386" s="192"/>
      <c r="AW386" s="191"/>
      <c r="AX386" s="190" t="s">
        <v>72</v>
      </c>
      <c r="AY386" s="184"/>
    </row>
    <row r="387" spans="2:51">
      <c r="B387" s="185">
        <v>2183</v>
      </c>
      <c r="C387" s="189">
        <v>225387</v>
      </c>
      <c r="D387" s="185" t="s">
        <v>989</v>
      </c>
      <c r="E387" s="185" t="s">
        <v>2003</v>
      </c>
      <c r="F387" s="185" t="s">
        <v>828</v>
      </c>
      <c r="G387" s="185"/>
      <c r="H387" s="185"/>
      <c r="I387" s="188">
        <v>15</v>
      </c>
      <c r="J387" s="185"/>
      <c r="K387" s="188">
        <v>0</v>
      </c>
      <c r="L387" s="185" t="s">
        <v>1018</v>
      </c>
      <c r="M387" s="185"/>
      <c r="N387" s="185" t="s">
        <v>2190</v>
      </c>
      <c r="O387" s="185" t="s">
        <v>2184</v>
      </c>
      <c r="P387" s="185"/>
      <c r="Q387" s="185" t="s">
        <v>2200</v>
      </c>
      <c r="R387" s="185" t="s">
        <v>2195</v>
      </c>
      <c r="S387" s="186">
        <v>43783</v>
      </c>
      <c r="T387" s="186">
        <v>43783</v>
      </c>
      <c r="U387" s="185" t="s">
        <v>1156</v>
      </c>
      <c r="V387" s="185">
        <v>1200</v>
      </c>
      <c r="W387" s="185">
        <v>14050</v>
      </c>
      <c r="X387" s="187">
        <v>8893.2000000000007</v>
      </c>
      <c r="Y387" s="185">
        <v>14056</v>
      </c>
      <c r="Z387" s="187">
        <v>3334.96</v>
      </c>
      <c r="AA387" s="187">
        <v>0</v>
      </c>
      <c r="AB387" s="187">
        <v>5558.2400000000007</v>
      </c>
      <c r="AC387" s="187">
        <v>247.04</v>
      </c>
      <c r="AD387" s="185">
        <v>54260</v>
      </c>
      <c r="AE387" s="187">
        <v>61.76</v>
      </c>
      <c r="AF387" s="187">
        <v>0</v>
      </c>
      <c r="AG387" s="187">
        <v>61.76</v>
      </c>
      <c r="AH387" s="185" t="s">
        <v>989</v>
      </c>
      <c r="AI387" s="185"/>
      <c r="AJ387" s="185"/>
      <c r="AK387" s="185" t="s">
        <v>45</v>
      </c>
      <c r="AL387" s="185" t="s">
        <v>2267</v>
      </c>
      <c r="AM387" s="185" t="s">
        <v>2269</v>
      </c>
      <c r="AN387" s="196"/>
      <c r="AO387" s="196"/>
      <c r="AP387" s="195"/>
      <c r="AQ387" s="194"/>
      <c r="AR387" s="193"/>
      <c r="AS387" s="192"/>
      <c r="AT387" s="192"/>
      <c r="AU387" s="192"/>
      <c r="AV387" s="192"/>
      <c r="AW387" s="191"/>
      <c r="AX387" s="190" t="s">
        <v>72</v>
      </c>
      <c r="AY387" s="184"/>
    </row>
    <row r="388" spans="2:51" hidden="1">
      <c r="B388" s="185">
        <v>2183</v>
      </c>
      <c r="C388" s="189">
        <v>225296</v>
      </c>
      <c r="D388" s="185">
        <v>221755</v>
      </c>
      <c r="E388" s="185" t="s">
        <v>2003</v>
      </c>
      <c r="F388" s="185" t="s">
        <v>1157</v>
      </c>
      <c r="G388" s="185"/>
      <c r="H388" s="185"/>
      <c r="I388" s="188">
        <v>1</v>
      </c>
      <c r="J388" s="185"/>
      <c r="K388" s="188">
        <v>0</v>
      </c>
      <c r="L388" s="185" t="s">
        <v>1158</v>
      </c>
      <c r="M388" s="185"/>
      <c r="N388" s="185" t="s">
        <v>2183</v>
      </c>
      <c r="O388" s="185" t="s">
        <v>2184</v>
      </c>
      <c r="P388" s="185" t="s">
        <v>1028</v>
      </c>
      <c r="Q388" s="185"/>
      <c r="R388" s="185"/>
      <c r="S388" s="186">
        <v>43770</v>
      </c>
      <c r="T388" s="186">
        <v>43770</v>
      </c>
      <c r="U388" s="185" t="s">
        <v>1159</v>
      </c>
      <c r="V388" s="185">
        <v>1000</v>
      </c>
      <c r="W388" s="185">
        <v>14040</v>
      </c>
      <c r="X388" s="187">
        <v>1079.17</v>
      </c>
      <c r="Y388" s="185">
        <v>14046</v>
      </c>
      <c r="Z388" s="187">
        <v>485.59</v>
      </c>
      <c r="AA388" s="187">
        <v>0</v>
      </c>
      <c r="AB388" s="187">
        <v>593.58000000000015</v>
      </c>
      <c r="AC388" s="187">
        <v>35.96</v>
      </c>
      <c r="AD388" s="185">
        <v>51260</v>
      </c>
      <c r="AE388" s="187">
        <v>8.99</v>
      </c>
      <c r="AF388" s="187">
        <v>0</v>
      </c>
      <c r="AG388" s="187">
        <v>8.99</v>
      </c>
      <c r="AH388" s="185" t="s">
        <v>989</v>
      </c>
      <c r="AI388" s="185"/>
      <c r="AJ388" s="185"/>
      <c r="AK388" s="185" t="s">
        <v>45</v>
      </c>
      <c r="AL388" s="185" t="s">
        <v>2267</v>
      </c>
      <c r="AM388" s="185" t="s">
        <v>2269</v>
      </c>
      <c r="AN388" s="196"/>
      <c r="AO388" s="196"/>
      <c r="AP388" s="195"/>
      <c r="AQ388" s="194"/>
      <c r="AR388" s="193"/>
      <c r="AS388" s="192"/>
      <c r="AT388" s="192"/>
      <c r="AU388" s="192"/>
      <c r="AV388" s="192"/>
      <c r="AW388" s="191"/>
      <c r="AX388" s="190" t="s">
        <v>72</v>
      </c>
      <c r="AY388" s="184"/>
    </row>
    <row r="389" spans="2:51" hidden="1">
      <c r="B389" s="185">
        <v>2183</v>
      </c>
      <c r="C389" s="189">
        <v>225295</v>
      </c>
      <c r="D389" s="185">
        <v>219763</v>
      </c>
      <c r="E389" s="185" t="s">
        <v>2003</v>
      </c>
      <c r="F389" s="185" t="s">
        <v>1160</v>
      </c>
      <c r="G389" s="185"/>
      <c r="H389" s="185"/>
      <c r="I389" s="188">
        <v>1</v>
      </c>
      <c r="J389" s="185"/>
      <c r="K389" s="188">
        <v>0</v>
      </c>
      <c r="L389" s="185" t="s">
        <v>1158</v>
      </c>
      <c r="M389" s="185"/>
      <c r="N389" s="185" t="s">
        <v>2183</v>
      </c>
      <c r="O389" s="185" t="s">
        <v>2184</v>
      </c>
      <c r="P389" s="185" t="s">
        <v>1028</v>
      </c>
      <c r="Q389" s="185"/>
      <c r="R389" s="185"/>
      <c r="S389" s="186">
        <v>43770</v>
      </c>
      <c r="T389" s="186">
        <v>43770</v>
      </c>
      <c r="U389" s="185" t="s">
        <v>1161</v>
      </c>
      <c r="V389" s="185">
        <v>1000</v>
      </c>
      <c r="W389" s="185">
        <v>14040</v>
      </c>
      <c r="X389" s="187">
        <v>3988.84</v>
      </c>
      <c r="Y389" s="185">
        <v>14046</v>
      </c>
      <c r="Z389" s="187">
        <v>1794.96</v>
      </c>
      <c r="AA389" s="187">
        <v>0</v>
      </c>
      <c r="AB389" s="187">
        <v>2193.88</v>
      </c>
      <c r="AC389" s="187">
        <v>132.96</v>
      </c>
      <c r="AD389" s="185">
        <v>51260</v>
      </c>
      <c r="AE389" s="187">
        <v>33.24</v>
      </c>
      <c r="AF389" s="187">
        <v>0</v>
      </c>
      <c r="AG389" s="187">
        <v>33.24</v>
      </c>
      <c r="AH389" s="185" t="s">
        <v>989</v>
      </c>
      <c r="AI389" s="185"/>
      <c r="AJ389" s="185"/>
      <c r="AK389" s="185" t="s">
        <v>45</v>
      </c>
      <c r="AL389" s="185" t="s">
        <v>2267</v>
      </c>
      <c r="AM389" s="185" t="s">
        <v>2269</v>
      </c>
      <c r="AN389" s="196"/>
      <c r="AO389" s="196"/>
      <c r="AP389" s="195"/>
      <c r="AQ389" s="194"/>
      <c r="AR389" s="193"/>
      <c r="AS389" s="192"/>
      <c r="AT389" s="192"/>
      <c r="AU389" s="192"/>
      <c r="AV389" s="192"/>
      <c r="AW389" s="191"/>
      <c r="AX389" s="190" t="s">
        <v>72</v>
      </c>
      <c r="AY389" s="184"/>
    </row>
    <row r="390" spans="2:51" hidden="1">
      <c r="B390" s="185">
        <v>2183</v>
      </c>
      <c r="C390" s="189">
        <v>225294</v>
      </c>
      <c r="D390" s="185">
        <v>219761</v>
      </c>
      <c r="E390" s="185" t="s">
        <v>2003</v>
      </c>
      <c r="F390" s="185" t="s">
        <v>1162</v>
      </c>
      <c r="G390" s="185"/>
      <c r="H390" s="185"/>
      <c r="I390" s="188">
        <v>1</v>
      </c>
      <c r="J390" s="185"/>
      <c r="K390" s="188">
        <v>0</v>
      </c>
      <c r="L390" s="185" t="s">
        <v>1158</v>
      </c>
      <c r="M390" s="185"/>
      <c r="N390" s="185" t="s">
        <v>2183</v>
      </c>
      <c r="O390" s="185" t="s">
        <v>2184</v>
      </c>
      <c r="P390" s="185" t="s">
        <v>1028</v>
      </c>
      <c r="Q390" s="185"/>
      <c r="R390" s="185"/>
      <c r="S390" s="186">
        <v>43770</v>
      </c>
      <c r="T390" s="186">
        <v>43770</v>
      </c>
      <c r="U390" s="185" t="s">
        <v>1163</v>
      </c>
      <c r="V390" s="185">
        <v>1000</v>
      </c>
      <c r="W390" s="185">
        <v>14040</v>
      </c>
      <c r="X390" s="187">
        <v>68.010000000000005</v>
      </c>
      <c r="Y390" s="185">
        <v>14046</v>
      </c>
      <c r="Z390" s="187">
        <v>30.61</v>
      </c>
      <c r="AA390" s="187">
        <v>0</v>
      </c>
      <c r="AB390" s="187">
        <v>37.400000000000006</v>
      </c>
      <c r="AC390" s="187">
        <v>2.2799999999999998</v>
      </c>
      <c r="AD390" s="185">
        <v>51260</v>
      </c>
      <c r="AE390" s="187">
        <v>0.56999999999999995</v>
      </c>
      <c r="AF390" s="187">
        <v>0</v>
      </c>
      <c r="AG390" s="187">
        <v>0.56999999999999995</v>
      </c>
      <c r="AH390" s="185" t="s">
        <v>989</v>
      </c>
      <c r="AI390" s="185"/>
      <c r="AJ390" s="185"/>
      <c r="AK390" s="185" t="s">
        <v>45</v>
      </c>
      <c r="AL390" s="185" t="s">
        <v>2267</v>
      </c>
      <c r="AM390" s="185" t="s">
        <v>2269</v>
      </c>
      <c r="AN390" s="196"/>
      <c r="AO390" s="196"/>
      <c r="AP390" s="195"/>
      <c r="AQ390" s="194"/>
      <c r="AR390" s="193"/>
      <c r="AS390" s="192"/>
      <c r="AT390" s="192"/>
      <c r="AU390" s="192"/>
      <c r="AV390" s="192"/>
      <c r="AW390" s="191"/>
      <c r="AX390" s="190" t="s">
        <v>72</v>
      </c>
      <c r="AY390" s="184"/>
    </row>
    <row r="391" spans="2:51" hidden="1">
      <c r="B391" s="185">
        <v>2183</v>
      </c>
      <c r="C391" s="189">
        <v>225293</v>
      </c>
      <c r="D391" s="185">
        <v>219761</v>
      </c>
      <c r="E391" s="185" t="s">
        <v>2003</v>
      </c>
      <c r="F391" s="185" t="s">
        <v>1162</v>
      </c>
      <c r="G391" s="185"/>
      <c r="H391" s="185"/>
      <c r="I391" s="188">
        <v>1</v>
      </c>
      <c r="J391" s="185"/>
      <c r="K391" s="188">
        <v>0</v>
      </c>
      <c r="L391" s="185" t="s">
        <v>1158</v>
      </c>
      <c r="M391" s="185"/>
      <c r="N391" s="185" t="s">
        <v>2183</v>
      </c>
      <c r="O391" s="185" t="s">
        <v>2184</v>
      </c>
      <c r="P391" s="185" t="s">
        <v>1028</v>
      </c>
      <c r="Q391" s="185"/>
      <c r="R391" s="185"/>
      <c r="S391" s="186">
        <v>43770</v>
      </c>
      <c r="T391" s="186">
        <v>43770</v>
      </c>
      <c r="U391" s="185" t="s">
        <v>1163</v>
      </c>
      <c r="V391" s="185">
        <v>1000</v>
      </c>
      <c r="W391" s="185">
        <v>14040</v>
      </c>
      <c r="X391" s="187">
        <v>1011.16</v>
      </c>
      <c r="Y391" s="185">
        <v>14046</v>
      </c>
      <c r="Z391" s="187">
        <v>455.05</v>
      </c>
      <c r="AA391" s="187">
        <v>0</v>
      </c>
      <c r="AB391" s="187">
        <v>556.1099999999999</v>
      </c>
      <c r="AC391" s="187">
        <v>33.72</v>
      </c>
      <c r="AD391" s="185">
        <v>51260</v>
      </c>
      <c r="AE391" s="187">
        <v>8.43</v>
      </c>
      <c r="AF391" s="187">
        <v>0</v>
      </c>
      <c r="AG391" s="187">
        <v>8.43</v>
      </c>
      <c r="AH391" s="185" t="s">
        <v>989</v>
      </c>
      <c r="AI391" s="185"/>
      <c r="AJ391" s="185"/>
      <c r="AK391" s="185" t="s">
        <v>45</v>
      </c>
      <c r="AL391" s="185" t="s">
        <v>2267</v>
      </c>
      <c r="AM391" s="185" t="s">
        <v>2269</v>
      </c>
      <c r="AN391" s="196"/>
      <c r="AO391" s="196"/>
      <c r="AP391" s="195"/>
      <c r="AQ391" s="194"/>
      <c r="AR391" s="193"/>
      <c r="AS391" s="192"/>
      <c r="AT391" s="192"/>
      <c r="AU391" s="192"/>
      <c r="AV391" s="192"/>
      <c r="AW391" s="191"/>
      <c r="AX391" s="190" t="s">
        <v>72</v>
      </c>
      <c r="AY391" s="184"/>
    </row>
    <row r="392" spans="2:51" hidden="1">
      <c r="B392" s="185">
        <v>2183</v>
      </c>
      <c r="C392" s="189">
        <v>224109</v>
      </c>
      <c r="D392" s="185">
        <v>223830</v>
      </c>
      <c r="E392" s="185" t="s">
        <v>2003</v>
      </c>
      <c r="F392" s="185" t="s">
        <v>1164</v>
      </c>
      <c r="G392" s="185"/>
      <c r="H392" s="185"/>
      <c r="I392" s="188">
        <v>1</v>
      </c>
      <c r="J392" s="185"/>
      <c r="K392" s="188">
        <v>0</v>
      </c>
      <c r="L392" s="185" t="s">
        <v>1165</v>
      </c>
      <c r="M392" s="185"/>
      <c r="N392" s="185" t="s">
        <v>2183</v>
      </c>
      <c r="O392" s="185" t="s">
        <v>2184</v>
      </c>
      <c r="P392" s="185" t="s">
        <v>1028</v>
      </c>
      <c r="Q392" s="185"/>
      <c r="R392" s="185"/>
      <c r="S392" s="186">
        <v>43770</v>
      </c>
      <c r="T392" s="186">
        <v>43770</v>
      </c>
      <c r="U392" s="185" t="s">
        <v>1166</v>
      </c>
      <c r="V392" s="185">
        <v>1000</v>
      </c>
      <c r="W392" s="185">
        <v>14040</v>
      </c>
      <c r="X392" s="187">
        <v>808.82</v>
      </c>
      <c r="Y392" s="185">
        <v>14046</v>
      </c>
      <c r="Z392" s="187">
        <v>363.96</v>
      </c>
      <c r="AA392" s="187">
        <v>0</v>
      </c>
      <c r="AB392" s="187">
        <v>444.86000000000007</v>
      </c>
      <c r="AC392" s="187">
        <v>26.96</v>
      </c>
      <c r="AD392" s="185">
        <v>51260</v>
      </c>
      <c r="AE392" s="187">
        <v>6.74</v>
      </c>
      <c r="AF392" s="187">
        <v>0</v>
      </c>
      <c r="AG392" s="187">
        <v>6.74</v>
      </c>
      <c r="AH392" s="185" t="s">
        <v>989</v>
      </c>
      <c r="AI392" s="185"/>
      <c r="AJ392" s="185"/>
      <c r="AK392" s="185" t="s">
        <v>45</v>
      </c>
      <c r="AL392" s="185" t="s">
        <v>2267</v>
      </c>
      <c r="AM392" s="185" t="s">
        <v>2269</v>
      </c>
      <c r="AN392" s="196"/>
      <c r="AO392" s="196"/>
      <c r="AP392" s="195"/>
      <c r="AQ392" s="194"/>
      <c r="AR392" s="193"/>
      <c r="AS392" s="192"/>
      <c r="AT392" s="192"/>
      <c r="AU392" s="192"/>
      <c r="AV392" s="192"/>
      <c r="AW392" s="191"/>
      <c r="AX392" s="190" t="s">
        <v>72</v>
      </c>
      <c r="AY392" s="184"/>
    </row>
    <row r="393" spans="2:51" hidden="1">
      <c r="B393" s="185">
        <v>2183</v>
      </c>
      <c r="C393" s="189">
        <v>224108</v>
      </c>
      <c r="D393" s="185">
        <v>223830</v>
      </c>
      <c r="E393" s="185" t="s">
        <v>2003</v>
      </c>
      <c r="F393" s="185" t="s">
        <v>886</v>
      </c>
      <c r="G393" s="185"/>
      <c r="H393" s="185"/>
      <c r="I393" s="188">
        <v>1</v>
      </c>
      <c r="J393" s="185"/>
      <c r="K393" s="188">
        <v>0</v>
      </c>
      <c r="L393" s="185" t="s">
        <v>1093</v>
      </c>
      <c r="M393" s="185"/>
      <c r="N393" s="185" t="s">
        <v>2183</v>
      </c>
      <c r="O393" s="185" t="s">
        <v>2184</v>
      </c>
      <c r="P393" s="185" t="s">
        <v>1028</v>
      </c>
      <c r="Q393" s="185"/>
      <c r="R393" s="185"/>
      <c r="S393" s="186">
        <v>43770</v>
      </c>
      <c r="T393" s="186">
        <v>43770</v>
      </c>
      <c r="U393" s="185" t="s">
        <v>1166</v>
      </c>
      <c r="V393" s="185">
        <v>500</v>
      </c>
      <c r="W393" s="185">
        <v>14040</v>
      </c>
      <c r="X393" s="187">
        <v>633.95000000000005</v>
      </c>
      <c r="Y393" s="185">
        <v>14046</v>
      </c>
      <c r="Z393" s="187">
        <v>570.57000000000005</v>
      </c>
      <c r="AA393" s="187">
        <v>0</v>
      </c>
      <c r="AB393" s="187">
        <v>63.379999999999995</v>
      </c>
      <c r="AC393" s="187">
        <v>42.28</v>
      </c>
      <c r="AD393" s="185">
        <v>51260</v>
      </c>
      <c r="AE393" s="187">
        <v>10.57</v>
      </c>
      <c r="AF393" s="187">
        <v>0</v>
      </c>
      <c r="AG393" s="187">
        <v>10.57</v>
      </c>
      <c r="AH393" s="185" t="s">
        <v>989</v>
      </c>
      <c r="AI393" s="185"/>
      <c r="AJ393" s="185"/>
      <c r="AK393" s="185" t="s">
        <v>45</v>
      </c>
      <c r="AL393" s="185" t="s">
        <v>2267</v>
      </c>
      <c r="AM393" s="185" t="s">
        <v>2269</v>
      </c>
      <c r="AN393" s="196"/>
      <c r="AO393" s="196"/>
      <c r="AP393" s="195"/>
      <c r="AQ393" s="194"/>
      <c r="AR393" s="193"/>
      <c r="AS393" s="192"/>
      <c r="AT393" s="192"/>
      <c r="AU393" s="192"/>
      <c r="AV393" s="192"/>
      <c r="AW393" s="191"/>
      <c r="AX393" s="190" t="s">
        <v>72</v>
      </c>
      <c r="AY393" s="184"/>
    </row>
    <row r="394" spans="2:51" hidden="1">
      <c r="B394" s="185">
        <v>2183</v>
      </c>
      <c r="C394" s="189">
        <v>224107</v>
      </c>
      <c r="D394" s="185">
        <v>221755</v>
      </c>
      <c r="E394" s="185" t="s">
        <v>2003</v>
      </c>
      <c r="F394" s="185" t="s">
        <v>886</v>
      </c>
      <c r="G394" s="185"/>
      <c r="H394" s="185"/>
      <c r="I394" s="188">
        <v>1</v>
      </c>
      <c r="J394" s="185"/>
      <c r="K394" s="188">
        <v>0</v>
      </c>
      <c r="L394" s="185" t="s">
        <v>1093</v>
      </c>
      <c r="M394" s="185"/>
      <c r="N394" s="185" t="s">
        <v>2183</v>
      </c>
      <c r="O394" s="185" t="s">
        <v>2184</v>
      </c>
      <c r="P394" s="185" t="s">
        <v>1028</v>
      </c>
      <c r="Q394" s="185"/>
      <c r="R394" s="185"/>
      <c r="S394" s="186">
        <v>43770</v>
      </c>
      <c r="T394" s="186">
        <v>43770</v>
      </c>
      <c r="U394" s="185" t="s">
        <v>1159</v>
      </c>
      <c r="V394" s="185">
        <v>500</v>
      </c>
      <c r="W394" s="185">
        <v>14040</v>
      </c>
      <c r="X394" s="187">
        <v>633.95000000000005</v>
      </c>
      <c r="Y394" s="185">
        <v>14046</v>
      </c>
      <c r="Z394" s="187">
        <v>570.57000000000005</v>
      </c>
      <c r="AA394" s="187">
        <v>0</v>
      </c>
      <c r="AB394" s="187">
        <v>63.379999999999995</v>
      </c>
      <c r="AC394" s="187">
        <v>42.28</v>
      </c>
      <c r="AD394" s="185">
        <v>51260</v>
      </c>
      <c r="AE394" s="187">
        <v>10.57</v>
      </c>
      <c r="AF394" s="187">
        <v>0</v>
      </c>
      <c r="AG394" s="187">
        <v>10.57</v>
      </c>
      <c r="AH394" s="185" t="s">
        <v>989</v>
      </c>
      <c r="AI394" s="185"/>
      <c r="AJ394" s="185"/>
      <c r="AK394" s="185" t="s">
        <v>45</v>
      </c>
      <c r="AL394" s="185" t="s">
        <v>2267</v>
      </c>
      <c r="AM394" s="185" t="s">
        <v>2269</v>
      </c>
      <c r="AN394" s="196"/>
      <c r="AO394" s="196"/>
      <c r="AP394" s="195"/>
      <c r="AQ394" s="194"/>
      <c r="AR394" s="193"/>
      <c r="AS394" s="192"/>
      <c r="AT394" s="192"/>
      <c r="AU394" s="192"/>
      <c r="AV394" s="192"/>
      <c r="AW394" s="191"/>
      <c r="AX394" s="190" t="s">
        <v>72</v>
      </c>
      <c r="AY394" s="184"/>
    </row>
    <row r="395" spans="2:51" hidden="1">
      <c r="B395" s="185">
        <v>2183</v>
      </c>
      <c r="C395" s="189">
        <v>224106</v>
      </c>
      <c r="D395" s="185">
        <v>221755</v>
      </c>
      <c r="E395" s="185" t="s">
        <v>2003</v>
      </c>
      <c r="F395" s="185" t="s">
        <v>729</v>
      </c>
      <c r="G395" s="185"/>
      <c r="H395" s="185"/>
      <c r="I395" s="188">
        <v>1</v>
      </c>
      <c r="J395" s="185"/>
      <c r="K395" s="188">
        <v>0</v>
      </c>
      <c r="L395" s="185" t="s">
        <v>1151</v>
      </c>
      <c r="M395" s="185"/>
      <c r="N395" s="185" t="s">
        <v>2183</v>
      </c>
      <c r="O395" s="185" t="s">
        <v>2184</v>
      </c>
      <c r="P395" s="185" t="s">
        <v>1028</v>
      </c>
      <c r="Q395" s="185"/>
      <c r="R395" s="185"/>
      <c r="S395" s="186">
        <v>43770</v>
      </c>
      <c r="T395" s="186">
        <v>43770</v>
      </c>
      <c r="U395" s="185" t="s">
        <v>1159</v>
      </c>
      <c r="V395" s="185">
        <v>1000</v>
      </c>
      <c r="W395" s="185">
        <v>14040</v>
      </c>
      <c r="X395" s="187">
        <v>868.94</v>
      </c>
      <c r="Y395" s="185">
        <v>14046</v>
      </c>
      <c r="Z395" s="187">
        <v>390.92</v>
      </c>
      <c r="AA395" s="187">
        <v>0</v>
      </c>
      <c r="AB395" s="187">
        <v>478.02000000000004</v>
      </c>
      <c r="AC395" s="187">
        <v>28.96</v>
      </c>
      <c r="AD395" s="185">
        <v>51260</v>
      </c>
      <c r="AE395" s="187">
        <v>7.24</v>
      </c>
      <c r="AF395" s="187">
        <v>0</v>
      </c>
      <c r="AG395" s="187">
        <v>7.24</v>
      </c>
      <c r="AH395" s="185" t="s">
        <v>989</v>
      </c>
      <c r="AI395" s="185"/>
      <c r="AJ395" s="185"/>
      <c r="AK395" s="185" t="s">
        <v>45</v>
      </c>
      <c r="AL395" s="185" t="s">
        <v>2267</v>
      </c>
      <c r="AM395" s="185" t="s">
        <v>2269</v>
      </c>
      <c r="AN395" s="196"/>
      <c r="AO395" s="196"/>
      <c r="AP395" s="195"/>
      <c r="AQ395" s="194"/>
      <c r="AR395" s="193"/>
      <c r="AS395" s="192"/>
      <c r="AT395" s="192"/>
      <c r="AU395" s="192"/>
      <c r="AV395" s="192"/>
      <c r="AW395" s="191"/>
      <c r="AX395" s="190" t="s">
        <v>72</v>
      </c>
      <c r="AY395" s="184"/>
    </row>
    <row r="396" spans="2:51" hidden="1">
      <c r="B396" s="185">
        <v>2183</v>
      </c>
      <c r="C396" s="189">
        <v>224105</v>
      </c>
      <c r="D396" s="185">
        <v>219763</v>
      </c>
      <c r="E396" s="185" t="s">
        <v>2003</v>
      </c>
      <c r="F396" s="185" t="s">
        <v>886</v>
      </c>
      <c r="G396" s="185"/>
      <c r="H396" s="185"/>
      <c r="I396" s="188">
        <v>1</v>
      </c>
      <c r="J396" s="185"/>
      <c r="K396" s="188">
        <v>0</v>
      </c>
      <c r="L396" s="185" t="s">
        <v>1093</v>
      </c>
      <c r="M396" s="185"/>
      <c r="N396" s="185" t="s">
        <v>2183</v>
      </c>
      <c r="O396" s="185" t="s">
        <v>2184</v>
      </c>
      <c r="P396" s="185" t="s">
        <v>1028</v>
      </c>
      <c r="Q396" s="185"/>
      <c r="R396" s="185"/>
      <c r="S396" s="186">
        <v>43770</v>
      </c>
      <c r="T396" s="186">
        <v>43770</v>
      </c>
      <c r="U396" s="185" t="s">
        <v>1161</v>
      </c>
      <c r="V396" s="185">
        <v>500</v>
      </c>
      <c r="W396" s="185">
        <v>14040</v>
      </c>
      <c r="X396" s="187">
        <v>633.95000000000005</v>
      </c>
      <c r="Y396" s="185">
        <v>14046</v>
      </c>
      <c r="Z396" s="187">
        <v>570.57000000000005</v>
      </c>
      <c r="AA396" s="187">
        <v>0</v>
      </c>
      <c r="AB396" s="187">
        <v>63.379999999999995</v>
      </c>
      <c r="AC396" s="187">
        <v>42.28</v>
      </c>
      <c r="AD396" s="185">
        <v>51260</v>
      </c>
      <c r="AE396" s="187">
        <v>10.57</v>
      </c>
      <c r="AF396" s="187">
        <v>0</v>
      </c>
      <c r="AG396" s="187">
        <v>10.57</v>
      </c>
      <c r="AH396" s="185" t="s">
        <v>989</v>
      </c>
      <c r="AI396" s="185"/>
      <c r="AJ396" s="185"/>
      <c r="AK396" s="185" t="s">
        <v>45</v>
      </c>
      <c r="AL396" s="185" t="s">
        <v>2267</v>
      </c>
      <c r="AM396" s="185" t="s">
        <v>2269</v>
      </c>
      <c r="AN396" s="196"/>
      <c r="AO396" s="196"/>
      <c r="AP396" s="195"/>
      <c r="AQ396" s="194"/>
      <c r="AR396" s="193"/>
      <c r="AS396" s="192"/>
      <c r="AT396" s="192"/>
      <c r="AU396" s="192"/>
      <c r="AV396" s="192"/>
      <c r="AW396" s="191"/>
      <c r="AX396" s="190" t="s">
        <v>72</v>
      </c>
      <c r="AY396" s="184"/>
    </row>
    <row r="397" spans="2:51" hidden="1">
      <c r="B397" s="185">
        <v>2183</v>
      </c>
      <c r="C397" s="189">
        <v>224104</v>
      </c>
      <c r="D397" s="185">
        <v>219763</v>
      </c>
      <c r="E397" s="185" t="s">
        <v>2003</v>
      </c>
      <c r="F397" s="185" t="s">
        <v>729</v>
      </c>
      <c r="G397" s="185"/>
      <c r="H397" s="185"/>
      <c r="I397" s="188">
        <v>1</v>
      </c>
      <c r="J397" s="185"/>
      <c r="K397" s="188">
        <v>0</v>
      </c>
      <c r="L397" s="185" t="s">
        <v>1151</v>
      </c>
      <c r="M397" s="185"/>
      <c r="N397" s="185" t="s">
        <v>2183</v>
      </c>
      <c r="O397" s="185" t="s">
        <v>2184</v>
      </c>
      <c r="P397" s="185" t="s">
        <v>1028</v>
      </c>
      <c r="Q397" s="185"/>
      <c r="R397" s="185"/>
      <c r="S397" s="186">
        <v>43770</v>
      </c>
      <c r="T397" s="186">
        <v>43770</v>
      </c>
      <c r="U397" s="185" t="s">
        <v>1161</v>
      </c>
      <c r="V397" s="185">
        <v>1000</v>
      </c>
      <c r="W397" s="185">
        <v>14040</v>
      </c>
      <c r="X397" s="187">
        <v>220.79</v>
      </c>
      <c r="Y397" s="185">
        <v>14046</v>
      </c>
      <c r="Z397" s="187">
        <v>99.36</v>
      </c>
      <c r="AA397" s="187">
        <v>0</v>
      </c>
      <c r="AB397" s="187">
        <v>121.42999999999999</v>
      </c>
      <c r="AC397" s="187">
        <v>7.36</v>
      </c>
      <c r="AD397" s="185">
        <v>51260</v>
      </c>
      <c r="AE397" s="187">
        <v>1.84</v>
      </c>
      <c r="AF397" s="187">
        <v>0</v>
      </c>
      <c r="AG397" s="187">
        <v>1.84</v>
      </c>
      <c r="AH397" s="185" t="s">
        <v>989</v>
      </c>
      <c r="AI397" s="185"/>
      <c r="AJ397" s="185"/>
      <c r="AK397" s="185" t="s">
        <v>45</v>
      </c>
      <c r="AL397" s="185" t="s">
        <v>2267</v>
      </c>
      <c r="AM397" s="185" t="s">
        <v>2269</v>
      </c>
      <c r="AN397" s="196"/>
      <c r="AO397" s="196"/>
      <c r="AP397" s="195"/>
      <c r="AQ397" s="194"/>
      <c r="AR397" s="193"/>
      <c r="AS397" s="192"/>
      <c r="AT397" s="192"/>
      <c r="AU397" s="192"/>
      <c r="AV397" s="192"/>
      <c r="AW397" s="191"/>
      <c r="AX397" s="190" t="s">
        <v>72</v>
      </c>
      <c r="AY397" s="184"/>
    </row>
    <row r="398" spans="2:51" hidden="1">
      <c r="B398" s="185">
        <v>2183</v>
      </c>
      <c r="C398" s="189">
        <v>224103</v>
      </c>
      <c r="D398" s="185">
        <v>219762</v>
      </c>
      <c r="E398" s="185" t="s">
        <v>2003</v>
      </c>
      <c r="F398" s="185" t="s">
        <v>886</v>
      </c>
      <c r="G398" s="185"/>
      <c r="H398" s="185"/>
      <c r="I398" s="188">
        <v>1</v>
      </c>
      <c r="J398" s="185"/>
      <c r="K398" s="188">
        <v>0</v>
      </c>
      <c r="L398" s="185" t="s">
        <v>1093</v>
      </c>
      <c r="M398" s="185"/>
      <c r="N398" s="185" t="s">
        <v>2183</v>
      </c>
      <c r="O398" s="185" t="s">
        <v>2184</v>
      </c>
      <c r="P398" s="185" t="s">
        <v>1028</v>
      </c>
      <c r="Q398" s="185"/>
      <c r="R398" s="185"/>
      <c r="S398" s="186">
        <v>43726</v>
      </c>
      <c r="T398" s="186">
        <v>43726</v>
      </c>
      <c r="U398" s="185" t="s">
        <v>1167</v>
      </c>
      <c r="V398" s="185">
        <v>500</v>
      </c>
      <c r="W398" s="185">
        <v>14040</v>
      </c>
      <c r="X398" s="187">
        <v>633.95000000000005</v>
      </c>
      <c r="Y398" s="185">
        <v>14046</v>
      </c>
      <c r="Z398" s="187">
        <v>581.14</v>
      </c>
      <c r="AA398" s="187">
        <v>0</v>
      </c>
      <c r="AB398" s="187">
        <v>52.810000000000059</v>
      </c>
      <c r="AC398" s="187">
        <v>42.28</v>
      </c>
      <c r="AD398" s="185">
        <v>51260</v>
      </c>
      <c r="AE398" s="187">
        <v>10.57</v>
      </c>
      <c r="AF398" s="187">
        <v>0</v>
      </c>
      <c r="AG398" s="187">
        <v>10.57</v>
      </c>
      <c r="AH398" s="185" t="s">
        <v>989</v>
      </c>
      <c r="AI398" s="185"/>
      <c r="AJ398" s="185"/>
      <c r="AK398" s="185" t="s">
        <v>45</v>
      </c>
      <c r="AL398" s="185" t="s">
        <v>2267</v>
      </c>
      <c r="AM398" s="185" t="s">
        <v>2269</v>
      </c>
      <c r="AN398" s="196"/>
      <c r="AO398" s="196"/>
      <c r="AP398" s="195"/>
      <c r="AQ398" s="194"/>
      <c r="AR398" s="193"/>
      <c r="AS398" s="192"/>
      <c r="AT398" s="192"/>
      <c r="AU398" s="192"/>
      <c r="AV398" s="192"/>
      <c r="AW398" s="191"/>
      <c r="AX398" s="190" t="s">
        <v>72</v>
      </c>
      <c r="AY398" s="184"/>
    </row>
    <row r="399" spans="2:51" hidden="1">
      <c r="B399" s="185">
        <v>2183</v>
      </c>
      <c r="C399" s="189">
        <v>224102</v>
      </c>
      <c r="D399" s="185">
        <v>219761</v>
      </c>
      <c r="E399" s="185" t="s">
        <v>2003</v>
      </c>
      <c r="F399" s="185" t="s">
        <v>1164</v>
      </c>
      <c r="G399" s="185"/>
      <c r="H399" s="185"/>
      <c r="I399" s="188">
        <v>1</v>
      </c>
      <c r="J399" s="185"/>
      <c r="K399" s="188">
        <v>0</v>
      </c>
      <c r="L399" s="185" t="s">
        <v>1165</v>
      </c>
      <c r="M399" s="185"/>
      <c r="N399" s="185" t="s">
        <v>2183</v>
      </c>
      <c r="O399" s="185" t="s">
        <v>2184</v>
      </c>
      <c r="P399" s="185" t="s">
        <v>1028</v>
      </c>
      <c r="Q399" s="185"/>
      <c r="R399" s="185"/>
      <c r="S399" s="186">
        <v>43770</v>
      </c>
      <c r="T399" s="186">
        <v>43770</v>
      </c>
      <c r="U399" s="185" t="s">
        <v>1163</v>
      </c>
      <c r="V399" s="185">
        <v>1000</v>
      </c>
      <c r="W399" s="185">
        <v>14040</v>
      </c>
      <c r="X399" s="187">
        <v>956.38</v>
      </c>
      <c r="Y399" s="185">
        <v>14046</v>
      </c>
      <c r="Z399" s="187">
        <v>430.38</v>
      </c>
      <c r="AA399" s="187">
        <v>0</v>
      </c>
      <c r="AB399" s="187">
        <v>526</v>
      </c>
      <c r="AC399" s="187">
        <v>31.88</v>
      </c>
      <c r="AD399" s="185">
        <v>51260</v>
      </c>
      <c r="AE399" s="187">
        <v>7.97</v>
      </c>
      <c r="AF399" s="187">
        <v>0</v>
      </c>
      <c r="AG399" s="187">
        <v>7.97</v>
      </c>
      <c r="AH399" s="185" t="s">
        <v>989</v>
      </c>
      <c r="AI399" s="185"/>
      <c r="AJ399" s="185"/>
      <c r="AK399" s="185" t="s">
        <v>45</v>
      </c>
      <c r="AL399" s="185" t="s">
        <v>2267</v>
      </c>
      <c r="AM399" s="185" t="s">
        <v>2269</v>
      </c>
      <c r="AN399" s="196"/>
      <c r="AO399" s="196"/>
      <c r="AP399" s="195"/>
      <c r="AQ399" s="194"/>
      <c r="AR399" s="193"/>
      <c r="AS399" s="192"/>
      <c r="AT399" s="192"/>
      <c r="AU399" s="192"/>
      <c r="AV399" s="192"/>
      <c r="AW399" s="191"/>
      <c r="AX399" s="190" t="s">
        <v>72</v>
      </c>
      <c r="AY399" s="184"/>
    </row>
    <row r="400" spans="2:51" hidden="1">
      <c r="B400" s="185">
        <v>2183</v>
      </c>
      <c r="C400" s="189">
        <v>224101</v>
      </c>
      <c r="D400" s="185">
        <v>219760</v>
      </c>
      <c r="E400" s="185" t="s">
        <v>2003</v>
      </c>
      <c r="F400" s="185" t="s">
        <v>886</v>
      </c>
      <c r="G400" s="185"/>
      <c r="H400" s="185"/>
      <c r="I400" s="188">
        <v>1</v>
      </c>
      <c r="J400" s="185"/>
      <c r="K400" s="188">
        <v>0</v>
      </c>
      <c r="L400" s="185" t="s">
        <v>1093</v>
      </c>
      <c r="M400" s="185"/>
      <c r="N400" s="185" t="s">
        <v>2183</v>
      </c>
      <c r="O400" s="185" t="s">
        <v>2184</v>
      </c>
      <c r="P400" s="185" t="s">
        <v>1028</v>
      </c>
      <c r="Q400" s="185"/>
      <c r="R400" s="185"/>
      <c r="S400" s="186">
        <v>43770</v>
      </c>
      <c r="T400" s="186">
        <v>43770</v>
      </c>
      <c r="U400" s="185" t="s">
        <v>1153</v>
      </c>
      <c r="V400" s="185">
        <v>500</v>
      </c>
      <c r="W400" s="185">
        <v>14040</v>
      </c>
      <c r="X400" s="187">
        <v>633.95000000000005</v>
      </c>
      <c r="Y400" s="185">
        <v>14046</v>
      </c>
      <c r="Z400" s="187">
        <v>570.57000000000005</v>
      </c>
      <c r="AA400" s="187">
        <v>0</v>
      </c>
      <c r="AB400" s="187">
        <v>63.379999999999995</v>
      </c>
      <c r="AC400" s="187">
        <v>42.28</v>
      </c>
      <c r="AD400" s="185">
        <v>51260</v>
      </c>
      <c r="AE400" s="187">
        <v>10.57</v>
      </c>
      <c r="AF400" s="187">
        <v>0</v>
      </c>
      <c r="AG400" s="187">
        <v>10.57</v>
      </c>
      <c r="AH400" s="185" t="s">
        <v>989</v>
      </c>
      <c r="AI400" s="185"/>
      <c r="AJ400" s="185"/>
      <c r="AK400" s="185" t="s">
        <v>45</v>
      </c>
      <c r="AL400" s="185" t="s">
        <v>2267</v>
      </c>
      <c r="AM400" s="185" t="s">
        <v>2269</v>
      </c>
      <c r="AN400" s="196"/>
      <c r="AO400" s="196"/>
      <c r="AP400" s="195"/>
      <c r="AQ400" s="194"/>
      <c r="AR400" s="193"/>
      <c r="AS400" s="192"/>
      <c r="AT400" s="192"/>
      <c r="AU400" s="192"/>
      <c r="AV400" s="192"/>
      <c r="AW400" s="191"/>
      <c r="AX400" s="190" t="s">
        <v>72</v>
      </c>
      <c r="AY400" s="184"/>
    </row>
    <row r="401" spans="2:51">
      <c r="B401" s="185">
        <v>2183</v>
      </c>
      <c r="C401" s="189">
        <v>223830</v>
      </c>
      <c r="D401" s="185" t="s">
        <v>989</v>
      </c>
      <c r="E401" s="185" t="s">
        <v>2003</v>
      </c>
      <c r="F401" s="185" t="s">
        <v>834</v>
      </c>
      <c r="G401" s="185"/>
      <c r="H401" s="185"/>
      <c r="I401" s="188">
        <v>1</v>
      </c>
      <c r="J401" s="185" t="s">
        <v>1168</v>
      </c>
      <c r="K401" s="188">
        <v>2020</v>
      </c>
      <c r="L401" s="185" t="s">
        <v>1097</v>
      </c>
      <c r="M401" s="185" t="s">
        <v>1110</v>
      </c>
      <c r="N401" s="185" t="s">
        <v>2183</v>
      </c>
      <c r="O401" s="185" t="s">
        <v>2184</v>
      </c>
      <c r="P401" s="185" t="s">
        <v>2206</v>
      </c>
      <c r="Q401" s="185"/>
      <c r="R401" s="185"/>
      <c r="S401" s="186">
        <v>43770</v>
      </c>
      <c r="T401" s="186">
        <v>43770</v>
      </c>
      <c r="U401" s="185" t="s">
        <v>1169</v>
      </c>
      <c r="V401" s="185">
        <v>1000</v>
      </c>
      <c r="W401" s="185">
        <v>14040</v>
      </c>
      <c r="X401" s="187">
        <v>339497.26</v>
      </c>
      <c r="Y401" s="185">
        <v>14046</v>
      </c>
      <c r="Z401" s="187">
        <v>152773.76999999999</v>
      </c>
      <c r="AA401" s="187">
        <v>0</v>
      </c>
      <c r="AB401" s="187">
        <v>186723.49000000002</v>
      </c>
      <c r="AC401" s="187">
        <v>11316.56</v>
      </c>
      <c r="AD401" s="185">
        <v>51260</v>
      </c>
      <c r="AE401" s="187">
        <v>2829.14</v>
      </c>
      <c r="AF401" s="187">
        <v>0</v>
      </c>
      <c r="AG401" s="187">
        <v>2829.14</v>
      </c>
      <c r="AH401" s="185" t="s">
        <v>989</v>
      </c>
      <c r="AI401" s="185"/>
      <c r="AJ401" s="185">
        <v>2056</v>
      </c>
      <c r="AK401" s="185" t="s">
        <v>45</v>
      </c>
      <c r="AL401" s="185" t="s">
        <v>2267</v>
      </c>
      <c r="AM401" s="185" t="s">
        <v>2269</v>
      </c>
      <c r="AN401" s="196"/>
      <c r="AO401" s="196"/>
      <c r="AP401" s="195"/>
      <c r="AQ401" s="194"/>
      <c r="AR401" s="193"/>
      <c r="AS401" s="192"/>
      <c r="AT401" s="192"/>
      <c r="AU401" s="192"/>
      <c r="AV401" s="192"/>
      <c r="AW401" s="191"/>
      <c r="AX401" s="190" t="s">
        <v>72</v>
      </c>
      <c r="AY401" s="184"/>
    </row>
    <row r="402" spans="2:51">
      <c r="B402" s="185">
        <v>2183</v>
      </c>
      <c r="C402" s="189">
        <v>223829</v>
      </c>
      <c r="D402" s="185" t="s">
        <v>989</v>
      </c>
      <c r="E402" s="185" t="s">
        <v>2003</v>
      </c>
      <c r="F402" s="185" t="s">
        <v>832</v>
      </c>
      <c r="G402" s="185"/>
      <c r="H402" s="185"/>
      <c r="I402" s="188">
        <v>1</v>
      </c>
      <c r="J402" s="185" t="s">
        <v>1170</v>
      </c>
      <c r="K402" s="188">
        <v>2020</v>
      </c>
      <c r="L402" s="185" t="s">
        <v>1097</v>
      </c>
      <c r="M402" s="185" t="s">
        <v>1110</v>
      </c>
      <c r="N402" s="185" t="s">
        <v>2183</v>
      </c>
      <c r="O402" s="185" t="s">
        <v>2184</v>
      </c>
      <c r="P402" s="185" t="s">
        <v>2187</v>
      </c>
      <c r="Q402" s="185"/>
      <c r="R402" s="185"/>
      <c r="S402" s="186">
        <v>43770</v>
      </c>
      <c r="T402" s="186">
        <v>43770</v>
      </c>
      <c r="U402" s="185" t="s">
        <v>1171</v>
      </c>
      <c r="V402" s="185">
        <v>1000</v>
      </c>
      <c r="W402" s="185">
        <v>14040</v>
      </c>
      <c r="X402" s="187">
        <v>360730.61</v>
      </c>
      <c r="Y402" s="185">
        <v>14046</v>
      </c>
      <c r="Z402" s="187">
        <v>162328.78</v>
      </c>
      <c r="AA402" s="187">
        <v>0</v>
      </c>
      <c r="AB402" s="187">
        <v>198401.83</v>
      </c>
      <c r="AC402" s="187">
        <v>12024.36</v>
      </c>
      <c r="AD402" s="185">
        <v>51260</v>
      </c>
      <c r="AE402" s="187">
        <v>3006.09</v>
      </c>
      <c r="AF402" s="187">
        <v>0</v>
      </c>
      <c r="AG402" s="187">
        <v>3006.09</v>
      </c>
      <c r="AH402" s="185" t="s">
        <v>989</v>
      </c>
      <c r="AI402" s="185"/>
      <c r="AJ402" s="185">
        <v>3693</v>
      </c>
      <c r="AK402" s="185" t="s">
        <v>45</v>
      </c>
      <c r="AL402" s="185" t="s">
        <v>2267</v>
      </c>
      <c r="AM402" s="185" t="s">
        <v>2269</v>
      </c>
      <c r="AN402" s="196"/>
      <c r="AO402" s="196"/>
      <c r="AP402" s="195"/>
      <c r="AQ402" s="194"/>
      <c r="AR402" s="193"/>
      <c r="AS402" s="192"/>
      <c r="AT402" s="192"/>
      <c r="AU402" s="192"/>
      <c r="AV402" s="192"/>
      <c r="AW402" s="191"/>
      <c r="AX402" s="190" t="s">
        <v>72</v>
      </c>
      <c r="AY402" s="184"/>
    </row>
    <row r="403" spans="2:51" hidden="1">
      <c r="B403" s="185">
        <v>2183</v>
      </c>
      <c r="C403" s="189">
        <v>223699</v>
      </c>
      <c r="D403" s="185">
        <v>221755</v>
      </c>
      <c r="E403" s="185" t="s">
        <v>2003</v>
      </c>
      <c r="F403" s="185" t="s">
        <v>731</v>
      </c>
      <c r="G403" s="185"/>
      <c r="H403" s="185"/>
      <c r="I403" s="188">
        <v>1</v>
      </c>
      <c r="J403" s="185"/>
      <c r="K403" s="188">
        <v>0</v>
      </c>
      <c r="L403" s="185" t="s">
        <v>1037</v>
      </c>
      <c r="M403" s="185"/>
      <c r="N403" s="185" t="s">
        <v>2183</v>
      </c>
      <c r="O403" s="185" t="s">
        <v>2184</v>
      </c>
      <c r="P403" s="185" t="s">
        <v>1028</v>
      </c>
      <c r="Q403" s="185"/>
      <c r="R403" s="185"/>
      <c r="S403" s="186">
        <v>43770</v>
      </c>
      <c r="T403" s="186">
        <v>43770</v>
      </c>
      <c r="U403" s="185" t="s">
        <v>1159</v>
      </c>
      <c r="V403" s="185">
        <v>500</v>
      </c>
      <c r="W403" s="185">
        <v>14040</v>
      </c>
      <c r="X403" s="187">
        <v>791.55</v>
      </c>
      <c r="Y403" s="185">
        <v>14046</v>
      </c>
      <c r="Z403" s="187">
        <v>712.39</v>
      </c>
      <c r="AA403" s="187">
        <v>0</v>
      </c>
      <c r="AB403" s="187">
        <v>79.159999999999968</v>
      </c>
      <c r="AC403" s="187">
        <v>52.76</v>
      </c>
      <c r="AD403" s="185">
        <v>51260</v>
      </c>
      <c r="AE403" s="187">
        <v>13.19</v>
      </c>
      <c r="AF403" s="187">
        <v>0</v>
      </c>
      <c r="AG403" s="187">
        <v>13.19</v>
      </c>
      <c r="AH403" s="185" t="s">
        <v>989</v>
      </c>
      <c r="AI403" s="185"/>
      <c r="AJ403" s="185"/>
      <c r="AK403" s="185" t="s">
        <v>45</v>
      </c>
      <c r="AL403" s="185" t="s">
        <v>2267</v>
      </c>
      <c r="AM403" s="185" t="s">
        <v>2269</v>
      </c>
      <c r="AN403" s="196"/>
      <c r="AO403" s="196"/>
      <c r="AP403" s="195"/>
      <c r="AQ403" s="194"/>
      <c r="AR403" s="193"/>
      <c r="AS403" s="192"/>
      <c r="AT403" s="192"/>
      <c r="AU403" s="192"/>
      <c r="AV403" s="192"/>
      <c r="AW403" s="191"/>
      <c r="AX403" s="190" t="s">
        <v>72</v>
      </c>
      <c r="AY403" s="184"/>
    </row>
    <row r="404" spans="2:51" hidden="1">
      <c r="B404" s="185">
        <v>2183</v>
      </c>
      <c r="C404" s="189">
        <v>223698</v>
      </c>
      <c r="D404" s="185">
        <v>218238</v>
      </c>
      <c r="E404" s="185" t="s">
        <v>2003</v>
      </c>
      <c r="F404" s="185" t="s">
        <v>731</v>
      </c>
      <c r="G404" s="185"/>
      <c r="H404" s="185"/>
      <c r="I404" s="188">
        <v>1</v>
      </c>
      <c r="J404" s="185"/>
      <c r="K404" s="188">
        <v>0</v>
      </c>
      <c r="L404" s="185" t="s">
        <v>1037</v>
      </c>
      <c r="M404" s="185"/>
      <c r="N404" s="185" t="s">
        <v>2183</v>
      </c>
      <c r="O404" s="185" t="s">
        <v>2184</v>
      </c>
      <c r="P404" s="185" t="s">
        <v>1028</v>
      </c>
      <c r="Q404" s="185"/>
      <c r="R404" s="185"/>
      <c r="S404" s="186">
        <v>43620</v>
      </c>
      <c r="T404" s="186">
        <v>43620</v>
      </c>
      <c r="U404" s="185" t="s">
        <v>1172</v>
      </c>
      <c r="V404" s="185">
        <v>500</v>
      </c>
      <c r="W404" s="185">
        <v>14040</v>
      </c>
      <c r="X404" s="187">
        <v>791.55</v>
      </c>
      <c r="Y404" s="185">
        <v>14046</v>
      </c>
      <c r="Z404" s="187">
        <v>778.35</v>
      </c>
      <c r="AA404" s="187">
        <v>0</v>
      </c>
      <c r="AB404" s="187">
        <v>13.199999999999932</v>
      </c>
      <c r="AC404" s="187">
        <v>52.76</v>
      </c>
      <c r="AD404" s="185">
        <v>51260</v>
      </c>
      <c r="AE404" s="187">
        <v>13.19</v>
      </c>
      <c r="AF404" s="187">
        <v>0</v>
      </c>
      <c r="AG404" s="187">
        <v>13.19</v>
      </c>
      <c r="AH404" s="185" t="s">
        <v>989</v>
      </c>
      <c r="AI404" s="185"/>
      <c r="AJ404" s="185"/>
      <c r="AK404" s="185" t="s">
        <v>45</v>
      </c>
      <c r="AL404" s="185" t="s">
        <v>2267</v>
      </c>
      <c r="AM404" s="185" t="s">
        <v>2269</v>
      </c>
      <c r="AN404" s="196"/>
      <c r="AO404" s="196"/>
      <c r="AP404" s="195"/>
      <c r="AQ404" s="194"/>
      <c r="AR404" s="193"/>
      <c r="AS404" s="192"/>
      <c r="AT404" s="192"/>
      <c r="AU404" s="192"/>
      <c r="AV404" s="192"/>
      <c r="AW404" s="191"/>
      <c r="AX404" s="190" t="s">
        <v>72</v>
      </c>
      <c r="AY404" s="184"/>
    </row>
    <row r="405" spans="2:51" hidden="1">
      <c r="B405" s="185">
        <v>2183</v>
      </c>
      <c r="C405" s="189">
        <v>223697</v>
      </c>
      <c r="D405" s="185">
        <v>219763</v>
      </c>
      <c r="E405" s="185" t="s">
        <v>2003</v>
      </c>
      <c r="F405" s="185" t="s">
        <v>731</v>
      </c>
      <c r="G405" s="185"/>
      <c r="H405" s="185"/>
      <c r="I405" s="188">
        <v>1</v>
      </c>
      <c r="J405" s="185"/>
      <c r="K405" s="188">
        <v>0</v>
      </c>
      <c r="L405" s="185" t="s">
        <v>1037</v>
      </c>
      <c r="M405" s="185"/>
      <c r="N405" s="185" t="s">
        <v>2183</v>
      </c>
      <c r="O405" s="185" t="s">
        <v>2184</v>
      </c>
      <c r="P405" s="185" t="s">
        <v>1028</v>
      </c>
      <c r="Q405" s="185"/>
      <c r="R405" s="185"/>
      <c r="S405" s="186">
        <v>43770</v>
      </c>
      <c r="T405" s="186">
        <v>43770</v>
      </c>
      <c r="U405" s="185" t="s">
        <v>1161</v>
      </c>
      <c r="V405" s="185">
        <v>500</v>
      </c>
      <c r="W405" s="185">
        <v>14040</v>
      </c>
      <c r="X405" s="187">
        <v>791.55</v>
      </c>
      <c r="Y405" s="185">
        <v>14046</v>
      </c>
      <c r="Z405" s="187">
        <v>712.39</v>
      </c>
      <c r="AA405" s="187">
        <v>0</v>
      </c>
      <c r="AB405" s="187">
        <v>79.159999999999968</v>
      </c>
      <c r="AC405" s="187">
        <v>52.76</v>
      </c>
      <c r="AD405" s="185">
        <v>51260</v>
      </c>
      <c r="AE405" s="187">
        <v>13.19</v>
      </c>
      <c r="AF405" s="187">
        <v>0</v>
      </c>
      <c r="AG405" s="187">
        <v>13.19</v>
      </c>
      <c r="AH405" s="185" t="s">
        <v>989</v>
      </c>
      <c r="AI405" s="185"/>
      <c r="AJ405" s="185"/>
      <c r="AK405" s="185" t="s">
        <v>45</v>
      </c>
      <c r="AL405" s="185" t="s">
        <v>2267</v>
      </c>
      <c r="AM405" s="185" t="s">
        <v>2269</v>
      </c>
      <c r="AN405" s="196"/>
      <c r="AO405" s="196"/>
      <c r="AP405" s="195"/>
      <c r="AQ405" s="194"/>
      <c r="AR405" s="193"/>
      <c r="AS405" s="192"/>
      <c r="AT405" s="192"/>
      <c r="AU405" s="192"/>
      <c r="AV405" s="192"/>
      <c r="AW405" s="191"/>
      <c r="AX405" s="190" t="s">
        <v>72</v>
      </c>
      <c r="AY405" s="184"/>
    </row>
    <row r="406" spans="2:51" hidden="1">
      <c r="B406" s="185">
        <v>2183</v>
      </c>
      <c r="C406" s="189">
        <v>223696</v>
      </c>
      <c r="D406" s="185">
        <v>219762</v>
      </c>
      <c r="E406" s="185" t="s">
        <v>2003</v>
      </c>
      <c r="F406" s="185" t="s">
        <v>731</v>
      </c>
      <c r="G406" s="185"/>
      <c r="H406" s="185"/>
      <c r="I406" s="188">
        <v>1</v>
      </c>
      <c r="J406" s="185"/>
      <c r="K406" s="188">
        <v>0</v>
      </c>
      <c r="L406" s="185" t="s">
        <v>1037</v>
      </c>
      <c r="M406" s="185"/>
      <c r="N406" s="185" t="s">
        <v>2183</v>
      </c>
      <c r="O406" s="185" t="s">
        <v>2184</v>
      </c>
      <c r="P406" s="185" t="s">
        <v>1028</v>
      </c>
      <c r="Q406" s="185"/>
      <c r="R406" s="185"/>
      <c r="S406" s="186">
        <v>43726</v>
      </c>
      <c r="T406" s="186">
        <v>43726</v>
      </c>
      <c r="U406" s="185" t="s">
        <v>1167</v>
      </c>
      <c r="V406" s="185">
        <v>500</v>
      </c>
      <c r="W406" s="185">
        <v>14040</v>
      </c>
      <c r="X406" s="187">
        <v>791.55</v>
      </c>
      <c r="Y406" s="185">
        <v>14046</v>
      </c>
      <c r="Z406" s="187">
        <v>725.58</v>
      </c>
      <c r="AA406" s="187">
        <v>0</v>
      </c>
      <c r="AB406" s="187">
        <v>65.969999999999914</v>
      </c>
      <c r="AC406" s="187">
        <v>52.76</v>
      </c>
      <c r="AD406" s="185">
        <v>51260</v>
      </c>
      <c r="AE406" s="187">
        <v>13.19</v>
      </c>
      <c r="AF406" s="187">
        <v>0</v>
      </c>
      <c r="AG406" s="187">
        <v>13.19</v>
      </c>
      <c r="AH406" s="185" t="s">
        <v>989</v>
      </c>
      <c r="AI406" s="185"/>
      <c r="AJ406" s="185"/>
      <c r="AK406" s="185" t="s">
        <v>45</v>
      </c>
      <c r="AL406" s="185" t="s">
        <v>2267</v>
      </c>
      <c r="AM406" s="185" t="s">
        <v>2269</v>
      </c>
      <c r="AN406" s="196"/>
      <c r="AO406" s="196"/>
      <c r="AP406" s="195"/>
      <c r="AQ406" s="194"/>
      <c r="AR406" s="193"/>
      <c r="AS406" s="192"/>
      <c r="AT406" s="192"/>
      <c r="AU406" s="192"/>
      <c r="AV406" s="192"/>
      <c r="AW406" s="191"/>
      <c r="AX406" s="190" t="s">
        <v>72</v>
      </c>
      <c r="AY406" s="184"/>
    </row>
    <row r="407" spans="2:51" hidden="1">
      <c r="B407" s="185">
        <v>2183</v>
      </c>
      <c r="C407" s="189">
        <v>223695</v>
      </c>
      <c r="D407" s="185">
        <v>219760</v>
      </c>
      <c r="E407" s="185" t="s">
        <v>2003</v>
      </c>
      <c r="F407" s="185" t="s">
        <v>731</v>
      </c>
      <c r="G407" s="185"/>
      <c r="H407" s="185"/>
      <c r="I407" s="188">
        <v>1</v>
      </c>
      <c r="J407" s="185"/>
      <c r="K407" s="188">
        <v>0</v>
      </c>
      <c r="L407" s="185" t="s">
        <v>1037</v>
      </c>
      <c r="M407" s="185"/>
      <c r="N407" s="185" t="s">
        <v>2183</v>
      </c>
      <c r="O407" s="185" t="s">
        <v>2184</v>
      </c>
      <c r="P407" s="185" t="s">
        <v>1028</v>
      </c>
      <c r="Q407" s="185"/>
      <c r="R407" s="185"/>
      <c r="S407" s="186">
        <v>43770</v>
      </c>
      <c r="T407" s="186">
        <v>43770</v>
      </c>
      <c r="U407" s="185" t="s">
        <v>1153</v>
      </c>
      <c r="V407" s="185">
        <v>500</v>
      </c>
      <c r="W407" s="185">
        <v>14040</v>
      </c>
      <c r="X407" s="187">
        <v>791.55</v>
      </c>
      <c r="Y407" s="185">
        <v>14046</v>
      </c>
      <c r="Z407" s="187">
        <v>712.39</v>
      </c>
      <c r="AA407" s="187">
        <v>0</v>
      </c>
      <c r="AB407" s="187">
        <v>79.159999999999968</v>
      </c>
      <c r="AC407" s="187">
        <v>52.76</v>
      </c>
      <c r="AD407" s="185">
        <v>51260</v>
      </c>
      <c r="AE407" s="187">
        <v>13.19</v>
      </c>
      <c r="AF407" s="187">
        <v>0</v>
      </c>
      <c r="AG407" s="187">
        <v>13.19</v>
      </c>
      <c r="AH407" s="185" t="s">
        <v>989</v>
      </c>
      <c r="AI407" s="185"/>
      <c r="AJ407" s="185"/>
      <c r="AK407" s="185" t="s">
        <v>45</v>
      </c>
      <c r="AL407" s="185" t="s">
        <v>2267</v>
      </c>
      <c r="AM407" s="185" t="s">
        <v>2269</v>
      </c>
      <c r="AN407" s="196"/>
      <c r="AO407" s="196"/>
      <c r="AP407" s="195"/>
      <c r="AQ407" s="194"/>
      <c r="AR407" s="193"/>
      <c r="AS407" s="192"/>
      <c r="AT407" s="192"/>
      <c r="AU407" s="192"/>
      <c r="AV407" s="192"/>
      <c r="AW407" s="191"/>
      <c r="AX407" s="190" t="s">
        <v>72</v>
      </c>
      <c r="AY407" s="184"/>
    </row>
    <row r="408" spans="2:51">
      <c r="B408" s="185">
        <v>2183</v>
      </c>
      <c r="C408" s="189">
        <v>223127</v>
      </c>
      <c r="D408" s="185" t="s">
        <v>989</v>
      </c>
      <c r="E408" s="185" t="s">
        <v>2003</v>
      </c>
      <c r="F408" s="185" t="s">
        <v>1173</v>
      </c>
      <c r="G408" s="185"/>
      <c r="H408" s="185"/>
      <c r="I408" s="188">
        <v>77</v>
      </c>
      <c r="J408" s="185"/>
      <c r="K408" s="188">
        <v>0</v>
      </c>
      <c r="L408" s="185"/>
      <c r="M408" s="185"/>
      <c r="N408" s="185" t="s">
        <v>2190</v>
      </c>
      <c r="O408" s="185" t="s">
        <v>2184</v>
      </c>
      <c r="P408" s="185"/>
      <c r="Q408" s="185" t="s">
        <v>2208</v>
      </c>
      <c r="R408" s="185" t="s">
        <v>2195</v>
      </c>
      <c r="S408" s="186">
        <v>43770</v>
      </c>
      <c r="T408" s="186">
        <v>43770</v>
      </c>
      <c r="U408" s="185"/>
      <c r="V408" s="185">
        <v>0</v>
      </c>
      <c r="W408" s="185">
        <v>14050</v>
      </c>
      <c r="X408" s="187">
        <v>0</v>
      </c>
      <c r="Y408" s="185">
        <v>14056</v>
      </c>
      <c r="Z408" s="187">
        <v>0</v>
      </c>
      <c r="AA408" s="187">
        <v>0</v>
      </c>
      <c r="AB408" s="187">
        <v>0</v>
      </c>
      <c r="AC408" s="187">
        <v>0</v>
      </c>
      <c r="AD408" s="185">
        <v>54260</v>
      </c>
      <c r="AE408" s="187">
        <v>0</v>
      </c>
      <c r="AF408" s="187">
        <v>0</v>
      </c>
      <c r="AG408" s="187">
        <v>0</v>
      </c>
      <c r="AH408" s="185" t="s">
        <v>989</v>
      </c>
      <c r="AI408" s="185"/>
      <c r="AJ408" s="185"/>
      <c r="AK408" s="185" t="s">
        <v>45</v>
      </c>
      <c r="AL408" s="185" t="s">
        <v>2267</v>
      </c>
      <c r="AM408" s="185" t="s">
        <v>2268</v>
      </c>
      <c r="AN408" s="196"/>
      <c r="AO408" s="196"/>
      <c r="AP408" s="195"/>
      <c r="AQ408" s="194"/>
      <c r="AR408" s="193"/>
      <c r="AS408" s="192"/>
      <c r="AT408" s="192"/>
      <c r="AU408" s="192"/>
      <c r="AV408" s="192"/>
      <c r="AW408" s="191"/>
      <c r="AX408" s="190" t="s">
        <v>72</v>
      </c>
      <c r="AY408" s="184"/>
    </row>
    <row r="409" spans="2:51" hidden="1">
      <c r="B409" s="185">
        <v>2183</v>
      </c>
      <c r="C409" s="189">
        <v>222715</v>
      </c>
      <c r="D409" s="185">
        <v>219763</v>
      </c>
      <c r="E409" s="185" t="s">
        <v>2003</v>
      </c>
      <c r="F409" s="185" t="s">
        <v>1174</v>
      </c>
      <c r="G409" s="185"/>
      <c r="H409" s="185"/>
      <c r="I409" s="188">
        <v>1</v>
      </c>
      <c r="J409" s="185"/>
      <c r="K409" s="188">
        <v>2020</v>
      </c>
      <c r="L409" s="185" t="s">
        <v>1175</v>
      </c>
      <c r="M409" s="185"/>
      <c r="N409" s="185" t="s">
        <v>2183</v>
      </c>
      <c r="O409" s="185" t="s">
        <v>2184</v>
      </c>
      <c r="P409" s="185" t="s">
        <v>1028</v>
      </c>
      <c r="Q409" s="185"/>
      <c r="R409" s="185"/>
      <c r="S409" s="186">
        <v>43770</v>
      </c>
      <c r="T409" s="186">
        <v>43770</v>
      </c>
      <c r="U409" s="185" t="s">
        <v>1161</v>
      </c>
      <c r="V409" s="185">
        <v>1000</v>
      </c>
      <c r="W409" s="185">
        <v>14040</v>
      </c>
      <c r="X409" s="187">
        <v>71276.72</v>
      </c>
      <c r="Y409" s="185">
        <v>14046</v>
      </c>
      <c r="Z409" s="187">
        <v>32074.51</v>
      </c>
      <c r="AA409" s="187">
        <v>0</v>
      </c>
      <c r="AB409" s="187">
        <v>39202.210000000006</v>
      </c>
      <c r="AC409" s="187">
        <v>2375.88</v>
      </c>
      <c r="AD409" s="185">
        <v>51260</v>
      </c>
      <c r="AE409" s="187">
        <v>593.97</v>
      </c>
      <c r="AF409" s="187">
        <v>0</v>
      </c>
      <c r="AG409" s="187">
        <v>593.97</v>
      </c>
      <c r="AH409" s="185" t="s">
        <v>989</v>
      </c>
      <c r="AI409" s="185"/>
      <c r="AJ409" s="185"/>
      <c r="AK409" s="185" t="s">
        <v>45</v>
      </c>
      <c r="AL409" s="185" t="s">
        <v>2267</v>
      </c>
      <c r="AM409" s="185" t="s">
        <v>2269</v>
      </c>
      <c r="AN409" s="196"/>
      <c r="AO409" s="196"/>
      <c r="AP409" s="195"/>
      <c r="AQ409" s="194"/>
      <c r="AR409" s="193"/>
      <c r="AS409" s="192"/>
      <c r="AT409" s="192"/>
      <c r="AU409" s="192"/>
      <c r="AV409" s="192"/>
      <c r="AW409" s="191"/>
      <c r="AX409" s="190" t="s">
        <v>72</v>
      </c>
      <c r="AY409" s="184"/>
    </row>
    <row r="410" spans="2:51" hidden="1">
      <c r="B410" s="185">
        <v>2183</v>
      </c>
      <c r="C410" s="189">
        <v>222714</v>
      </c>
      <c r="D410" s="185">
        <v>219760</v>
      </c>
      <c r="E410" s="185" t="s">
        <v>2003</v>
      </c>
      <c r="F410" s="185" t="s">
        <v>1176</v>
      </c>
      <c r="G410" s="185"/>
      <c r="H410" s="185"/>
      <c r="I410" s="188">
        <v>1</v>
      </c>
      <c r="J410" s="185"/>
      <c r="K410" s="188">
        <v>2020</v>
      </c>
      <c r="L410" s="185" t="s">
        <v>1175</v>
      </c>
      <c r="M410" s="185"/>
      <c r="N410" s="185" t="s">
        <v>2183</v>
      </c>
      <c r="O410" s="185" t="s">
        <v>2184</v>
      </c>
      <c r="P410" s="185" t="s">
        <v>1028</v>
      </c>
      <c r="Q410" s="185"/>
      <c r="R410" s="185"/>
      <c r="S410" s="186">
        <v>43770</v>
      </c>
      <c r="T410" s="186">
        <v>43770</v>
      </c>
      <c r="U410" s="185" t="s">
        <v>1153</v>
      </c>
      <c r="V410" s="185">
        <v>1000</v>
      </c>
      <c r="W410" s="185">
        <v>14040</v>
      </c>
      <c r="X410" s="187">
        <v>175977.73</v>
      </c>
      <c r="Y410" s="185">
        <v>14046</v>
      </c>
      <c r="Z410" s="187">
        <v>79189.88</v>
      </c>
      <c r="AA410" s="187">
        <v>0</v>
      </c>
      <c r="AB410" s="187">
        <v>96787.85</v>
      </c>
      <c r="AC410" s="187">
        <v>5865.92</v>
      </c>
      <c r="AD410" s="185">
        <v>51260</v>
      </c>
      <c r="AE410" s="187">
        <v>1466.48</v>
      </c>
      <c r="AF410" s="187">
        <v>0</v>
      </c>
      <c r="AG410" s="187">
        <v>1466.48</v>
      </c>
      <c r="AH410" s="185" t="s">
        <v>989</v>
      </c>
      <c r="AI410" s="185"/>
      <c r="AJ410" s="185"/>
      <c r="AK410" s="185" t="s">
        <v>45</v>
      </c>
      <c r="AL410" s="185" t="s">
        <v>2267</v>
      </c>
      <c r="AM410" s="185" t="s">
        <v>2269</v>
      </c>
      <c r="AN410" s="196"/>
      <c r="AO410" s="196"/>
      <c r="AP410" s="195"/>
      <c r="AQ410" s="194"/>
      <c r="AR410" s="193"/>
      <c r="AS410" s="192"/>
      <c r="AT410" s="192"/>
      <c r="AU410" s="192"/>
      <c r="AV410" s="192"/>
      <c r="AW410" s="191"/>
      <c r="AX410" s="190" t="s">
        <v>72</v>
      </c>
      <c r="AY410" s="184"/>
    </row>
    <row r="411" spans="2:51" hidden="1">
      <c r="B411" s="185">
        <v>2183</v>
      </c>
      <c r="C411" s="189">
        <v>222161</v>
      </c>
      <c r="D411" s="185">
        <v>219336</v>
      </c>
      <c r="E411" s="185" t="s">
        <v>2003</v>
      </c>
      <c r="F411" s="185" t="s">
        <v>1177</v>
      </c>
      <c r="G411" s="185"/>
      <c r="H411" s="185"/>
      <c r="I411" s="188">
        <v>1</v>
      </c>
      <c r="J411" s="185"/>
      <c r="K411" s="188">
        <v>0</v>
      </c>
      <c r="L411" s="185" t="s">
        <v>1112</v>
      </c>
      <c r="M411" s="185"/>
      <c r="N411" s="185" t="s">
        <v>2183</v>
      </c>
      <c r="O411" s="185" t="s">
        <v>2184</v>
      </c>
      <c r="P411" s="185" t="s">
        <v>1028</v>
      </c>
      <c r="Q411" s="185"/>
      <c r="R411" s="185"/>
      <c r="S411" s="186">
        <v>43712</v>
      </c>
      <c r="T411" s="186">
        <v>43712</v>
      </c>
      <c r="U411" s="185" t="s">
        <v>1178</v>
      </c>
      <c r="V411" s="185">
        <v>500</v>
      </c>
      <c r="W411" s="185">
        <v>14040</v>
      </c>
      <c r="X411" s="187">
        <v>2471.54</v>
      </c>
      <c r="Y411" s="185">
        <v>14046</v>
      </c>
      <c r="Z411" s="187">
        <v>2306.77</v>
      </c>
      <c r="AA411" s="187">
        <v>0</v>
      </c>
      <c r="AB411" s="187">
        <v>164.76999999999998</v>
      </c>
      <c r="AC411" s="187">
        <v>164.76</v>
      </c>
      <c r="AD411" s="185">
        <v>51260</v>
      </c>
      <c r="AE411" s="187">
        <v>41.19</v>
      </c>
      <c r="AF411" s="187">
        <v>0</v>
      </c>
      <c r="AG411" s="187">
        <v>41.19</v>
      </c>
      <c r="AH411" s="185" t="s">
        <v>989</v>
      </c>
      <c r="AI411" s="185"/>
      <c r="AJ411" s="185"/>
      <c r="AK411" s="185" t="s">
        <v>45</v>
      </c>
      <c r="AL411" s="185" t="s">
        <v>2267</v>
      </c>
      <c r="AM411" s="185" t="s">
        <v>2269</v>
      </c>
      <c r="AN411" s="196"/>
      <c r="AO411" s="196"/>
      <c r="AP411" s="195"/>
      <c r="AQ411" s="194"/>
      <c r="AR411" s="193"/>
      <c r="AS411" s="192"/>
      <c r="AT411" s="192"/>
      <c r="AU411" s="192"/>
      <c r="AV411" s="192"/>
      <c r="AW411" s="191"/>
      <c r="AX411" s="190" t="s">
        <v>72</v>
      </c>
      <c r="AY411" s="184"/>
    </row>
    <row r="412" spans="2:51" hidden="1">
      <c r="B412" s="185">
        <v>2183</v>
      </c>
      <c r="C412" s="189">
        <v>222160</v>
      </c>
      <c r="D412" s="185">
        <v>219762</v>
      </c>
      <c r="E412" s="185" t="s">
        <v>2003</v>
      </c>
      <c r="F412" s="185" t="s">
        <v>1179</v>
      </c>
      <c r="G412" s="185"/>
      <c r="H412" s="185"/>
      <c r="I412" s="188">
        <v>1</v>
      </c>
      <c r="J412" s="185" t="s">
        <v>1180</v>
      </c>
      <c r="K412" s="188">
        <v>2020</v>
      </c>
      <c r="L412" s="185" t="s">
        <v>1112</v>
      </c>
      <c r="M412" s="185"/>
      <c r="N412" s="185" t="s">
        <v>2183</v>
      </c>
      <c r="O412" s="185" t="s">
        <v>2184</v>
      </c>
      <c r="P412" s="185" t="s">
        <v>1028</v>
      </c>
      <c r="Q412" s="185"/>
      <c r="R412" s="185"/>
      <c r="S412" s="186">
        <v>43726</v>
      </c>
      <c r="T412" s="186">
        <v>43726</v>
      </c>
      <c r="U412" s="185" t="s">
        <v>1167</v>
      </c>
      <c r="V412" s="185">
        <v>1000</v>
      </c>
      <c r="W412" s="185">
        <v>14040</v>
      </c>
      <c r="X412" s="187">
        <v>4598.5</v>
      </c>
      <c r="Y412" s="185">
        <v>14046</v>
      </c>
      <c r="Z412" s="187">
        <v>2107.64</v>
      </c>
      <c r="AA412" s="187">
        <v>0</v>
      </c>
      <c r="AB412" s="187">
        <v>2490.86</v>
      </c>
      <c r="AC412" s="187">
        <v>153.28</v>
      </c>
      <c r="AD412" s="185">
        <v>51260</v>
      </c>
      <c r="AE412" s="187">
        <v>38.32</v>
      </c>
      <c r="AF412" s="187">
        <v>0</v>
      </c>
      <c r="AG412" s="187">
        <v>38.32</v>
      </c>
      <c r="AH412" s="185" t="s">
        <v>989</v>
      </c>
      <c r="AI412" s="185"/>
      <c r="AJ412" s="185"/>
      <c r="AK412" s="185" t="s">
        <v>45</v>
      </c>
      <c r="AL412" s="185" t="s">
        <v>2267</v>
      </c>
      <c r="AM412" s="185" t="s">
        <v>2269</v>
      </c>
      <c r="AN412" s="196"/>
      <c r="AO412" s="196"/>
      <c r="AP412" s="195"/>
      <c r="AQ412" s="194"/>
      <c r="AR412" s="193"/>
      <c r="AS412" s="192"/>
      <c r="AT412" s="192"/>
      <c r="AU412" s="192"/>
      <c r="AV412" s="192"/>
      <c r="AW412" s="191"/>
      <c r="AX412" s="190" t="s">
        <v>72</v>
      </c>
      <c r="AY412" s="184"/>
    </row>
    <row r="413" spans="2:51">
      <c r="B413" s="185">
        <v>2183</v>
      </c>
      <c r="C413" s="189">
        <v>222098</v>
      </c>
      <c r="D413" s="185" t="s">
        <v>989</v>
      </c>
      <c r="E413" s="185" t="s">
        <v>2003</v>
      </c>
      <c r="F413" s="185" t="s">
        <v>1181</v>
      </c>
      <c r="G413" s="185"/>
      <c r="H413" s="185"/>
      <c r="I413" s="188">
        <v>1</v>
      </c>
      <c r="J413" s="185"/>
      <c r="K413" s="188">
        <v>0</v>
      </c>
      <c r="L413" s="185" t="s">
        <v>1182</v>
      </c>
      <c r="M413" s="185"/>
      <c r="N413" s="185" t="s">
        <v>2183</v>
      </c>
      <c r="O413" s="185" t="s">
        <v>2184</v>
      </c>
      <c r="P413" s="185" t="s">
        <v>1028</v>
      </c>
      <c r="Q413" s="185"/>
      <c r="R413" s="185"/>
      <c r="S413" s="186">
        <v>42277</v>
      </c>
      <c r="T413" s="186">
        <v>42277</v>
      </c>
      <c r="U413" s="185" t="s">
        <v>1183</v>
      </c>
      <c r="V413" s="185">
        <v>300</v>
      </c>
      <c r="W413" s="185">
        <v>14040</v>
      </c>
      <c r="X413" s="187">
        <v>18252.93</v>
      </c>
      <c r="Y413" s="185">
        <v>14046</v>
      </c>
      <c r="Z413" s="187">
        <v>18252.93</v>
      </c>
      <c r="AA413" s="187">
        <v>0</v>
      </c>
      <c r="AB413" s="187">
        <v>0</v>
      </c>
      <c r="AC413" s="187">
        <v>0</v>
      </c>
      <c r="AD413" s="185">
        <v>51260</v>
      </c>
      <c r="AE413" s="187">
        <v>0</v>
      </c>
      <c r="AF413" s="187">
        <v>0</v>
      </c>
      <c r="AG413" s="187">
        <v>0</v>
      </c>
      <c r="AH413" s="185" t="s">
        <v>989</v>
      </c>
      <c r="AI413" s="185"/>
      <c r="AJ413" s="185"/>
      <c r="AK413" s="185" t="s">
        <v>45</v>
      </c>
      <c r="AL413" s="185" t="s">
        <v>2267</v>
      </c>
      <c r="AM413" s="185" t="s">
        <v>2269</v>
      </c>
      <c r="AN413" s="196"/>
      <c r="AO413" s="196"/>
      <c r="AP413" s="195"/>
      <c r="AQ413" s="194"/>
      <c r="AR413" s="193"/>
      <c r="AS413" s="192"/>
      <c r="AT413" s="192"/>
      <c r="AU413" s="192"/>
      <c r="AV413" s="192"/>
      <c r="AW413" s="191"/>
      <c r="AX413" s="190" t="s">
        <v>72</v>
      </c>
      <c r="AY413" s="184"/>
    </row>
    <row r="414" spans="2:51">
      <c r="B414" s="185">
        <v>2183</v>
      </c>
      <c r="C414" s="189">
        <v>222097</v>
      </c>
      <c r="D414" s="185" t="s">
        <v>989</v>
      </c>
      <c r="E414" s="185" t="s">
        <v>2003</v>
      </c>
      <c r="F414" s="185" t="s">
        <v>1184</v>
      </c>
      <c r="G414" s="185"/>
      <c r="H414" s="185"/>
      <c r="I414" s="188">
        <v>1</v>
      </c>
      <c r="J414" s="185" t="s">
        <v>1185</v>
      </c>
      <c r="K414" s="188">
        <v>2002</v>
      </c>
      <c r="L414" s="185" t="s">
        <v>2222</v>
      </c>
      <c r="M414" s="185" t="s">
        <v>1186</v>
      </c>
      <c r="N414" s="185" t="s">
        <v>2183</v>
      </c>
      <c r="O414" s="185" t="s">
        <v>2184</v>
      </c>
      <c r="P414" s="185" t="s">
        <v>1187</v>
      </c>
      <c r="Q414" s="185"/>
      <c r="R414" s="185"/>
      <c r="S414" s="186">
        <v>39755</v>
      </c>
      <c r="T414" s="186">
        <v>39755</v>
      </c>
      <c r="U414" s="185"/>
      <c r="V414" s="185">
        <v>300</v>
      </c>
      <c r="W414" s="185">
        <v>14040</v>
      </c>
      <c r="X414" s="187">
        <v>36500</v>
      </c>
      <c r="Y414" s="185">
        <v>14046</v>
      </c>
      <c r="Z414" s="187">
        <v>36500</v>
      </c>
      <c r="AA414" s="187">
        <v>0</v>
      </c>
      <c r="AB414" s="187">
        <v>0</v>
      </c>
      <c r="AC414" s="187">
        <v>0</v>
      </c>
      <c r="AD414" s="185">
        <v>51260</v>
      </c>
      <c r="AE414" s="187">
        <v>0</v>
      </c>
      <c r="AF414" s="187">
        <v>0</v>
      </c>
      <c r="AG414" s="187">
        <v>0</v>
      </c>
      <c r="AH414" s="185" t="s">
        <v>994</v>
      </c>
      <c r="AI414" s="185" t="s">
        <v>1050</v>
      </c>
      <c r="AJ414" s="185">
        <v>9183</v>
      </c>
      <c r="AK414" s="185" t="s">
        <v>45</v>
      </c>
      <c r="AL414" s="185" t="s">
        <v>2267</v>
      </c>
      <c r="AM414" s="185" t="s">
        <v>2269</v>
      </c>
      <c r="AN414" s="196"/>
      <c r="AO414" s="196"/>
      <c r="AP414" s="195"/>
      <c r="AQ414" s="194"/>
      <c r="AR414" s="193"/>
      <c r="AS414" s="192"/>
      <c r="AT414" s="192"/>
      <c r="AU414" s="192"/>
      <c r="AV414" s="192"/>
      <c r="AW414" s="191"/>
      <c r="AX414" s="190" t="s">
        <v>72</v>
      </c>
      <c r="AY414" s="184"/>
    </row>
    <row r="415" spans="2:51">
      <c r="B415" s="185">
        <v>2183</v>
      </c>
      <c r="C415" s="189">
        <v>222096</v>
      </c>
      <c r="D415" s="185" t="s">
        <v>989</v>
      </c>
      <c r="E415" s="185" t="s">
        <v>2003</v>
      </c>
      <c r="F415" s="185" t="s">
        <v>1188</v>
      </c>
      <c r="G415" s="185"/>
      <c r="H415" s="185"/>
      <c r="I415" s="188">
        <v>1</v>
      </c>
      <c r="J415" s="185"/>
      <c r="K415" s="188">
        <v>0</v>
      </c>
      <c r="L415" s="185" t="s">
        <v>1182</v>
      </c>
      <c r="M415" s="185"/>
      <c r="N415" s="185" t="s">
        <v>2183</v>
      </c>
      <c r="O415" s="185" t="s">
        <v>2184</v>
      </c>
      <c r="P415" s="185" t="s">
        <v>1028</v>
      </c>
      <c r="Q415" s="185"/>
      <c r="R415" s="185"/>
      <c r="S415" s="186">
        <v>42277</v>
      </c>
      <c r="T415" s="186">
        <v>42277</v>
      </c>
      <c r="U415" s="185" t="s">
        <v>1189</v>
      </c>
      <c r="V415" s="185">
        <v>300</v>
      </c>
      <c r="W415" s="185">
        <v>14040</v>
      </c>
      <c r="X415" s="187">
        <v>19982.97</v>
      </c>
      <c r="Y415" s="185">
        <v>14046</v>
      </c>
      <c r="Z415" s="187">
        <v>19982.97</v>
      </c>
      <c r="AA415" s="187">
        <v>0</v>
      </c>
      <c r="AB415" s="187">
        <v>0</v>
      </c>
      <c r="AC415" s="187">
        <v>0</v>
      </c>
      <c r="AD415" s="185">
        <v>51260</v>
      </c>
      <c r="AE415" s="187">
        <v>0</v>
      </c>
      <c r="AF415" s="187">
        <v>0</v>
      </c>
      <c r="AG415" s="187">
        <v>0</v>
      </c>
      <c r="AH415" s="185" t="s">
        <v>989</v>
      </c>
      <c r="AI415" s="185"/>
      <c r="AJ415" s="185"/>
      <c r="AK415" s="185" t="s">
        <v>45</v>
      </c>
      <c r="AL415" s="185" t="s">
        <v>2267</v>
      </c>
      <c r="AM415" s="185" t="s">
        <v>2269</v>
      </c>
      <c r="AN415" s="196"/>
      <c r="AO415" s="196"/>
      <c r="AP415" s="195"/>
      <c r="AQ415" s="194"/>
      <c r="AR415" s="193"/>
      <c r="AS415" s="192"/>
      <c r="AT415" s="192"/>
      <c r="AU415" s="192"/>
      <c r="AV415" s="192"/>
      <c r="AW415" s="191"/>
      <c r="AX415" s="190" t="s">
        <v>72</v>
      </c>
      <c r="AY415" s="184"/>
    </row>
    <row r="416" spans="2:51">
      <c r="B416" s="185">
        <v>2183</v>
      </c>
      <c r="C416" s="189">
        <v>222095</v>
      </c>
      <c r="D416" s="185" t="s">
        <v>989</v>
      </c>
      <c r="E416" s="185" t="s">
        <v>2003</v>
      </c>
      <c r="F416" s="185" t="s">
        <v>1190</v>
      </c>
      <c r="G416" s="185"/>
      <c r="H416" s="185"/>
      <c r="I416" s="188">
        <v>1</v>
      </c>
      <c r="J416" s="185" t="s">
        <v>1191</v>
      </c>
      <c r="K416" s="188">
        <v>2002</v>
      </c>
      <c r="L416" s="185" t="s">
        <v>2220</v>
      </c>
      <c r="M416" s="185" t="s">
        <v>1186</v>
      </c>
      <c r="N416" s="185" t="s">
        <v>2183</v>
      </c>
      <c r="O416" s="185" t="s">
        <v>2184</v>
      </c>
      <c r="P416" s="185" t="s">
        <v>2221</v>
      </c>
      <c r="Q416" s="185"/>
      <c r="R416" s="185"/>
      <c r="S416" s="186">
        <v>39755</v>
      </c>
      <c r="T416" s="186">
        <v>39755</v>
      </c>
      <c r="U416" s="185"/>
      <c r="V416" s="185">
        <v>300</v>
      </c>
      <c r="W416" s="185">
        <v>14040</v>
      </c>
      <c r="X416" s="187">
        <v>13500</v>
      </c>
      <c r="Y416" s="185">
        <v>14046</v>
      </c>
      <c r="Z416" s="187">
        <v>13500</v>
      </c>
      <c r="AA416" s="187">
        <v>0</v>
      </c>
      <c r="AB416" s="187">
        <v>0</v>
      </c>
      <c r="AC416" s="187">
        <v>0</v>
      </c>
      <c r="AD416" s="185">
        <v>51260</v>
      </c>
      <c r="AE416" s="187">
        <v>0</v>
      </c>
      <c r="AF416" s="187">
        <v>0</v>
      </c>
      <c r="AG416" s="187">
        <v>0</v>
      </c>
      <c r="AH416" s="185" t="s">
        <v>994</v>
      </c>
      <c r="AI416" s="185" t="s">
        <v>1050</v>
      </c>
      <c r="AJ416" s="185">
        <v>8496</v>
      </c>
      <c r="AK416" s="185" t="s">
        <v>45</v>
      </c>
      <c r="AL416" s="185" t="s">
        <v>2267</v>
      </c>
      <c r="AM416" s="185" t="s">
        <v>2269</v>
      </c>
      <c r="AN416" s="196"/>
      <c r="AO416" s="196"/>
      <c r="AP416" s="195"/>
      <c r="AQ416" s="194"/>
      <c r="AR416" s="193"/>
      <c r="AS416" s="192"/>
      <c r="AT416" s="192"/>
      <c r="AU416" s="192"/>
      <c r="AV416" s="192"/>
      <c r="AW416" s="191"/>
      <c r="AX416" s="190" t="s">
        <v>72</v>
      </c>
      <c r="AY416" s="184"/>
    </row>
    <row r="417" spans="2:51" hidden="1">
      <c r="B417" s="185">
        <v>2183</v>
      </c>
      <c r="C417" s="189">
        <v>222012</v>
      </c>
      <c r="D417" s="185">
        <v>219761</v>
      </c>
      <c r="E417" s="185" t="s">
        <v>2003</v>
      </c>
      <c r="F417" s="185" t="s">
        <v>1176</v>
      </c>
      <c r="G417" s="185"/>
      <c r="H417" s="185"/>
      <c r="I417" s="188">
        <v>1</v>
      </c>
      <c r="J417" s="185" t="s">
        <v>1192</v>
      </c>
      <c r="K417" s="188">
        <v>2020</v>
      </c>
      <c r="L417" s="185" t="s">
        <v>1175</v>
      </c>
      <c r="M417" s="185"/>
      <c r="N417" s="185" t="s">
        <v>2183</v>
      </c>
      <c r="O417" s="185" t="s">
        <v>2184</v>
      </c>
      <c r="P417" s="185" t="s">
        <v>1028</v>
      </c>
      <c r="Q417" s="185"/>
      <c r="R417" s="185"/>
      <c r="S417" s="186">
        <v>43739</v>
      </c>
      <c r="T417" s="186">
        <v>43739</v>
      </c>
      <c r="U417" s="185" t="s">
        <v>1163</v>
      </c>
      <c r="V417" s="185">
        <v>1000</v>
      </c>
      <c r="W417" s="185">
        <v>14040</v>
      </c>
      <c r="X417" s="187">
        <v>175977.73</v>
      </c>
      <c r="Y417" s="185">
        <v>14046</v>
      </c>
      <c r="Z417" s="187">
        <v>80656.36</v>
      </c>
      <c r="AA417" s="187">
        <v>0</v>
      </c>
      <c r="AB417" s="187">
        <v>95321.37000000001</v>
      </c>
      <c r="AC417" s="187">
        <v>5865.92</v>
      </c>
      <c r="AD417" s="185">
        <v>51260</v>
      </c>
      <c r="AE417" s="187">
        <v>1466.48</v>
      </c>
      <c r="AF417" s="187">
        <v>0</v>
      </c>
      <c r="AG417" s="187">
        <v>1466.48</v>
      </c>
      <c r="AH417" s="185" t="s">
        <v>989</v>
      </c>
      <c r="AI417" s="185"/>
      <c r="AJ417" s="185"/>
      <c r="AK417" s="185" t="s">
        <v>45</v>
      </c>
      <c r="AL417" s="185" t="s">
        <v>2267</v>
      </c>
      <c r="AM417" s="185" t="s">
        <v>2269</v>
      </c>
      <c r="AN417" s="196"/>
      <c r="AO417" s="196"/>
      <c r="AP417" s="195"/>
      <c r="AQ417" s="194"/>
      <c r="AR417" s="193"/>
      <c r="AS417" s="192"/>
      <c r="AT417" s="192"/>
      <c r="AU417" s="192"/>
      <c r="AV417" s="192"/>
      <c r="AW417" s="191"/>
      <c r="AX417" s="190" t="s">
        <v>72</v>
      </c>
      <c r="AY417" s="184"/>
    </row>
    <row r="418" spans="2:51">
      <c r="B418" s="185">
        <v>2183</v>
      </c>
      <c r="C418" s="189">
        <v>221755</v>
      </c>
      <c r="D418" s="185" t="s">
        <v>989</v>
      </c>
      <c r="E418" s="185" t="s">
        <v>2003</v>
      </c>
      <c r="F418" s="185" t="s">
        <v>832</v>
      </c>
      <c r="G418" s="185"/>
      <c r="H418" s="185"/>
      <c r="I418" s="188">
        <v>1</v>
      </c>
      <c r="J418" s="185" t="s">
        <v>1193</v>
      </c>
      <c r="K418" s="188">
        <v>2020</v>
      </c>
      <c r="L418" s="185" t="s">
        <v>1097</v>
      </c>
      <c r="M418" s="185" t="s">
        <v>1110</v>
      </c>
      <c r="N418" s="185" t="s">
        <v>2183</v>
      </c>
      <c r="O418" s="185" t="s">
        <v>2184</v>
      </c>
      <c r="P418" s="185" t="s">
        <v>2187</v>
      </c>
      <c r="Q418" s="185"/>
      <c r="R418" s="185"/>
      <c r="S418" s="186">
        <v>43769</v>
      </c>
      <c r="T418" s="186">
        <v>43769</v>
      </c>
      <c r="U418" s="185" t="s">
        <v>1194</v>
      </c>
      <c r="V418" s="185">
        <v>1000</v>
      </c>
      <c r="W418" s="185">
        <v>14040</v>
      </c>
      <c r="X418" s="187">
        <v>361686.99</v>
      </c>
      <c r="Y418" s="185">
        <v>14046</v>
      </c>
      <c r="Z418" s="187">
        <v>162759.16</v>
      </c>
      <c r="AA418" s="187">
        <v>0</v>
      </c>
      <c r="AB418" s="187">
        <v>198927.83</v>
      </c>
      <c r="AC418" s="187">
        <v>12056.24</v>
      </c>
      <c r="AD418" s="185">
        <v>51260</v>
      </c>
      <c r="AE418" s="187">
        <v>3014.06</v>
      </c>
      <c r="AF418" s="187">
        <v>0</v>
      </c>
      <c r="AG418" s="187">
        <v>3014.06</v>
      </c>
      <c r="AH418" s="185" t="s">
        <v>989</v>
      </c>
      <c r="AI418" s="185"/>
      <c r="AJ418" s="185">
        <v>3691</v>
      </c>
      <c r="AK418" s="185" t="s">
        <v>45</v>
      </c>
      <c r="AL418" s="185" t="s">
        <v>2267</v>
      </c>
      <c r="AM418" s="185" t="s">
        <v>2269</v>
      </c>
      <c r="AN418" s="196"/>
      <c r="AO418" s="196"/>
      <c r="AP418" s="195"/>
      <c r="AQ418" s="194"/>
      <c r="AR418" s="193"/>
      <c r="AS418" s="192"/>
      <c r="AT418" s="192"/>
      <c r="AU418" s="192"/>
      <c r="AV418" s="192"/>
      <c r="AW418" s="191"/>
      <c r="AX418" s="190" t="s">
        <v>72</v>
      </c>
      <c r="AY418" s="184"/>
    </row>
    <row r="419" spans="2:51">
      <c r="B419" s="185">
        <v>2183</v>
      </c>
      <c r="C419" s="189">
        <v>221711</v>
      </c>
      <c r="D419" s="185" t="s">
        <v>989</v>
      </c>
      <c r="E419" s="185" t="s">
        <v>2003</v>
      </c>
      <c r="F419" s="185" t="s">
        <v>819</v>
      </c>
      <c r="G419" s="185"/>
      <c r="H419" s="185"/>
      <c r="I419" s="188">
        <v>475</v>
      </c>
      <c r="J419" s="185"/>
      <c r="K419" s="188">
        <v>0</v>
      </c>
      <c r="L419" s="185" t="s">
        <v>1129</v>
      </c>
      <c r="M419" s="185"/>
      <c r="N419" s="185" t="s">
        <v>2190</v>
      </c>
      <c r="O419" s="185" t="s">
        <v>2184</v>
      </c>
      <c r="P419" s="185"/>
      <c r="Q419" s="185"/>
      <c r="R419" s="185"/>
      <c r="S419" s="186">
        <v>43725</v>
      </c>
      <c r="T419" s="186">
        <v>43725</v>
      </c>
      <c r="U419" s="185" t="s">
        <v>1195</v>
      </c>
      <c r="V419" s="185">
        <v>700</v>
      </c>
      <c r="W419" s="185">
        <v>14050</v>
      </c>
      <c r="X419" s="187">
        <v>16956.259999999998</v>
      </c>
      <c r="Y419" s="185">
        <v>14056</v>
      </c>
      <c r="Z419" s="187">
        <v>11102.3</v>
      </c>
      <c r="AA419" s="187">
        <v>0</v>
      </c>
      <c r="AB419" s="187">
        <v>5853.9599999999991</v>
      </c>
      <c r="AC419" s="187">
        <v>807.44</v>
      </c>
      <c r="AD419" s="185">
        <v>54260</v>
      </c>
      <c r="AE419" s="187">
        <v>201.86</v>
      </c>
      <c r="AF419" s="187">
        <v>0</v>
      </c>
      <c r="AG419" s="187">
        <v>201.86</v>
      </c>
      <c r="AH419" s="185" t="s">
        <v>989</v>
      </c>
      <c r="AI419" s="185"/>
      <c r="AJ419" s="185"/>
      <c r="AK419" s="185" t="s">
        <v>45</v>
      </c>
      <c r="AL419" s="185" t="s">
        <v>2267</v>
      </c>
      <c r="AM419" s="185" t="s">
        <v>2269</v>
      </c>
      <c r="AN419" s="196"/>
      <c r="AO419" s="196"/>
      <c r="AP419" s="195"/>
      <c r="AQ419" s="194"/>
      <c r="AR419" s="193"/>
      <c r="AS419" s="192"/>
      <c r="AT419" s="192"/>
      <c r="AU419" s="192"/>
      <c r="AV419" s="192"/>
      <c r="AW419" s="191"/>
      <c r="AX419" s="190" t="s">
        <v>72</v>
      </c>
      <c r="AY419" s="184"/>
    </row>
    <row r="420" spans="2:51">
      <c r="B420" s="185">
        <v>2183</v>
      </c>
      <c r="C420" s="189">
        <v>221710</v>
      </c>
      <c r="D420" s="185" t="s">
        <v>989</v>
      </c>
      <c r="E420" s="185" t="s">
        <v>2003</v>
      </c>
      <c r="F420" s="185" t="s">
        <v>735</v>
      </c>
      <c r="G420" s="185"/>
      <c r="H420" s="185"/>
      <c r="I420" s="188">
        <v>945</v>
      </c>
      <c r="J420" s="185"/>
      <c r="K420" s="188">
        <v>0</v>
      </c>
      <c r="L420" s="185" t="s">
        <v>1129</v>
      </c>
      <c r="M420" s="185"/>
      <c r="N420" s="185" t="s">
        <v>2190</v>
      </c>
      <c r="O420" s="185" t="s">
        <v>2184</v>
      </c>
      <c r="P420" s="185"/>
      <c r="Q420" s="185"/>
      <c r="R420" s="185"/>
      <c r="S420" s="186">
        <v>43725</v>
      </c>
      <c r="T420" s="186">
        <v>43725</v>
      </c>
      <c r="U420" s="185" t="s">
        <v>1195</v>
      </c>
      <c r="V420" s="185">
        <v>700</v>
      </c>
      <c r="W420" s="185">
        <v>14050</v>
      </c>
      <c r="X420" s="187">
        <v>37349.120000000003</v>
      </c>
      <c r="Y420" s="185">
        <v>14056</v>
      </c>
      <c r="Z420" s="187">
        <v>24454.78</v>
      </c>
      <c r="AA420" s="187">
        <v>0</v>
      </c>
      <c r="AB420" s="187">
        <v>12894.340000000004</v>
      </c>
      <c r="AC420" s="187">
        <v>1778.52</v>
      </c>
      <c r="AD420" s="185">
        <v>54260</v>
      </c>
      <c r="AE420" s="187">
        <v>444.63</v>
      </c>
      <c r="AF420" s="187">
        <v>0</v>
      </c>
      <c r="AG420" s="187">
        <v>444.63</v>
      </c>
      <c r="AH420" s="185" t="s">
        <v>989</v>
      </c>
      <c r="AI420" s="185"/>
      <c r="AJ420" s="185"/>
      <c r="AK420" s="185" t="s">
        <v>45</v>
      </c>
      <c r="AL420" s="185" t="s">
        <v>2267</v>
      </c>
      <c r="AM420" s="185" t="s">
        <v>2269</v>
      </c>
      <c r="AN420" s="196"/>
      <c r="AO420" s="196"/>
      <c r="AP420" s="195"/>
      <c r="AQ420" s="194"/>
      <c r="AR420" s="193"/>
      <c r="AS420" s="192"/>
      <c r="AT420" s="192"/>
      <c r="AU420" s="192"/>
      <c r="AV420" s="192"/>
      <c r="AW420" s="191"/>
      <c r="AX420" s="190" t="s">
        <v>72</v>
      </c>
      <c r="AY420" s="184"/>
    </row>
    <row r="421" spans="2:51">
      <c r="B421" s="185">
        <v>2183</v>
      </c>
      <c r="C421" s="189">
        <v>221709</v>
      </c>
      <c r="D421" s="185" t="s">
        <v>989</v>
      </c>
      <c r="E421" s="185" t="s">
        <v>2003</v>
      </c>
      <c r="F421" s="185" t="s">
        <v>736</v>
      </c>
      <c r="G421" s="185"/>
      <c r="H421" s="185"/>
      <c r="I421" s="188">
        <v>312</v>
      </c>
      <c r="J421" s="185"/>
      <c r="K421" s="188">
        <v>0</v>
      </c>
      <c r="L421" s="185" t="s">
        <v>1129</v>
      </c>
      <c r="M421" s="185"/>
      <c r="N421" s="185" t="s">
        <v>2190</v>
      </c>
      <c r="O421" s="185" t="s">
        <v>2184</v>
      </c>
      <c r="P421" s="185"/>
      <c r="Q421" s="185"/>
      <c r="R421" s="185"/>
      <c r="S421" s="186">
        <v>43725</v>
      </c>
      <c r="T421" s="186">
        <v>43725</v>
      </c>
      <c r="U421" s="185" t="s">
        <v>1195</v>
      </c>
      <c r="V421" s="185">
        <v>700</v>
      </c>
      <c r="W421" s="185">
        <v>14050</v>
      </c>
      <c r="X421" s="187">
        <v>15229.77</v>
      </c>
      <c r="Y421" s="185">
        <v>14056</v>
      </c>
      <c r="Z421" s="187">
        <v>9971.8799999999992</v>
      </c>
      <c r="AA421" s="187">
        <v>0</v>
      </c>
      <c r="AB421" s="187">
        <v>5257.8900000000012</v>
      </c>
      <c r="AC421" s="187">
        <v>725.24</v>
      </c>
      <c r="AD421" s="185">
        <v>54260</v>
      </c>
      <c r="AE421" s="187">
        <v>181.31</v>
      </c>
      <c r="AF421" s="187">
        <v>0</v>
      </c>
      <c r="AG421" s="187">
        <v>181.31</v>
      </c>
      <c r="AH421" s="185" t="s">
        <v>989</v>
      </c>
      <c r="AI421" s="185"/>
      <c r="AJ421" s="185"/>
      <c r="AK421" s="185" t="s">
        <v>45</v>
      </c>
      <c r="AL421" s="185" t="s">
        <v>2267</v>
      </c>
      <c r="AM421" s="185" t="s">
        <v>2269</v>
      </c>
      <c r="AN421" s="196"/>
      <c r="AO421" s="196"/>
      <c r="AP421" s="195"/>
      <c r="AQ421" s="194"/>
      <c r="AR421" s="193"/>
      <c r="AS421" s="192"/>
      <c r="AT421" s="192"/>
      <c r="AU421" s="192"/>
      <c r="AV421" s="192"/>
      <c r="AW421" s="191"/>
      <c r="AX421" s="190" t="s">
        <v>72</v>
      </c>
      <c r="AY421" s="184"/>
    </row>
    <row r="422" spans="2:51">
      <c r="B422" s="185">
        <v>2183</v>
      </c>
      <c r="C422" s="189">
        <v>221429</v>
      </c>
      <c r="D422" s="185" t="s">
        <v>989</v>
      </c>
      <c r="E422" s="185" t="s">
        <v>2003</v>
      </c>
      <c r="F422" s="185" t="s">
        <v>1196</v>
      </c>
      <c r="G422" s="185"/>
      <c r="H422" s="185"/>
      <c r="I422" s="188">
        <v>624</v>
      </c>
      <c r="J422" s="185"/>
      <c r="K422" s="188">
        <v>0</v>
      </c>
      <c r="L422" s="185" t="s">
        <v>1129</v>
      </c>
      <c r="M422" s="185"/>
      <c r="N422" s="185" t="s">
        <v>2190</v>
      </c>
      <c r="O422" s="185" t="s">
        <v>2184</v>
      </c>
      <c r="P422" s="185"/>
      <c r="Q422" s="185"/>
      <c r="R422" s="185"/>
      <c r="S422" s="186">
        <v>43725</v>
      </c>
      <c r="T422" s="186">
        <v>43725</v>
      </c>
      <c r="U422" s="185" t="s">
        <v>1195</v>
      </c>
      <c r="V422" s="185">
        <v>700</v>
      </c>
      <c r="W422" s="185">
        <v>14050</v>
      </c>
      <c r="X422" s="187">
        <v>30459.55</v>
      </c>
      <c r="Y422" s="185">
        <v>14056</v>
      </c>
      <c r="Z422" s="187">
        <v>19943.759999999998</v>
      </c>
      <c r="AA422" s="187">
        <v>0</v>
      </c>
      <c r="AB422" s="187">
        <v>10515.79</v>
      </c>
      <c r="AC422" s="187">
        <v>1450.44</v>
      </c>
      <c r="AD422" s="185">
        <v>54260</v>
      </c>
      <c r="AE422" s="187">
        <v>362.61</v>
      </c>
      <c r="AF422" s="187">
        <v>0</v>
      </c>
      <c r="AG422" s="187">
        <v>362.61</v>
      </c>
      <c r="AH422" s="185" t="s">
        <v>989</v>
      </c>
      <c r="AI422" s="185"/>
      <c r="AJ422" s="185"/>
      <c r="AK422" s="185" t="s">
        <v>45</v>
      </c>
      <c r="AL422" s="185" t="s">
        <v>2267</v>
      </c>
      <c r="AM422" s="185" t="s">
        <v>2269</v>
      </c>
      <c r="AN422" s="196"/>
      <c r="AO422" s="196"/>
      <c r="AP422" s="195"/>
      <c r="AQ422" s="194"/>
      <c r="AR422" s="193"/>
      <c r="AS422" s="192"/>
      <c r="AT422" s="192"/>
      <c r="AU422" s="192"/>
      <c r="AV422" s="192"/>
      <c r="AW422" s="191"/>
      <c r="AX422" s="190" t="s">
        <v>72</v>
      </c>
      <c r="AY422" s="184"/>
    </row>
    <row r="423" spans="2:51">
      <c r="B423" s="185">
        <v>2183</v>
      </c>
      <c r="C423" s="189">
        <v>221428</v>
      </c>
      <c r="D423" s="185" t="s">
        <v>989</v>
      </c>
      <c r="E423" s="185" t="s">
        <v>2003</v>
      </c>
      <c r="F423" s="185" t="s">
        <v>737</v>
      </c>
      <c r="G423" s="185"/>
      <c r="H423" s="185"/>
      <c r="I423" s="188">
        <v>864</v>
      </c>
      <c r="J423" s="185"/>
      <c r="K423" s="188">
        <v>0</v>
      </c>
      <c r="L423" s="185" t="s">
        <v>1129</v>
      </c>
      <c r="M423" s="185"/>
      <c r="N423" s="185" t="s">
        <v>2190</v>
      </c>
      <c r="O423" s="185" t="s">
        <v>2184</v>
      </c>
      <c r="P423" s="185"/>
      <c r="Q423" s="185"/>
      <c r="R423" s="185"/>
      <c r="S423" s="186">
        <v>43725</v>
      </c>
      <c r="T423" s="186">
        <v>43725</v>
      </c>
      <c r="U423" s="185" t="s">
        <v>1195</v>
      </c>
      <c r="V423" s="185">
        <v>700</v>
      </c>
      <c r="W423" s="185">
        <v>14050</v>
      </c>
      <c r="X423" s="187">
        <v>38397.360000000001</v>
      </c>
      <c r="Y423" s="185">
        <v>14056</v>
      </c>
      <c r="Z423" s="187">
        <v>25141.1</v>
      </c>
      <c r="AA423" s="187">
        <v>0</v>
      </c>
      <c r="AB423" s="187">
        <v>13256.260000000002</v>
      </c>
      <c r="AC423" s="187">
        <v>1828.44</v>
      </c>
      <c r="AD423" s="185">
        <v>54260</v>
      </c>
      <c r="AE423" s="187">
        <v>457.11</v>
      </c>
      <c r="AF423" s="187">
        <v>0</v>
      </c>
      <c r="AG423" s="187">
        <v>457.11</v>
      </c>
      <c r="AH423" s="185" t="s">
        <v>989</v>
      </c>
      <c r="AI423" s="185"/>
      <c r="AJ423" s="185"/>
      <c r="AK423" s="185" t="s">
        <v>45</v>
      </c>
      <c r="AL423" s="185" t="s">
        <v>2267</v>
      </c>
      <c r="AM423" s="185" t="s">
        <v>2269</v>
      </c>
      <c r="AN423" s="196"/>
      <c r="AO423" s="196"/>
      <c r="AP423" s="195"/>
      <c r="AQ423" s="194"/>
      <c r="AR423" s="193"/>
      <c r="AS423" s="192"/>
      <c r="AT423" s="192"/>
      <c r="AU423" s="192"/>
      <c r="AV423" s="192"/>
      <c r="AW423" s="191"/>
      <c r="AX423" s="190" t="s">
        <v>72</v>
      </c>
      <c r="AY423" s="184"/>
    </row>
    <row r="424" spans="2:51">
      <c r="B424" s="185">
        <v>2183</v>
      </c>
      <c r="C424" s="189">
        <v>221427</v>
      </c>
      <c r="D424" s="185" t="s">
        <v>989</v>
      </c>
      <c r="E424" s="185" t="s">
        <v>2003</v>
      </c>
      <c r="F424" s="185" t="s">
        <v>1147</v>
      </c>
      <c r="G424" s="185"/>
      <c r="H424" s="185"/>
      <c r="I424" s="188">
        <v>624</v>
      </c>
      <c r="J424" s="185"/>
      <c r="K424" s="188">
        <v>0</v>
      </c>
      <c r="L424" s="185" t="s">
        <v>1129</v>
      </c>
      <c r="M424" s="185"/>
      <c r="N424" s="185" t="s">
        <v>2190</v>
      </c>
      <c r="O424" s="185" t="s">
        <v>2184</v>
      </c>
      <c r="P424" s="185"/>
      <c r="Q424" s="185"/>
      <c r="R424" s="185"/>
      <c r="S424" s="186">
        <v>43725</v>
      </c>
      <c r="T424" s="186">
        <v>43725</v>
      </c>
      <c r="U424" s="185" t="s">
        <v>1195</v>
      </c>
      <c r="V424" s="185">
        <v>700</v>
      </c>
      <c r="W424" s="185">
        <v>14050</v>
      </c>
      <c r="X424" s="187">
        <v>30459.55</v>
      </c>
      <c r="Y424" s="185">
        <v>14056</v>
      </c>
      <c r="Z424" s="187">
        <v>19943.759999999998</v>
      </c>
      <c r="AA424" s="187">
        <v>0</v>
      </c>
      <c r="AB424" s="187">
        <v>10515.79</v>
      </c>
      <c r="AC424" s="187">
        <v>1450.44</v>
      </c>
      <c r="AD424" s="185">
        <v>54260</v>
      </c>
      <c r="AE424" s="187">
        <v>362.61</v>
      </c>
      <c r="AF424" s="187">
        <v>0</v>
      </c>
      <c r="AG424" s="187">
        <v>362.61</v>
      </c>
      <c r="AH424" s="185" t="s">
        <v>989</v>
      </c>
      <c r="AI424" s="185"/>
      <c r="AJ424" s="185"/>
      <c r="AK424" s="185" t="s">
        <v>45</v>
      </c>
      <c r="AL424" s="185" t="s">
        <v>2267</v>
      </c>
      <c r="AM424" s="185" t="s">
        <v>2269</v>
      </c>
      <c r="AN424" s="196"/>
      <c r="AO424" s="196"/>
      <c r="AP424" s="195"/>
      <c r="AQ424" s="194"/>
      <c r="AR424" s="193"/>
      <c r="AS424" s="192"/>
      <c r="AT424" s="192"/>
      <c r="AU424" s="192"/>
      <c r="AV424" s="192"/>
      <c r="AW424" s="191"/>
      <c r="AX424" s="190" t="s">
        <v>72</v>
      </c>
      <c r="AY424" s="184"/>
    </row>
    <row r="425" spans="2:51">
      <c r="B425" s="185">
        <v>2183</v>
      </c>
      <c r="C425" s="189">
        <v>221315</v>
      </c>
      <c r="D425" s="185" t="s">
        <v>989</v>
      </c>
      <c r="E425" s="185" t="s">
        <v>2003</v>
      </c>
      <c r="F425" s="185" t="s">
        <v>1197</v>
      </c>
      <c r="G425" s="185"/>
      <c r="H425" s="185"/>
      <c r="I425" s="188">
        <v>14</v>
      </c>
      <c r="J425" s="185"/>
      <c r="K425" s="188">
        <v>0</v>
      </c>
      <c r="L425" s="185" t="s">
        <v>1059</v>
      </c>
      <c r="M425" s="185"/>
      <c r="N425" s="185" t="s">
        <v>2190</v>
      </c>
      <c r="O425" s="185" t="s">
        <v>2184</v>
      </c>
      <c r="P425" s="185"/>
      <c r="Q425" s="185" t="s">
        <v>2209</v>
      </c>
      <c r="R425" s="185" t="s">
        <v>2195</v>
      </c>
      <c r="S425" s="186">
        <v>41547</v>
      </c>
      <c r="T425" s="186">
        <v>41547</v>
      </c>
      <c r="U425" s="185" t="s">
        <v>1198</v>
      </c>
      <c r="V425" s="185">
        <v>1200</v>
      </c>
      <c r="W425" s="185">
        <v>14050</v>
      </c>
      <c r="X425" s="187">
        <v>6199.2</v>
      </c>
      <c r="Y425" s="185">
        <v>14056</v>
      </c>
      <c r="Z425" s="187">
        <v>5467.35</v>
      </c>
      <c r="AA425" s="187">
        <v>0</v>
      </c>
      <c r="AB425" s="187">
        <v>731.84999999999945</v>
      </c>
      <c r="AC425" s="187">
        <v>172.2</v>
      </c>
      <c r="AD425" s="185">
        <v>54260</v>
      </c>
      <c r="AE425" s="187">
        <v>43.05</v>
      </c>
      <c r="AF425" s="187">
        <v>0</v>
      </c>
      <c r="AG425" s="187">
        <v>43.05</v>
      </c>
      <c r="AH425" s="185" t="s">
        <v>989</v>
      </c>
      <c r="AI425" s="185"/>
      <c r="AJ425" s="185"/>
      <c r="AK425" s="185" t="s">
        <v>45</v>
      </c>
      <c r="AL425" s="185" t="s">
        <v>2267</v>
      </c>
      <c r="AM425" s="185" t="s">
        <v>2269</v>
      </c>
      <c r="AN425" s="196"/>
      <c r="AO425" s="196"/>
      <c r="AP425" s="195"/>
      <c r="AQ425" s="194"/>
      <c r="AR425" s="193"/>
      <c r="AS425" s="192"/>
      <c r="AT425" s="192"/>
      <c r="AU425" s="192"/>
      <c r="AV425" s="192"/>
      <c r="AW425" s="191"/>
      <c r="AX425" s="190" t="s">
        <v>72</v>
      </c>
      <c r="AY425" s="184"/>
    </row>
    <row r="426" spans="2:51">
      <c r="B426" s="185">
        <v>2183</v>
      </c>
      <c r="C426" s="189">
        <v>221314</v>
      </c>
      <c r="D426" s="185" t="s">
        <v>989</v>
      </c>
      <c r="E426" s="185" t="s">
        <v>2003</v>
      </c>
      <c r="F426" s="185" t="s">
        <v>1199</v>
      </c>
      <c r="G426" s="185"/>
      <c r="H426" s="185"/>
      <c r="I426" s="188">
        <v>54</v>
      </c>
      <c r="J426" s="185"/>
      <c r="K426" s="188">
        <v>0</v>
      </c>
      <c r="L426" s="185"/>
      <c r="M426" s="185"/>
      <c r="N426" s="185" t="s">
        <v>2190</v>
      </c>
      <c r="O426" s="185" t="s">
        <v>2184</v>
      </c>
      <c r="P426" s="185"/>
      <c r="Q426" s="185" t="s">
        <v>2194</v>
      </c>
      <c r="R426" s="185" t="s">
        <v>2195</v>
      </c>
      <c r="S426" s="186">
        <v>39755</v>
      </c>
      <c r="T426" s="186">
        <v>39755</v>
      </c>
      <c r="U426" s="185"/>
      <c r="V426" s="185">
        <v>1200</v>
      </c>
      <c r="W426" s="185">
        <v>14050</v>
      </c>
      <c r="X426" s="187">
        <v>17280</v>
      </c>
      <c r="Y426" s="185">
        <v>14056</v>
      </c>
      <c r="Z426" s="187">
        <v>17280</v>
      </c>
      <c r="AA426" s="187">
        <v>0</v>
      </c>
      <c r="AB426" s="187">
        <v>0</v>
      </c>
      <c r="AC426" s="187">
        <v>0</v>
      </c>
      <c r="AD426" s="185">
        <v>54260</v>
      </c>
      <c r="AE426" s="187">
        <v>0</v>
      </c>
      <c r="AF426" s="187">
        <v>0</v>
      </c>
      <c r="AG426" s="187">
        <v>0</v>
      </c>
      <c r="AH426" s="185" t="s">
        <v>994</v>
      </c>
      <c r="AI426" s="185" t="s">
        <v>1050</v>
      </c>
      <c r="AJ426" s="185" t="s">
        <v>1296</v>
      </c>
      <c r="AK426" s="185" t="s">
        <v>45</v>
      </c>
      <c r="AL426" s="185" t="s">
        <v>2267</v>
      </c>
      <c r="AM426" s="185" t="s">
        <v>2269</v>
      </c>
      <c r="AN426" s="196"/>
      <c r="AO426" s="196"/>
      <c r="AP426" s="195"/>
      <c r="AQ426" s="194"/>
      <c r="AR426" s="193"/>
      <c r="AS426" s="192"/>
      <c r="AT426" s="192"/>
      <c r="AU426" s="192"/>
      <c r="AV426" s="192"/>
      <c r="AW426" s="191"/>
      <c r="AX426" s="190" t="s">
        <v>72</v>
      </c>
      <c r="AY426" s="184"/>
    </row>
    <row r="427" spans="2:51">
      <c r="B427" s="185">
        <v>2183</v>
      </c>
      <c r="C427" s="189">
        <v>221313</v>
      </c>
      <c r="D427" s="185" t="s">
        <v>989</v>
      </c>
      <c r="E427" s="185" t="s">
        <v>2003</v>
      </c>
      <c r="F427" s="185" t="s">
        <v>1200</v>
      </c>
      <c r="G427" s="185"/>
      <c r="H427" s="185"/>
      <c r="I427" s="188">
        <v>13</v>
      </c>
      <c r="J427" s="185"/>
      <c r="K427" s="188">
        <v>0</v>
      </c>
      <c r="L427" s="185" t="s">
        <v>1059</v>
      </c>
      <c r="M427" s="185"/>
      <c r="N427" s="185" t="s">
        <v>2190</v>
      </c>
      <c r="O427" s="185" t="s">
        <v>2184</v>
      </c>
      <c r="P427" s="185"/>
      <c r="Q427" s="185" t="s">
        <v>2209</v>
      </c>
      <c r="R427" s="185" t="s">
        <v>2195</v>
      </c>
      <c r="S427" s="186">
        <v>41851</v>
      </c>
      <c r="T427" s="186">
        <v>41851</v>
      </c>
      <c r="U427" s="185" t="s">
        <v>1201</v>
      </c>
      <c r="V427" s="185">
        <v>1200</v>
      </c>
      <c r="W427" s="185">
        <v>14050</v>
      </c>
      <c r="X427" s="187">
        <v>5854.68</v>
      </c>
      <c r="Y427" s="185">
        <v>14056</v>
      </c>
      <c r="Z427" s="187">
        <v>4756.9399999999996</v>
      </c>
      <c r="AA427" s="187">
        <v>0</v>
      </c>
      <c r="AB427" s="187">
        <v>1097.7400000000007</v>
      </c>
      <c r="AC427" s="187">
        <v>162.63999999999999</v>
      </c>
      <c r="AD427" s="185">
        <v>54260</v>
      </c>
      <c r="AE427" s="187">
        <v>40.659999999999997</v>
      </c>
      <c r="AF427" s="187">
        <v>0</v>
      </c>
      <c r="AG427" s="187">
        <v>40.659999999999997</v>
      </c>
      <c r="AH427" s="185" t="s">
        <v>989</v>
      </c>
      <c r="AI427" s="185"/>
      <c r="AJ427" s="185"/>
      <c r="AK427" s="185" t="s">
        <v>45</v>
      </c>
      <c r="AL427" s="185" t="s">
        <v>2267</v>
      </c>
      <c r="AM427" s="185" t="s">
        <v>2269</v>
      </c>
      <c r="AN427" s="196"/>
      <c r="AO427" s="196"/>
      <c r="AP427" s="195"/>
      <c r="AQ427" s="194"/>
      <c r="AR427" s="193"/>
      <c r="AS427" s="192"/>
      <c r="AT427" s="192"/>
      <c r="AU427" s="192"/>
      <c r="AV427" s="192"/>
      <c r="AW427" s="191"/>
      <c r="AX427" s="190" t="s">
        <v>72</v>
      </c>
      <c r="AY427" s="184"/>
    </row>
    <row r="428" spans="2:51">
      <c r="B428" s="185">
        <v>2183</v>
      </c>
      <c r="C428" s="189">
        <v>221312</v>
      </c>
      <c r="D428" s="185" t="s">
        <v>989</v>
      </c>
      <c r="E428" s="185" t="s">
        <v>2003</v>
      </c>
      <c r="F428" s="185" t="s">
        <v>1202</v>
      </c>
      <c r="G428" s="185"/>
      <c r="H428" s="185"/>
      <c r="I428" s="188">
        <v>8</v>
      </c>
      <c r="J428" s="185"/>
      <c r="K428" s="188">
        <v>0</v>
      </c>
      <c r="L428" s="185"/>
      <c r="M428" s="185"/>
      <c r="N428" s="185" t="s">
        <v>2190</v>
      </c>
      <c r="O428" s="185" t="s">
        <v>2184</v>
      </c>
      <c r="P428" s="185"/>
      <c r="Q428" s="185" t="s">
        <v>2203</v>
      </c>
      <c r="R428" s="185" t="s">
        <v>2195</v>
      </c>
      <c r="S428" s="186">
        <v>39755</v>
      </c>
      <c r="T428" s="186">
        <v>39755</v>
      </c>
      <c r="U428" s="185"/>
      <c r="V428" s="185">
        <v>1200</v>
      </c>
      <c r="W428" s="185">
        <v>14050</v>
      </c>
      <c r="X428" s="187">
        <v>1840</v>
      </c>
      <c r="Y428" s="185">
        <v>14056</v>
      </c>
      <c r="Z428" s="187">
        <v>1840</v>
      </c>
      <c r="AA428" s="187">
        <v>0</v>
      </c>
      <c r="AB428" s="187">
        <v>0</v>
      </c>
      <c r="AC428" s="187">
        <v>0</v>
      </c>
      <c r="AD428" s="185">
        <v>54260</v>
      </c>
      <c r="AE428" s="187">
        <v>0</v>
      </c>
      <c r="AF428" s="187">
        <v>0</v>
      </c>
      <c r="AG428" s="187">
        <v>0</v>
      </c>
      <c r="AH428" s="185" t="s">
        <v>994</v>
      </c>
      <c r="AI428" s="185" t="s">
        <v>1050</v>
      </c>
      <c r="AJ428" s="185" t="s">
        <v>1296</v>
      </c>
      <c r="AK428" s="185" t="s">
        <v>45</v>
      </c>
      <c r="AL428" s="185" t="s">
        <v>2267</v>
      </c>
      <c r="AM428" s="185" t="s">
        <v>2269</v>
      </c>
      <c r="AN428" s="196"/>
      <c r="AO428" s="196"/>
      <c r="AP428" s="195"/>
      <c r="AQ428" s="194"/>
      <c r="AR428" s="193"/>
      <c r="AS428" s="192"/>
      <c r="AT428" s="192"/>
      <c r="AU428" s="192"/>
      <c r="AV428" s="192"/>
      <c r="AW428" s="191"/>
      <c r="AX428" s="190" t="s">
        <v>72</v>
      </c>
      <c r="AY428" s="184"/>
    </row>
    <row r="429" spans="2:51" hidden="1">
      <c r="B429" s="185">
        <v>2183</v>
      </c>
      <c r="C429" s="189">
        <v>220531</v>
      </c>
      <c r="D429" s="185">
        <v>114306</v>
      </c>
      <c r="E429" s="185" t="s">
        <v>2003</v>
      </c>
      <c r="F429" s="185" t="s">
        <v>1203</v>
      </c>
      <c r="G429" s="185"/>
      <c r="H429" s="185"/>
      <c r="I429" s="188">
        <v>1</v>
      </c>
      <c r="J429" s="185"/>
      <c r="K429" s="188">
        <v>0</v>
      </c>
      <c r="L429" s="185" t="s">
        <v>1204</v>
      </c>
      <c r="M429" s="185"/>
      <c r="N429" s="185" t="s">
        <v>2183</v>
      </c>
      <c r="O429" s="185" t="s">
        <v>2184</v>
      </c>
      <c r="P429" s="185" t="s">
        <v>1028</v>
      </c>
      <c r="Q429" s="185"/>
      <c r="R429" s="185"/>
      <c r="S429" s="186">
        <v>43649</v>
      </c>
      <c r="T429" s="186">
        <v>43649</v>
      </c>
      <c r="U429" s="185" t="s">
        <v>1205</v>
      </c>
      <c r="V429" s="185">
        <v>300</v>
      </c>
      <c r="W429" s="185">
        <v>14040</v>
      </c>
      <c r="X429" s="187">
        <v>11853.69</v>
      </c>
      <c r="Y429" s="185">
        <v>14046</v>
      </c>
      <c r="Z429" s="187">
        <v>11853.69</v>
      </c>
      <c r="AA429" s="187">
        <v>0</v>
      </c>
      <c r="AB429" s="187">
        <v>0</v>
      </c>
      <c r="AC429" s="187">
        <v>0</v>
      </c>
      <c r="AD429" s="185">
        <v>51260</v>
      </c>
      <c r="AE429" s="187">
        <v>0</v>
      </c>
      <c r="AF429" s="187">
        <v>0</v>
      </c>
      <c r="AG429" s="187">
        <v>0</v>
      </c>
      <c r="AH429" s="185" t="s">
        <v>989</v>
      </c>
      <c r="AI429" s="185"/>
      <c r="AJ429" s="185"/>
      <c r="AK429" s="185" t="s">
        <v>45</v>
      </c>
      <c r="AL429" s="185" t="s">
        <v>2267</v>
      </c>
      <c r="AM429" s="185" t="s">
        <v>2269</v>
      </c>
      <c r="AN429" s="196"/>
      <c r="AO429" s="196"/>
      <c r="AP429" s="195"/>
      <c r="AQ429" s="194"/>
      <c r="AR429" s="193"/>
      <c r="AS429" s="192"/>
      <c r="AT429" s="192"/>
      <c r="AU429" s="192"/>
      <c r="AV429" s="192"/>
      <c r="AW429" s="191"/>
      <c r="AX429" s="190" t="s">
        <v>72</v>
      </c>
      <c r="AY429" s="184"/>
    </row>
    <row r="430" spans="2:51" hidden="1">
      <c r="B430" s="185">
        <v>2183</v>
      </c>
      <c r="C430" s="189">
        <v>220530</v>
      </c>
      <c r="D430" s="185">
        <v>218238</v>
      </c>
      <c r="E430" s="185" t="s">
        <v>2003</v>
      </c>
      <c r="F430" s="185" t="s">
        <v>1206</v>
      </c>
      <c r="G430" s="185"/>
      <c r="H430" s="185"/>
      <c r="I430" s="188">
        <v>1</v>
      </c>
      <c r="J430" s="185"/>
      <c r="K430" s="188">
        <v>0</v>
      </c>
      <c r="L430" s="185" t="s">
        <v>1207</v>
      </c>
      <c r="M430" s="185"/>
      <c r="N430" s="185" t="s">
        <v>2183</v>
      </c>
      <c r="O430" s="185" t="s">
        <v>2184</v>
      </c>
      <c r="P430" s="185" t="s">
        <v>1028</v>
      </c>
      <c r="Q430" s="185"/>
      <c r="R430" s="185"/>
      <c r="S430" s="186">
        <v>43620</v>
      </c>
      <c r="T430" s="186">
        <v>43620</v>
      </c>
      <c r="U430" s="185" t="s">
        <v>1172</v>
      </c>
      <c r="V430" s="185">
        <v>500</v>
      </c>
      <c r="W430" s="185">
        <v>14040</v>
      </c>
      <c r="X430" s="187">
        <v>456.88</v>
      </c>
      <c r="Y430" s="185">
        <v>14046</v>
      </c>
      <c r="Z430" s="187">
        <v>449.26</v>
      </c>
      <c r="AA430" s="187">
        <v>0</v>
      </c>
      <c r="AB430" s="187">
        <v>7.6200000000000045</v>
      </c>
      <c r="AC430" s="187">
        <v>30.44</v>
      </c>
      <c r="AD430" s="185">
        <v>51260</v>
      </c>
      <c r="AE430" s="187">
        <v>7.61</v>
      </c>
      <c r="AF430" s="187">
        <v>0</v>
      </c>
      <c r="AG430" s="187">
        <v>7.61</v>
      </c>
      <c r="AH430" s="185" t="s">
        <v>989</v>
      </c>
      <c r="AI430" s="185"/>
      <c r="AJ430" s="185"/>
      <c r="AK430" s="185" t="s">
        <v>45</v>
      </c>
      <c r="AL430" s="185" t="s">
        <v>2267</v>
      </c>
      <c r="AM430" s="185" t="s">
        <v>2269</v>
      </c>
      <c r="AN430" s="196"/>
      <c r="AO430" s="196"/>
      <c r="AP430" s="195"/>
      <c r="AQ430" s="194"/>
      <c r="AR430" s="193"/>
      <c r="AS430" s="192"/>
      <c r="AT430" s="192"/>
      <c r="AU430" s="192"/>
      <c r="AV430" s="192"/>
      <c r="AW430" s="191"/>
      <c r="AX430" s="190" t="s">
        <v>72</v>
      </c>
      <c r="AY430" s="184"/>
    </row>
    <row r="431" spans="2:51" hidden="1">
      <c r="B431" s="185">
        <v>2183</v>
      </c>
      <c r="C431" s="189">
        <v>220529</v>
      </c>
      <c r="D431" s="185">
        <v>219762</v>
      </c>
      <c r="E431" s="185" t="s">
        <v>2003</v>
      </c>
      <c r="F431" s="185" t="s">
        <v>729</v>
      </c>
      <c r="G431" s="185"/>
      <c r="H431" s="185"/>
      <c r="I431" s="188">
        <v>1</v>
      </c>
      <c r="J431" s="185"/>
      <c r="K431" s="188">
        <v>0</v>
      </c>
      <c r="L431" s="185" t="s">
        <v>1151</v>
      </c>
      <c r="M431" s="185"/>
      <c r="N431" s="185" t="s">
        <v>2183</v>
      </c>
      <c r="O431" s="185" t="s">
        <v>2184</v>
      </c>
      <c r="P431" s="185" t="s">
        <v>1028</v>
      </c>
      <c r="Q431" s="185"/>
      <c r="R431" s="185"/>
      <c r="S431" s="186">
        <v>43726</v>
      </c>
      <c r="T431" s="186">
        <v>43726</v>
      </c>
      <c r="U431" s="185" t="s">
        <v>1167</v>
      </c>
      <c r="V431" s="185">
        <v>1000</v>
      </c>
      <c r="W431" s="185">
        <v>14040</v>
      </c>
      <c r="X431" s="187">
        <v>220.79</v>
      </c>
      <c r="Y431" s="185">
        <v>14046</v>
      </c>
      <c r="Z431" s="187">
        <v>101.2</v>
      </c>
      <c r="AA431" s="187">
        <v>0</v>
      </c>
      <c r="AB431" s="187">
        <v>119.58999999999999</v>
      </c>
      <c r="AC431" s="187">
        <v>7.36</v>
      </c>
      <c r="AD431" s="185">
        <v>51260</v>
      </c>
      <c r="AE431" s="187">
        <v>1.84</v>
      </c>
      <c r="AF431" s="187">
        <v>0</v>
      </c>
      <c r="AG431" s="187">
        <v>1.84</v>
      </c>
      <c r="AH431" s="185" t="s">
        <v>989</v>
      </c>
      <c r="AI431" s="185"/>
      <c r="AJ431" s="185"/>
      <c r="AK431" s="185" t="s">
        <v>45</v>
      </c>
      <c r="AL431" s="185" t="s">
        <v>2267</v>
      </c>
      <c r="AM431" s="185" t="s">
        <v>2269</v>
      </c>
      <c r="AN431" s="196"/>
      <c r="AO431" s="196"/>
      <c r="AP431" s="195"/>
      <c r="AQ431" s="194"/>
      <c r="AR431" s="193"/>
      <c r="AS431" s="192"/>
      <c r="AT431" s="192"/>
      <c r="AU431" s="192"/>
      <c r="AV431" s="192"/>
      <c r="AW431" s="191"/>
      <c r="AX431" s="190" t="s">
        <v>72</v>
      </c>
      <c r="AY431" s="184"/>
    </row>
    <row r="432" spans="2:51" hidden="1">
      <c r="B432" s="185">
        <v>2183</v>
      </c>
      <c r="C432" s="189">
        <v>220528</v>
      </c>
      <c r="D432" s="185">
        <v>218237</v>
      </c>
      <c r="E432" s="185" t="s">
        <v>2003</v>
      </c>
      <c r="F432" s="185" t="s">
        <v>1206</v>
      </c>
      <c r="G432" s="185"/>
      <c r="H432" s="185"/>
      <c r="I432" s="188">
        <v>1</v>
      </c>
      <c r="J432" s="185"/>
      <c r="K432" s="188">
        <v>0</v>
      </c>
      <c r="L432" s="185" t="s">
        <v>1207</v>
      </c>
      <c r="M432" s="185"/>
      <c r="N432" s="185" t="s">
        <v>2183</v>
      </c>
      <c r="O432" s="185" t="s">
        <v>2184</v>
      </c>
      <c r="P432" s="185" t="s">
        <v>1028</v>
      </c>
      <c r="Q432" s="185"/>
      <c r="R432" s="185"/>
      <c r="S432" s="186">
        <v>43630</v>
      </c>
      <c r="T432" s="186">
        <v>43630</v>
      </c>
      <c r="U432" s="185" t="s">
        <v>1208</v>
      </c>
      <c r="V432" s="185">
        <v>500</v>
      </c>
      <c r="W432" s="185">
        <v>14040</v>
      </c>
      <c r="X432" s="187">
        <v>456.88</v>
      </c>
      <c r="Y432" s="185">
        <v>14046</v>
      </c>
      <c r="Z432" s="187">
        <v>449.26</v>
      </c>
      <c r="AA432" s="187">
        <v>0</v>
      </c>
      <c r="AB432" s="187">
        <v>7.6200000000000045</v>
      </c>
      <c r="AC432" s="187">
        <v>30.44</v>
      </c>
      <c r="AD432" s="185">
        <v>51260</v>
      </c>
      <c r="AE432" s="187">
        <v>7.61</v>
      </c>
      <c r="AF432" s="187">
        <v>0</v>
      </c>
      <c r="AG432" s="187">
        <v>7.61</v>
      </c>
      <c r="AH432" s="185" t="s">
        <v>989</v>
      </c>
      <c r="AI432" s="185"/>
      <c r="AJ432" s="185"/>
      <c r="AK432" s="185" t="s">
        <v>45</v>
      </c>
      <c r="AL432" s="185" t="s">
        <v>2267</v>
      </c>
      <c r="AM432" s="185" t="s">
        <v>2269</v>
      </c>
      <c r="AN432" s="196"/>
      <c r="AO432" s="196"/>
      <c r="AP432" s="195"/>
      <c r="AQ432" s="194"/>
      <c r="AR432" s="193"/>
      <c r="AS432" s="192"/>
      <c r="AT432" s="192"/>
      <c r="AU432" s="192"/>
      <c r="AV432" s="192"/>
      <c r="AW432" s="191"/>
      <c r="AX432" s="190" t="s">
        <v>72</v>
      </c>
      <c r="AY432" s="184"/>
    </row>
    <row r="433" spans="2:51">
      <c r="B433" s="185">
        <v>2183</v>
      </c>
      <c r="C433" s="189">
        <v>219763</v>
      </c>
      <c r="D433" s="185" t="s">
        <v>989</v>
      </c>
      <c r="E433" s="185" t="s">
        <v>2003</v>
      </c>
      <c r="F433" s="185" t="s">
        <v>1209</v>
      </c>
      <c r="G433" s="185"/>
      <c r="H433" s="185"/>
      <c r="I433" s="188">
        <v>1</v>
      </c>
      <c r="J433" s="185" t="s">
        <v>1210</v>
      </c>
      <c r="K433" s="188">
        <v>2020</v>
      </c>
      <c r="L433" s="185" t="s">
        <v>1097</v>
      </c>
      <c r="M433" s="185" t="s">
        <v>1120</v>
      </c>
      <c r="N433" s="185" t="s">
        <v>2183</v>
      </c>
      <c r="O433" s="185" t="s">
        <v>2184</v>
      </c>
      <c r="P433" s="185" t="s">
        <v>287</v>
      </c>
      <c r="Q433" s="185"/>
      <c r="R433" s="185"/>
      <c r="S433" s="186">
        <v>43738</v>
      </c>
      <c r="T433" s="186">
        <v>43738</v>
      </c>
      <c r="U433" s="185" t="s">
        <v>1211</v>
      </c>
      <c r="V433" s="185">
        <v>1000</v>
      </c>
      <c r="W433" s="185">
        <v>14040</v>
      </c>
      <c r="X433" s="187">
        <v>184414.76</v>
      </c>
      <c r="Y433" s="185">
        <v>14046</v>
      </c>
      <c r="Z433" s="187">
        <v>84523.45</v>
      </c>
      <c r="AA433" s="187">
        <v>0</v>
      </c>
      <c r="AB433" s="187">
        <v>99891.310000000012</v>
      </c>
      <c r="AC433" s="187">
        <v>6147.16</v>
      </c>
      <c r="AD433" s="185">
        <v>51260</v>
      </c>
      <c r="AE433" s="187">
        <v>1536.79</v>
      </c>
      <c r="AF433" s="187">
        <v>0</v>
      </c>
      <c r="AG433" s="187">
        <v>1536.79</v>
      </c>
      <c r="AH433" s="185" t="s">
        <v>989</v>
      </c>
      <c r="AI433" s="185"/>
      <c r="AJ433" s="185">
        <v>4085</v>
      </c>
      <c r="AK433" s="185" t="s">
        <v>45</v>
      </c>
      <c r="AL433" s="185" t="s">
        <v>2267</v>
      </c>
      <c r="AM433" s="185" t="s">
        <v>2269</v>
      </c>
      <c r="AN433" s="196"/>
      <c r="AO433" s="196"/>
      <c r="AP433" s="195"/>
      <c r="AQ433" s="194"/>
      <c r="AR433" s="193"/>
      <c r="AS433" s="192"/>
      <c r="AT433" s="192"/>
      <c r="AU433" s="192"/>
      <c r="AV433" s="192"/>
      <c r="AW433" s="191"/>
      <c r="AX433" s="190" t="s">
        <v>72</v>
      </c>
      <c r="AY433" s="184"/>
    </row>
    <row r="434" spans="2:51">
      <c r="B434" s="185">
        <v>2183</v>
      </c>
      <c r="C434" s="189">
        <v>219762</v>
      </c>
      <c r="D434" s="185" t="s">
        <v>989</v>
      </c>
      <c r="E434" s="185" t="s">
        <v>2003</v>
      </c>
      <c r="F434" s="185" t="s">
        <v>833</v>
      </c>
      <c r="G434" s="185"/>
      <c r="H434" s="185"/>
      <c r="I434" s="188">
        <v>1</v>
      </c>
      <c r="J434" s="185" t="s">
        <v>1180</v>
      </c>
      <c r="K434" s="188">
        <v>2020</v>
      </c>
      <c r="L434" s="185" t="s">
        <v>1097</v>
      </c>
      <c r="M434" s="185" t="s">
        <v>1120</v>
      </c>
      <c r="N434" s="185" t="s">
        <v>2183</v>
      </c>
      <c r="O434" s="185" t="s">
        <v>2184</v>
      </c>
      <c r="P434" s="185" t="s">
        <v>287</v>
      </c>
      <c r="Q434" s="185"/>
      <c r="R434" s="185"/>
      <c r="S434" s="186">
        <v>43726</v>
      </c>
      <c r="T434" s="186">
        <v>43726</v>
      </c>
      <c r="U434" s="185" t="s">
        <v>1212</v>
      </c>
      <c r="V434" s="185">
        <v>1000</v>
      </c>
      <c r="W434" s="185">
        <v>14040</v>
      </c>
      <c r="X434" s="187">
        <v>255725.48</v>
      </c>
      <c r="Y434" s="185">
        <v>14046</v>
      </c>
      <c r="Z434" s="187">
        <v>117207.54</v>
      </c>
      <c r="AA434" s="187">
        <v>0</v>
      </c>
      <c r="AB434" s="187">
        <v>138517.94</v>
      </c>
      <c r="AC434" s="187">
        <v>8524.2000000000007</v>
      </c>
      <c r="AD434" s="185">
        <v>51260</v>
      </c>
      <c r="AE434" s="187">
        <v>2131.0500000000002</v>
      </c>
      <c r="AF434" s="187">
        <v>0</v>
      </c>
      <c r="AG434" s="187">
        <v>2131.0500000000002</v>
      </c>
      <c r="AH434" s="185" t="s">
        <v>989</v>
      </c>
      <c r="AI434" s="185"/>
      <c r="AJ434" s="185">
        <v>4084</v>
      </c>
      <c r="AK434" s="185" t="s">
        <v>45</v>
      </c>
      <c r="AL434" s="185" t="s">
        <v>2267</v>
      </c>
      <c r="AM434" s="185" t="s">
        <v>2269</v>
      </c>
      <c r="AN434" s="196"/>
      <c r="AO434" s="196"/>
      <c r="AP434" s="195"/>
      <c r="AQ434" s="194"/>
      <c r="AR434" s="193"/>
      <c r="AS434" s="192"/>
      <c r="AT434" s="192"/>
      <c r="AU434" s="192"/>
      <c r="AV434" s="192"/>
      <c r="AW434" s="191"/>
      <c r="AX434" s="190" t="s">
        <v>72</v>
      </c>
      <c r="AY434" s="184"/>
    </row>
    <row r="435" spans="2:51">
      <c r="B435" s="185">
        <v>2183</v>
      </c>
      <c r="C435" s="189">
        <v>219761</v>
      </c>
      <c r="D435" s="185" t="s">
        <v>989</v>
      </c>
      <c r="E435" s="185" t="s">
        <v>2003</v>
      </c>
      <c r="F435" s="185" t="s">
        <v>832</v>
      </c>
      <c r="G435" s="185"/>
      <c r="H435" s="185"/>
      <c r="I435" s="188">
        <v>1</v>
      </c>
      <c r="J435" s="185" t="s">
        <v>1192</v>
      </c>
      <c r="K435" s="188">
        <v>2020</v>
      </c>
      <c r="L435" s="185" t="s">
        <v>1097</v>
      </c>
      <c r="M435" s="185" t="s">
        <v>1110</v>
      </c>
      <c r="N435" s="185" t="s">
        <v>2183</v>
      </c>
      <c r="O435" s="185" t="s">
        <v>2184</v>
      </c>
      <c r="P435" s="185" t="s">
        <v>2187</v>
      </c>
      <c r="Q435" s="185"/>
      <c r="R435" s="185"/>
      <c r="S435" s="186">
        <v>43738</v>
      </c>
      <c r="T435" s="186">
        <v>43738</v>
      </c>
      <c r="U435" s="185" t="s">
        <v>1213</v>
      </c>
      <c r="V435" s="185">
        <v>1000</v>
      </c>
      <c r="W435" s="185">
        <v>14040</v>
      </c>
      <c r="X435" s="187">
        <v>184752.88</v>
      </c>
      <c r="Y435" s="185">
        <v>14046</v>
      </c>
      <c r="Z435" s="187">
        <v>84678.42</v>
      </c>
      <c r="AA435" s="187">
        <v>0</v>
      </c>
      <c r="AB435" s="187">
        <v>100074.46</v>
      </c>
      <c r="AC435" s="187">
        <v>6158.44</v>
      </c>
      <c r="AD435" s="185">
        <v>51260</v>
      </c>
      <c r="AE435" s="187">
        <v>1539.61</v>
      </c>
      <c r="AF435" s="187">
        <v>0</v>
      </c>
      <c r="AG435" s="187">
        <v>1539.61</v>
      </c>
      <c r="AH435" s="185" t="s">
        <v>989</v>
      </c>
      <c r="AI435" s="185"/>
      <c r="AJ435" s="185">
        <v>3692</v>
      </c>
      <c r="AK435" s="185" t="s">
        <v>45</v>
      </c>
      <c r="AL435" s="185" t="s">
        <v>2267</v>
      </c>
      <c r="AM435" s="185" t="s">
        <v>2269</v>
      </c>
      <c r="AN435" s="196"/>
      <c r="AO435" s="196"/>
      <c r="AP435" s="195"/>
      <c r="AQ435" s="194"/>
      <c r="AR435" s="193"/>
      <c r="AS435" s="192"/>
      <c r="AT435" s="192"/>
      <c r="AU435" s="192"/>
      <c r="AV435" s="192"/>
      <c r="AW435" s="191"/>
      <c r="AX435" s="190" t="s">
        <v>72</v>
      </c>
      <c r="AY435" s="184"/>
    </row>
    <row r="436" spans="2:51">
      <c r="B436" s="185">
        <v>2183</v>
      </c>
      <c r="C436" s="189">
        <v>219760</v>
      </c>
      <c r="D436" s="185" t="s">
        <v>989</v>
      </c>
      <c r="E436" s="185" t="s">
        <v>2003</v>
      </c>
      <c r="F436" s="185" t="s">
        <v>1214</v>
      </c>
      <c r="G436" s="185"/>
      <c r="H436" s="185"/>
      <c r="I436" s="188">
        <v>1</v>
      </c>
      <c r="J436" s="185" t="s">
        <v>1215</v>
      </c>
      <c r="K436" s="188">
        <v>2020</v>
      </c>
      <c r="L436" s="185" t="s">
        <v>1097</v>
      </c>
      <c r="M436" s="185" t="s">
        <v>1110</v>
      </c>
      <c r="N436" s="185" t="s">
        <v>2183</v>
      </c>
      <c r="O436" s="185" t="s">
        <v>2184</v>
      </c>
      <c r="P436" s="185" t="s">
        <v>2187</v>
      </c>
      <c r="Q436" s="185"/>
      <c r="R436" s="185"/>
      <c r="S436" s="186">
        <v>43738</v>
      </c>
      <c r="T436" s="186">
        <v>43738</v>
      </c>
      <c r="U436" s="185" t="s">
        <v>1216</v>
      </c>
      <c r="V436" s="185">
        <v>1000</v>
      </c>
      <c r="W436" s="185">
        <v>14040</v>
      </c>
      <c r="X436" s="187">
        <v>184752.88</v>
      </c>
      <c r="Y436" s="185">
        <v>14046</v>
      </c>
      <c r="Z436" s="187">
        <v>84678.42</v>
      </c>
      <c r="AA436" s="187">
        <v>0</v>
      </c>
      <c r="AB436" s="187">
        <v>100074.46</v>
      </c>
      <c r="AC436" s="187">
        <v>6158.44</v>
      </c>
      <c r="AD436" s="185">
        <v>51260</v>
      </c>
      <c r="AE436" s="187">
        <v>1539.61</v>
      </c>
      <c r="AF436" s="187">
        <v>0</v>
      </c>
      <c r="AG436" s="187">
        <v>1539.61</v>
      </c>
      <c r="AH436" s="185" t="s">
        <v>989</v>
      </c>
      <c r="AI436" s="185"/>
      <c r="AJ436" s="185">
        <v>3694</v>
      </c>
      <c r="AK436" s="185" t="s">
        <v>45</v>
      </c>
      <c r="AL436" s="185" t="s">
        <v>2267</v>
      </c>
      <c r="AM436" s="185" t="s">
        <v>2269</v>
      </c>
      <c r="AN436" s="196"/>
      <c r="AO436" s="196"/>
      <c r="AP436" s="195"/>
      <c r="AQ436" s="194"/>
      <c r="AR436" s="193"/>
      <c r="AS436" s="192"/>
      <c r="AT436" s="192"/>
      <c r="AU436" s="192"/>
      <c r="AV436" s="192"/>
      <c r="AW436" s="191"/>
      <c r="AX436" s="190" t="s">
        <v>72</v>
      </c>
      <c r="AY436" s="184"/>
    </row>
    <row r="437" spans="2:51">
      <c r="B437" s="185">
        <v>2183</v>
      </c>
      <c r="C437" s="189">
        <v>219600</v>
      </c>
      <c r="D437" s="185" t="s">
        <v>989</v>
      </c>
      <c r="E437" s="185" t="s">
        <v>2003</v>
      </c>
      <c r="F437" s="185" t="s">
        <v>824</v>
      </c>
      <c r="G437" s="185"/>
      <c r="H437" s="185"/>
      <c r="I437" s="188">
        <v>20</v>
      </c>
      <c r="J437" s="185"/>
      <c r="K437" s="188">
        <v>0</v>
      </c>
      <c r="L437" s="185" t="s">
        <v>1059</v>
      </c>
      <c r="M437" s="185"/>
      <c r="N437" s="185" t="s">
        <v>2190</v>
      </c>
      <c r="O437" s="185" t="s">
        <v>2184</v>
      </c>
      <c r="P437" s="185"/>
      <c r="Q437" s="185" t="s">
        <v>137</v>
      </c>
      <c r="R437" s="185" t="s">
        <v>2195</v>
      </c>
      <c r="S437" s="186">
        <v>43700</v>
      </c>
      <c r="T437" s="186">
        <v>43700</v>
      </c>
      <c r="U437" s="185" t="s">
        <v>1217</v>
      </c>
      <c r="V437" s="185">
        <v>1200</v>
      </c>
      <c r="W437" s="185">
        <v>14050</v>
      </c>
      <c r="X437" s="187">
        <v>19018.2</v>
      </c>
      <c r="Y437" s="185">
        <v>14056</v>
      </c>
      <c r="Z437" s="187">
        <v>7395.96</v>
      </c>
      <c r="AA437" s="187">
        <v>0</v>
      </c>
      <c r="AB437" s="187">
        <v>11622.240000000002</v>
      </c>
      <c r="AC437" s="187">
        <v>528.28</v>
      </c>
      <c r="AD437" s="185">
        <v>54260</v>
      </c>
      <c r="AE437" s="187">
        <v>132.07</v>
      </c>
      <c r="AF437" s="187">
        <v>0</v>
      </c>
      <c r="AG437" s="187">
        <v>132.07</v>
      </c>
      <c r="AH437" s="185" t="s">
        <v>989</v>
      </c>
      <c r="AI437" s="185"/>
      <c r="AJ437" s="185"/>
      <c r="AK437" s="185" t="s">
        <v>45</v>
      </c>
      <c r="AL437" s="185" t="s">
        <v>2267</v>
      </c>
      <c r="AM437" s="185" t="s">
        <v>2269</v>
      </c>
      <c r="AN437" s="196"/>
      <c r="AO437" s="196"/>
      <c r="AP437" s="195"/>
      <c r="AQ437" s="194"/>
      <c r="AR437" s="193"/>
      <c r="AS437" s="192"/>
      <c r="AT437" s="192"/>
      <c r="AU437" s="192"/>
      <c r="AV437" s="192"/>
      <c r="AW437" s="191"/>
      <c r="AX437" s="190" t="s">
        <v>72</v>
      </c>
      <c r="AY437" s="184"/>
    </row>
    <row r="438" spans="2:51">
      <c r="B438" s="185">
        <v>2183</v>
      </c>
      <c r="C438" s="189">
        <v>219599</v>
      </c>
      <c r="D438" s="185" t="s">
        <v>989</v>
      </c>
      <c r="E438" s="185" t="s">
        <v>2003</v>
      </c>
      <c r="F438" s="185" t="s">
        <v>755</v>
      </c>
      <c r="G438" s="185"/>
      <c r="H438" s="185"/>
      <c r="I438" s="188">
        <v>20</v>
      </c>
      <c r="J438" s="185"/>
      <c r="K438" s="188">
        <v>0</v>
      </c>
      <c r="L438" s="185" t="s">
        <v>1059</v>
      </c>
      <c r="M438" s="185"/>
      <c r="N438" s="185" t="s">
        <v>2190</v>
      </c>
      <c r="O438" s="185" t="s">
        <v>2184</v>
      </c>
      <c r="P438" s="185"/>
      <c r="Q438" s="185" t="s">
        <v>2208</v>
      </c>
      <c r="R438" s="185" t="s">
        <v>2195</v>
      </c>
      <c r="S438" s="186">
        <v>43700</v>
      </c>
      <c r="T438" s="186">
        <v>43700</v>
      </c>
      <c r="U438" s="185" t="s">
        <v>1217</v>
      </c>
      <c r="V438" s="185">
        <v>1200</v>
      </c>
      <c r="W438" s="185">
        <v>14050</v>
      </c>
      <c r="X438" s="187">
        <v>13334.6</v>
      </c>
      <c r="Y438" s="185">
        <v>14056</v>
      </c>
      <c r="Z438" s="187">
        <v>5185.6899999999996</v>
      </c>
      <c r="AA438" s="187">
        <v>0</v>
      </c>
      <c r="AB438" s="187">
        <v>8148.9100000000008</v>
      </c>
      <c r="AC438" s="187">
        <v>370.4</v>
      </c>
      <c r="AD438" s="185">
        <v>54260</v>
      </c>
      <c r="AE438" s="187">
        <v>92.6</v>
      </c>
      <c r="AF438" s="187">
        <v>0</v>
      </c>
      <c r="AG438" s="187">
        <v>92.6</v>
      </c>
      <c r="AH438" s="185" t="s">
        <v>989</v>
      </c>
      <c r="AI438" s="185"/>
      <c r="AJ438" s="185"/>
      <c r="AK438" s="185" t="s">
        <v>45</v>
      </c>
      <c r="AL438" s="185" t="s">
        <v>2267</v>
      </c>
      <c r="AM438" s="185" t="s">
        <v>2269</v>
      </c>
      <c r="AN438" s="196"/>
      <c r="AO438" s="196"/>
      <c r="AP438" s="195"/>
      <c r="AQ438" s="194"/>
      <c r="AR438" s="193"/>
      <c r="AS438" s="192"/>
      <c r="AT438" s="192"/>
      <c r="AU438" s="192"/>
      <c r="AV438" s="192"/>
      <c r="AW438" s="191"/>
      <c r="AX438" s="190" t="s">
        <v>72</v>
      </c>
      <c r="AY438" s="184"/>
    </row>
    <row r="439" spans="2:51">
      <c r="B439" s="185">
        <v>2183</v>
      </c>
      <c r="C439" s="189">
        <v>219336</v>
      </c>
      <c r="D439" s="185" t="s">
        <v>989</v>
      </c>
      <c r="E439" s="185" t="s">
        <v>2003</v>
      </c>
      <c r="F439" s="185" t="s">
        <v>1218</v>
      </c>
      <c r="G439" s="185"/>
      <c r="H439" s="185"/>
      <c r="I439" s="188">
        <v>1</v>
      </c>
      <c r="J439" s="185" t="s">
        <v>1219</v>
      </c>
      <c r="K439" s="188">
        <v>2019</v>
      </c>
      <c r="L439" s="185" t="s">
        <v>1139</v>
      </c>
      <c r="M439" s="185"/>
      <c r="N439" s="185" t="s">
        <v>2183</v>
      </c>
      <c r="O439" s="185" t="s">
        <v>2184</v>
      </c>
      <c r="P439" s="185" t="s">
        <v>2185</v>
      </c>
      <c r="Q439" s="185"/>
      <c r="R439" s="185"/>
      <c r="S439" s="186">
        <v>43712</v>
      </c>
      <c r="T439" s="186">
        <v>43712</v>
      </c>
      <c r="U439" s="185" t="s">
        <v>1091</v>
      </c>
      <c r="V439" s="185">
        <v>500</v>
      </c>
      <c r="W439" s="185">
        <v>14040</v>
      </c>
      <c r="X439" s="187">
        <v>24177.57</v>
      </c>
      <c r="Y439" s="185">
        <v>14046</v>
      </c>
      <c r="Z439" s="187">
        <v>22565.72</v>
      </c>
      <c r="AA439" s="187">
        <v>0</v>
      </c>
      <c r="AB439" s="187">
        <v>1611.8499999999985</v>
      </c>
      <c r="AC439" s="187">
        <v>1611.84</v>
      </c>
      <c r="AD439" s="185">
        <v>51260</v>
      </c>
      <c r="AE439" s="187">
        <v>402.96</v>
      </c>
      <c r="AF439" s="187">
        <v>0</v>
      </c>
      <c r="AG439" s="187">
        <v>402.96</v>
      </c>
      <c r="AH439" s="185" t="s">
        <v>989</v>
      </c>
      <c r="AI439" s="185"/>
      <c r="AJ439" s="185">
        <v>6060</v>
      </c>
      <c r="AK439" s="185" t="s">
        <v>45</v>
      </c>
      <c r="AL439" s="185" t="s">
        <v>2267</v>
      </c>
      <c r="AM439" s="185" t="s">
        <v>2269</v>
      </c>
      <c r="AN439" s="196"/>
      <c r="AO439" s="196"/>
      <c r="AP439" s="195"/>
      <c r="AQ439" s="194"/>
      <c r="AR439" s="193"/>
      <c r="AS439" s="192"/>
      <c r="AT439" s="192"/>
      <c r="AU439" s="192"/>
      <c r="AV439" s="192"/>
      <c r="AW439" s="191"/>
      <c r="AX439" s="190" t="s">
        <v>72</v>
      </c>
      <c r="AY439" s="184"/>
    </row>
    <row r="440" spans="2:51">
      <c r="B440" s="185">
        <v>2183</v>
      </c>
      <c r="C440" s="189">
        <v>218957</v>
      </c>
      <c r="D440" s="185" t="s">
        <v>989</v>
      </c>
      <c r="E440" s="185" t="s">
        <v>2003</v>
      </c>
      <c r="F440" s="185" t="s">
        <v>821</v>
      </c>
      <c r="G440" s="185"/>
      <c r="H440" s="185"/>
      <c r="I440" s="188">
        <v>4</v>
      </c>
      <c r="J440" s="185"/>
      <c r="K440" s="188">
        <v>0</v>
      </c>
      <c r="L440" s="185" t="s">
        <v>1059</v>
      </c>
      <c r="M440" s="185"/>
      <c r="N440" s="185" t="s">
        <v>2190</v>
      </c>
      <c r="O440" s="185" t="s">
        <v>2184</v>
      </c>
      <c r="P440" s="185"/>
      <c r="Q440" s="185" t="s">
        <v>2208</v>
      </c>
      <c r="R440" s="185" t="s">
        <v>2195</v>
      </c>
      <c r="S440" s="186">
        <v>43677</v>
      </c>
      <c r="T440" s="186">
        <v>43677</v>
      </c>
      <c r="U440" s="185" t="s">
        <v>1217</v>
      </c>
      <c r="V440" s="185">
        <v>1200</v>
      </c>
      <c r="W440" s="185">
        <v>14050</v>
      </c>
      <c r="X440" s="187">
        <v>2601.34</v>
      </c>
      <c r="Y440" s="185">
        <v>14056</v>
      </c>
      <c r="Z440" s="187">
        <v>1029.69</v>
      </c>
      <c r="AA440" s="187">
        <v>0</v>
      </c>
      <c r="AB440" s="187">
        <v>1571.65</v>
      </c>
      <c r="AC440" s="187">
        <v>72.239999999999995</v>
      </c>
      <c r="AD440" s="185">
        <v>54260</v>
      </c>
      <c r="AE440" s="187">
        <v>18.059999999999999</v>
      </c>
      <c r="AF440" s="187">
        <v>0</v>
      </c>
      <c r="AG440" s="187">
        <v>18.059999999999999</v>
      </c>
      <c r="AH440" s="185" t="s">
        <v>989</v>
      </c>
      <c r="AI440" s="185"/>
      <c r="AJ440" s="185"/>
      <c r="AK440" s="185" t="s">
        <v>45</v>
      </c>
      <c r="AL440" s="185" t="s">
        <v>2267</v>
      </c>
      <c r="AM440" s="185" t="s">
        <v>2269</v>
      </c>
      <c r="AN440" s="196"/>
      <c r="AO440" s="196"/>
      <c r="AP440" s="195"/>
      <c r="AQ440" s="194"/>
      <c r="AR440" s="193"/>
      <c r="AS440" s="192"/>
      <c r="AT440" s="192"/>
      <c r="AU440" s="192"/>
      <c r="AV440" s="192"/>
      <c r="AW440" s="191"/>
      <c r="AX440" s="190" t="s">
        <v>72</v>
      </c>
      <c r="AY440" s="184"/>
    </row>
    <row r="441" spans="2:51">
      <c r="B441" s="185">
        <v>2183</v>
      </c>
      <c r="C441" s="189">
        <v>218956</v>
      </c>
      <c r="D441" s="185" t="s">
        <v>989</v>
      </c>
      <c r="E441" s="185" t="s">
        <v>2003</v>
      </c>
      <c r="F441" s="185" t="s">
        <v>822</v>
      </c>
      <c r="G441" s="185"/>
      <c r="H441" s="185"/>
      <c r="I441" s="188">
        <v>10</v>
      </c>
      <c r="J441" s="185"/>
      <c r="K441" s="188">
        <v>0</v>
      </c>
      <c r="L441" s="185" t="s">
        <v>1059</v>
      </c>
      <c r="M441" s="185"/>
      <c r="N441" s="185" t="s">
        <v>2190</v>
      </c>
      <c r="O441" s="185" t="s">
        <v>2184</v>
      </c>
      <c r="P441" s="185"/>
      <c r="Q441" s="185" t="s">
        <v>137</v>
      </c>
      <c r="R441" s="185" t="s">
        <v>2195</v>
      </c>
      <c r="S441" s="186">
        <v>43700</v>
      </c>
      <c r="T441" s="186">
        <v>43700</v>
      </c>
      <c r="U441" s="185" t="s">
        <v>1217</v>
      </c>
      <c r="V441" s="185">
        <v>1200</v>
      </c>
      <c r="W441" s="185">
        <v>14050</v>
      </c>
      <c r="X441" s="187">
        <v>9290.5</v>
      </c>
      <c r="Y441" s="185">
        <v>14056</v>
      </c>
      <c r="Z441" s="187">
        <v>3612.99</v>
      </c>
      <c r="AA441" s="187">
        <v>0</v>
      </c>
      <c r="AB441" s="187">
        <v>5677.51</v>
      </c>
      <c r="AC441" s="187">
        <v>258.08</v>
      </c>
      <c r="AD441" s="185">
        <v>54260</v>
      </c>
      <c r="AE441" s="187">
        <v>64.52</v>
      </c>
      <c r="AF441" s="187">
        <v>0</v>
      </c>
      <c r="AG441" s="187">
        <v>64.52</v>
      </c>
      <c r="AH441" s="185" t="s">
        <v>989</v>
      </c>
      <c r="AI441" s="185"/>
      <c r="AJ441" s="185"/>
      <c r="AK441" s="185" t="s">
        <v>45</v>
      </c>
      <c r="AL441" s="185" t="s">
        <v>2267</v>
      </c>
      <c r="AM441" s="185" t="s">
        <v>2269</v>
      </c>
      <c r="AN441" s="196"/>
      <c r="AO441" s="196"/>
      <c r="AP441" s="195"/>
      <c r="AQ441" s="194"/>
      <c r="AR441" s="193"/>
      <c r="AS441" s="192"/>
      <c r="AT441" s="192"/>
      <c r="AU441" s="192"/>
      <c r="AV441" s="192"/>
      <c r="AW441" s="191"/>
      <c r="AX441" s="190" t="s">
        <v>72</v>
      </c>
      <c r="AY441" s="184"/>
    </row>
    <row r="442" spans="2:51">
      <c r="B442" s="185">
        <v>2183</v>
      </c>
      <c r="C442" s="189">
        <v>218955</v>
      </c>
      <c r="D442" s="185" t="s">
        <v>989</v>
      </c>
      <c r="E442" s="185" t="s">
        <v>2003</v>
      </c>
      <c r="F442" s="185" t="s">
        <v>823</v>
      </c>
      <c r="G442" s="185"/>
      <c r="H442" s="185"/>
      <c r="I442" s="188">
        <v>15</v>
      </c>
      <c r="J442" s="185"/>
      <c r="K442" s="188">
        <v>0</v>
      </c>
      <c r="L442" s="185" t="s">
        <v>1059</v>
      </c>
      <c r="M442" s="185"/>
      <c r="N442" s="185" t="s">
        <v>2190</v>
      </c>
      <c r="O442" s="185" t="s">
        <v>2184</v>
      </c>
      <c r="P442" s="185"/>
      <c r="Q442" s="185" t="s">
        <v>2194</v>
      </c>
      <c r="R442" s="185" t="s">
        <v>2195</v>
      </c>
      <c r="S442" s="186">
        <v>43677</v>
      </c>
      <c r="T442" s="186">
        <v>43677</v>
      </c>
      <c r="U442" s="185" t="s">
        <v>1217</v>
      </c>
      <c r="V442" s="185">
        <v>1200</v>
      </c>
      <c r="W442" s="185">
        <v>14050</v>
      </c>
      <c r="X442" s="187">
        <v>14673.54</v>
      </c>
      <c r="Y442" s="185">
        <v>14056</v>
      </c>
      <c r="Z442" s="187">
        <v>5808.3</v>
      </c>
      <c r="AA442" s="187">
        <v>0</v>
      </c>
      <c r="AB442" s="187">
        <v>8865.2400000000016</v>
      </c>
      <c r="AC442" s="187">
        <v>407.6</v>
      </c>
      <c r="AD442" s="185">
        <v>54260</v>
      </c>
      <c r="AE442" s="187">
        <v>101.9</v>
      </c>
      <c r="AF442" s="187">
        <v>0</v>
      </c>
      <c r="AG442" s="187">
        <v>101.9</v>
      </c>
      <c r="AH442" s="185" t="s">
        <v>989</v>
      </c>
      <c r="AI442" s="185"/>
      <c r="AJ442" s="185"/>
      <c r="AK442" s="185" t="s">
        <v>45</v>
      </c>
      <c r="AL442" s="185" t="s">
        <v>2267</v>
      </c>
      <c r="AM442" s="185" t="s">
        <v>2269</v>
      </c>
      <c r="AN442" s="196"/>
      <c r="AO442" s="196"/>
      <c r="AP442" s="195"/>
      <c r="AQ442" s="194"/>
      <c r="AR442" s="193"/>
      <c r="AS442" s="192"/>
      <c r="AT442" s="192"/>
      <c r="AU442" s="192"/>
      <c r="AV442" s="192"/>
      <c r="AW442" s="191"/>
      <c r="AX442" s="190" t="s">
        <v>72</v>
      </c>
      <c r="AY442" s="184"/>
    </row>
    <row r="443" spans="2:51">
      <c r="B443" s="185">
        <v>2183</v>
      </c>
      <c r="C443" s="189">
        <v>218238</v>
      </c>
      <c r="D443" s="185" t="s">
        <v>989</v>
      </c>
      <c r="E443" s="185" t="s">
        <v>2003</v>
      </c>
      <c r="F443" s="185" t="s">
        <v>829</v>
      </c>
      <c r="G443" s="185"/>
      <c r="H443" s="185"/>
      <c r="I443" s="188">
        <v>1</v>
      </c>
      <c r="J443" s="185" t="s">
        <v>1220</v>
      </c>
      <c r="K443" s="188">
        <v>2019</v>
      </c>
      <c r="L443" s="185" t="s">
        <v>1097</v>
      </c>
      <c r="M443" s="185" t="s">
        <v>1110</v>
      </c>
      <c r="N443" s="185" t="s">
        <v>2183</v>
      </c>
      <c r="O443" s="185" t="s">
        <v>2184</v>
      </c>
      <c r="P443" s="185" t="s">
        <v>2187</v>
      </c>
      <c r="Q443" s="185"/>
      <c r="R443" s="185"/>
      <c r="S443" s="186">
        <v>43620</v>
      </c>
      <c r="T443" s="186">
        <v>43620</v>
      </c>
      <c r="U443" s="185" t="s">
        <v>1172</v>
      </c>
      <c r="V443" s="185">
        <v>1000</v>
      </c>
      <c r="W443" s="185">
        <v>14040</v>
      </c>
      <c r="X443" s="187">
        <v>362237.01</v>
      </c>
      <c r="Y443" s="185">
        <v>14046</v>
      </c>
      <c r="Z443" s="187">
        <v>178099.85</v>
      </c>
      <c r="AA443" s="187">
        <v>0</v>
      </c>
      <c r="AB443" s="187">
        <v>184137.16</v>
      </c>
      <c r="AC443" s="187">
        <v>12074.56</v>
      </c>
      <c r="AD443" s="185">
        <v>51260</v>
      </c>
      <c r="AE443" s="187">
        <v>3018.64</v>
      </c>
      <c r="AF443" s="187">
        <v>0</v>
      </c>
      <c r="AG443" s="187">
        <v>3018.64</v>
      </c>
      <c r="AH443" s="185" t="s">
        <v>989</v>
      </c>
      <c r="AI443" s="185"/>
      <c r="AJ443" s="185">
        <v>3689</v>
      </c>
      <c r="AK443" s="185" t="s">
        <v>45</v>
      </c>
      <c r="AL443" s="185" t="s">
        <v>2267</v>
      </c>
      <c r="AM443" s="185" t="s">
        <v>2269</v>
      </c>
      <c r="AN443" s="196"/>
      <c r="AO443" s="196"/>
      <c r="AP443" s="195"/>
      <c r="AQ443" s="194"/>
      <c r="AR443" s="193"/>
      <c r="AS443" s="192"/>
      <c r="AT443" s="192"/>
      <c r="AU443" s="192"/>
      <c r="AV443" s="192"/>
      <c r="AW443" s="191"/>
      <c r="AX443" s="190" t="s">
        <v>72</v>
      </c>
      <c r="AY443" s="184"/>
    </row>
    <row r="444" spans="2:51">
      <c r="B444" s="185">
        <v>2183</v>
      </c>
      <c r="C444" s="189">
        <v>218237</v>
      </c>
      <c r="D444" s="185" t="s">
        <v>989</v>
      </c>
      <c r="E444" s="185" t="s">
        <v>2003</v>
      </c>
      <c r="F444" s="185" t="s">
        <v>829</v>
      </c>
      <c r="G444" s="185"/>
      <c r="H444" s="185"/>
      <c r="I444" s="188">
        <v>1</v>
      </c>
      <c r="J444" s="185" t="s">
        <v>1221</v>
      </c>
      <c r="K444" s="188">
        <v>2019</v>
      </c>
      <c r="L444" s="185" t="s">
        <v>1097</v>
      </c>
      <c r="M444" s="185" t="s">
        <v>1110</v>
      </c>
      <c r="N444" s="185" t="s">
        <v>2183</v>
      </c>
      <c r="O444" s="185" t="s">
        <v>2184</v>
      </c>
      <c r="P444" s="185" t="s">
        <v>2187</v>
      </c>
      <c r="Q444" s="185"/>
      <c r="R444" s="185"/>
      <c r="S444" s="186">
        <v>43630</v>
      </c>
      <c r="T444" s="186">
        <v>43630</v>
      </c>
      <c r="U444" s="185" t="s">
        <v>1208</v>
      </c>
      <c r="V444" s="185">
        <v>1000</v>
      </c>
      <c r="W444" s="185">
        <v>14040</v>
      </c>
      <c r="X444" s="187">
        <v>361280.63</v>
      </c>
      <c r="Y444" s="185">
        <v>14046</v>
      </c>
      <c r="Z444" s="187">
        <v>177629.62</v>
      </c>
      <c r="AA444" s="187">
        <v>0</v>
      </c>
      <c r="AB444" s="187">
        <v>183651.01</v>
      </c>
      <c r="AC444" s="187">
        <v>12042.68</v>
      </c>
      <c r="AD444" s="185">
        <v>51260</v>
      </c>
      <c r="AE444" s="187">
        <v>3010.67</v>
      </c>
      <c r="AF444" s="187">
        <v>0</v>
      </c>
      <c r="AG444" s="187">
        <v>3010.67</v>
      </c>
      <c r="AH444" s="185" t="s">
        <v>989</v>
      </c>
      <c r="AI444" s="185"/>
      <c r="AJ444" s="185">
        <v>3690</v>
      </c>
      <c r="AK444" s="185" t="s">
        <v>45</v>
      </c>
      <c r="AL444" s="185" t="s">
        <v>2267</v>
      </c>
      <c r="AM444" s="185" t="s">
        <v>2269</v>
      </c>
      <c r="AN444" s="196"/>
      <c r="AO444" s="196"/>
      <c r="AP444" s="195"/>
      <c r="AQ444" s="194"/>
      <c r="AR444" s="193"/>
      <c r="AS444" s="192"/>
      <c r="AT444" s="192"/>
      <c r="AU444" s="192"/>
      <c r="AV444" s="192"/>
      <c r="AW444" s="191"/>
      <c r="AX444" s="190" t="s">
        <v>72</v>
      </c>
      <c r="AY444" s="184"/>
    </row>
    <row r="445" spans="2:51">
      <c r="B445" s="185">
        <v>2183</v>
      </c>
      <c r="C445" s="189">
        <v>218186</v>
      </c>
      <c r="D445" s="185" t="s">
        <v>989</v>
      </c>
      <c r="E445" s="185" t="s">
        <v>2003</v>
      </c>
      <c r="F445" s="185" t="s">
        <v>821</v>
      </c>
      <c r="G445" s="185"/>
      <c r="H445" s="185"/>
      <c r="I445" s="188">
        <v>16</v>
      </c>
      <c r="J445" s="185"/>
      <c r="K445" s="188">
        <v>0</v>
      </c>
      <c r="L445" s="185" t="s">
        <v>1059</v>
      </c>
      <c r="M445" s="185"/>
      <c r="N445" s="185" t="s">
        <v>2190</v>
      </c>
      <c r="O445" s="185" t="s">
        <v>2184</v>
      </c>
      <c r="P445" s="185"/>
      <c r="Q445" s="185" t="s">
        <v>2208</v>
      </c>
      <c r="R445" s="185" t="s">
        <v>2195</v>
      </c>
      <c r="S445" s="186">
        <v>43677</v>
      </c>
      <c r="T445" s="186">
        <v>43677</v>
      </c>
      <c r="U445" s="185" t="s">
        <v>1217</v>
      </c>
      <c r="V445" s="185">
        <v>1200</v>
      </c>
      <c r="W445" s="185">
        <v>14050</v>
      </c>
      <c r="X445" s="187">
        <v>10405.36</v>
      </c>
      <c r="Y445" s="185">
        <v>14056</v>
      </c>
      <c r="Z445" s="187">
        <v>4118.78</v>
      </c>
      <c r="AA445" s="187">
        <v>0</v>
      </c>
      <c r="AB445" s="187">
        <v>6286.5800000000008</v>
      </c>
      <c r="AC445" s="187">
        <v>289.04000000000002</v>
      </c>
      <c r="AD445" s="185">
        <v>54260</v>
      </c>
      <c r="AE445" s="187">
        <v>72.260000000000005</v>
      </c>
      <c r="AF445" s="187">
        <v>0</v>
      </c>
      <c r="AG445" s="187">
        <v>72.260000000000005</v>
      </c>
      <c r="AH445" s="185" t="s">
        <v>989</v>
      </c>
      <c r="AI445" s="185"/>
      <c r="AJ445" s="185"/>
      <c r="AK445" s="185" t="s">
        <v>45</v>
      </c>
      <c r="AL445" s="185" t="s">
        <v>2267</v>
      </c>
      <c r="AM445" s="185" t="s">
        <v>2269</v>
      </c>
      <c r="AN445" s="196"/>
      <c r="AO445" s="196"/>
      <c r="AP445" s="195"/>
      <c r="AQ445" s="194"/>
      <c r="AR445" s="193"/>
      <c r="AS445" s="192"/>
      <c r="AT445" s="192"/>
      <c r="AU445" s="192"/>
      <c r="AV445" s="192"/>
      <c r="AW445" s="191"/>
      <c r="AX445" s="190" t="s">
        <v>72</v>
      </c>
      <c r="AY445" s="184"/>
    </row>
    <row r="446" spans="2:51">
      <c r="B446" s="185">
        <v>2183</v>
      </c>
      <c r="C446" s="189">
        <v>217913</v>
      </c>
      <c r="D446" s="185" t="s">
        <v>989</v>
      </c>
      <c r="E446" s="185" t="s">
        <v>2003</v>
      </c>
      <c r="F446" s="185" t="s">
        <v>798</v>
      </c>
      <c r="G446" s="185"/>
      <c r="H446" s="185"/>
      <c r="I446" s="188">
        <v>1</v>
      </c>
      <c r="J446" s="185"/>
      <c r="K446" s="188">
        <v>0</v>
      </c>
      <c r="L446" s="185" t="s">
        <v>1222</v>
      </c>
      <c r="M446" s="185"/>
      <c r="N446" s="185" t="s">
        <v>2199</v>
      </c>
      <c r="O446" s="185" t="s">
        <v>2184</v>
      </c>
      <c r="P446" s="185"/>
      <c r="Q446" s="185"/>
      <c r="R446" s="185"/>
      <c r="S446" s="186">
        <v>43496</v>
      </c>
      <c r="T446" s="186">
        <v>43496</v>
      </c>
      <c r="U446" s="185" t="s">
        <v>1223</v>
      </c>
      <c r="V446" s="185">
        <v>300</v>
      </c>
      <c r="W446" s="185">
        <v>14110</v>
      </c>
      <c r="X446" s="187">
        <v>983.7</v>
      </c>
      <c r="Y446" s="185">
        <v>14116</v>
      </c>
      <c r="Z446" s="187">
        <v>983.7</v>
      </c>
      <c r="AA446" s="187">
        <v>0</v>
      </c>
      <c r="AB446" s="187">
        <v>0</v>
      </c>
      <c r="AC446" s="187">
        <v>0</v>
      </c>
      <c r="AD446" s="185">
        <v>70260</v>
      </c>
      <c r="AE446" s="187">
        <v>0</v>
      </c>
      <c r="AF446" s="187">
        <v>0</v>
      </c>
      <c r="AG446" s="187">
        <v>0</v>
      </c>
      <c r="AH446" s="185" t="s">
        <v>989</v>
      </c>
      <c r="AI446" s="185"/>
      <c r="AJ446" s="185"/>
      <c r="AK446" s="185" t="s">
        <v>45</v>
      </c>
      <c r="AL446" s="185" t="s">
        <v>2267</v>
      </c>
      <c r="AM446" s="185" t="s">
        <v>2269</v>
      </c>
      <c r="AN446" s="196"/>
      <c r="AO446" s="196"/>
      <c r="AP446" s="195"/>
      <c r="AQ446" s="194"/>
      <c r="AR446" s="193"/>
      <c r="AS446" s="192"/>
      <c r="AT446" s="192"/>
      <c r="AU446" s="192"/>
      <c r="AV446" s="192"/>
      <c r="AW446" s="191"/>
      <c r="AX446" s="190" t="s">
        <v>72</v>
      </c>
      <c r="AY446" s="184"/>
    </row>
    <row r="447" spans="2:51">
      <c r="B447" s="185">
        <v>2183</v>
      </c>
      <c r="C447" s="189">
        <v>217873</v>
      </c>
      <c r="D447" s="185" t="s">
        <v>989</v>
      </c>
      <c r="E447" s="185" t="s">
        <v>2003</v>
      </c>
      <c r="F447" s="185" t="s">
        <v>1224</v>
      </c>
      <c r="G447" s="185"/>
      <c r="H447" s="185"/>
      <c r="I447" s="188">
        <v>6</v>
      </c>
      <c r="J447" s="185"/>
      <c r="K447" s="188">
        <v>0</v>
      </c>
      <c r="L447" s="185" t="s">
        <v>1149</v>
      </c>
      <c r="M447" s="185"/>
      <c r="N447" s="185" t="s">
        <v>2190</v>
      </c>
      <c r="O447" s="185" t="s">
        <v>2184</v>
      </c>
      <c r="P447" s="185"/>
      <c r="Q447" s="185" t="s">
        <v>2193</v>
      </c>
      <c r="R447" s="185" t="s">
        <v>2192</v>
      </c>
      <c r="S447" s="186">
        <v>43630</v>
      </c>
      <c r="T447" s="186">
        <v>43630</v>
      </c>
      <c r="U447" s="185" t="s">
        <v>1150</v>
      </c>
      <c r="V447" s="185">
        <v>1200</v>
      </c>
      <c r="W447" s="185">
        <v>14050</v>
      </c>
      <c r="X447" s="187">
        <v>34135.760000000002</v>
      </c>
      <c r="Y447" s="185">
        <v>14056</v>
      </c>
      <c r="Z447" s="187">
        <v>13986.18</v>
      </c>
      <c r="AA447" s="187">
        <v>0</v>
      </c>
      <c r="AB447" s="187">
        <v>20149.580000000002</v>
      </c>
      <c r="AC447" s="187">
        <v>948.2</v>
      </c>
      <c r="AD447" s="185">
        <v>54260</v>
      </c>
      <c r="AE447" s="187">
        <v>237.05</v>
      </c>
      <c r="AF447" s="187">
        <v>0</v>
      </c>
      <c r="AG447" s="187">
        <v>237.05</v>
      </c>
      <c r="AH447" s="185" t="s">
        <v>989</v>
      </c>
      <c r="AI447" s="185"/>
      <c r="AJ447" s="185"/>
      <c r="AK447" s="185" t="s">
        <v>45</v>
      </c>
      <c r="AL447" s="185" t="s">
        <v>2267</v>
      </c>
      <c r="AM447" s="185" t="s">
        <v>2269</v>
      </c>
      <c r="AN447" s="196"/>
      <c r="AO447" s="196"/>
      <c r="AP447" s="195"/>
      <c r="AQ447" s="194"/>
      <c r="AR447" s="193"/>
      <c r="AS447" s="192"/>
      <c r="AT447" s="192"/>
      <c r="AU447" s="192"/>
      <c r="AV447" s="192"/>
      <c r="AW447" s="191"/>
      <c r="AX447" s="190" t="s">
        <v>72</v>
      </c>
      <c r="AY447" s="184"/>
    </row>
    <row r="448" spans="2:51">
      <c r="B448" s="185">
        <v>2183</v>
      </c>
      <c r="C448" s="189">
        <v>217348</v>
      </c>
      <c r="D448" s="185" t="s">
        <v>989</v>
      </c>
      <c r="E448" s="185" t="s">
        <v>2003</v>
      </c>
      <c r="F448" s="185" t="s">
        <v>1224</v>
      </c>
      <c r="G448" s="185"/>
      <c r="H448" s="185"/>
      <c r="I448" s="188">
        <v>6</v>
      </c>
      <c r="J448" s="185"/>
      <c r="K448" s="188">
        <v>0</v>
      </c>
      <c r="L448" s="185" t="s">
        <v>1149</v>
      </c>
      <c r="M448" s="185"/>
      <c r="N448" s="185" t="s">
        <v>2190</v>
      </c>
      <c r="O448" s="185" t="s">
        <v>2184</v>
      </c>
      <c r="P448" s="185"/>
      <c r="Q448" s="185" t="s">
        <v>2193</v>
      </c>
      <c r="R448" s="185" t="s">
        <v>2192</v>
      </c>
      <c r="S448" s="186">
        <v>43630</v>
      </c>
      <c r="T448" s="186">
        <v>43630</v>
      </c>
      <c r="U448" s="185" t="s">
        <v>1150</v>
      </c>
      <c r="V448" s="185">
        <v>1200</v>
      </c>
      <c r="W448" s="185">
        <v>14050</v>
      </c>
      <c r="X448" s="187">
        <v>33955.480000000003</v>
      </c>
      <c r="Y448" s="185">
        <v>14056</v>
      </c>
      <c r="Z448" s="187">
        <v>13912.29</v>
      </c>
      <c r="AA448" s="187">
        <v>0</v>
      </c>
      <c r="AB448" s="187">
        <v>20043.190000000002</v>
      </c>
      <c r="AC448" s="187">
        <v>943.2</v>
      </c>
      <c r="AD448" s="185">
        <v>54260</v>
      </c>
      <c r="AE448" s="187">
        <v>235.8</v>
      </c>
      <c r="AF448" s="187">
        <v>0</v>
      </c>
      <c r="AG448" s="187">
        <v>235.8</v>
      </c>
      <c r="AH448" s="185" t="s">
        <v>989</v>
      </c>
      <c r="AI448" s="185"/>
      <c r="AJ448" s="185"/>
      <c r="AK448" s="185" t="s">
        <v>45</v>
      </c>
      <c r="AL448" s="185" t="s">
        <v>2267</v>
      </c>
      <c r="AM448" s="185" t="s">
        <v>2269</v>
      </c>
      <c r="AN448" s="196"/>
      <c r="AO448" s="196"/>
      <c r="AP448" s="195"/>
      <c r="AQ448" s="194"/>
      <c r="AR448" s="193"/>
      <c r="AS448" s="192"/>
      <c r="AT448" s="192"/>
      <c r="AU448" s="192"/>
      <c r="AV448" s="192"/>
      <c r="AW448" s="191"/>
      <c r="AX448" s="190" t="s">
        <v>72</v>
      </c>
      <c r="AY448" s="184"/>
    </row>
    <row r="449" spans="2:51" hidden="1">
      <c r="B449" s="185">
        <v>2183</v>
      </c>
      <c r="C449" s="189">
        <v>216734</v>
      </c>
      <c r="D449" s="185">
        <v>210008</v>
      </c>
      <c r="E449" s="185" t="s">
        <v>2003</v>
      </c>
      <c r="F449" s="185" t="s">
        <v>1225</v>
      </c>
      <c r="G449" s="185"/>
      <c r="H449" s="185"/>
      <c r="I449" s="188">
        <v>1</v>
      </c>
      <c r="J449" s="185"/>
      <c r="K449" s="188">
        <v>0</v>
      </c>
      <c r="L449" s="185" t="s">
        <v>1226</v>
      </c>
      <c r="M449" s="185"/>
      <c r="N449" s="185" t="s">
        <v>2199</v>
      </c>
      <c r="O449" s="185" t="s">
        <v>2184</v>
      </c>
      <c r="P449" s="185"/>
      <c r="Q449" s="185"/>
      <c r="R449" s="185"/>
      <c r="S449" s="186">
        <v>43496</v>
      </c>
      <c r="T449" s="186">
        <v>43496</v>
      </c>
      <c r="U449" s="185" t="s">
        <v>1223</v>
      </c>
      <c r="V449" s="185">
        <v>300</v>
      </c>
      <c r="W449" s="185">
        <v>14110</v>
      </c>
      <c r="X449" s="187">
        <v>1311.6</v>
      </c>
      <c r="Y449" s="185">
        <v>14116</v>
      </c>
      <c r="Z449" s="187">
        <v>1311.6</v>
      </c>
      <c r="AA449" s="187">
        <v>0</v>
      </c>
      <c r="AB449" s="187">
        <v>0</v>
      </c>
      <c r="AC449" s="187">
        <v>0</v>
      </c>
      <c r="AD449" s="185">
        <v>70260</v>
      </c>
      <c r="AE449" s="187">
        <v>0</v>
      </c>
      <c r="AF449" s="187">
        <v>0</v>
      </c>
      <c r="AG449" s="187">
        <v>0</v>
      </c>
      <c r="AH449" s="185" t="s">
        <v>989</v>
      </c>
      <c r="AI449" s="185"/>
      <c r="AJ449" s="185"/>
      <c r="AK449" s="185" t="s">
        <v>45</v>
      </c>
      <c r="AL449" s="185" t="s">
        <v>2267</v>
      </c>
      <c r="AM449" s="185" t="s">
        <v>2269</v>
      </c>
      <c r="AN449" s="196"/>
      <c r="AO449" s="196"/>
      <c r="AP449" s="195"/>
      <c r="AQ449" s="194"/>
      <c r="AR449" s="193"/>
      <c r="AS449" s="192"/>
      <c r="AT449" s="192"/>
      <c r="AU449" s="192"/>
      <c r="AV449" s="192"/>
      <c r="AW449" s="191"/>
      <c r="AX449" s="190" t="s">
        <v>72</v>
      </c>
      <c r="AY449" s="184"/>
    </row>
    <row r="450" spans="2:51">
      <c r="B450" s="185">
        <v>2183</v>
      </c>
      <c r="C450" s="189">
        <v>216319</v>
      </c>
      <c r="D450" s="185" t="s">
        <v>989</v>
      </c>
      <c r="E450" s="185" t="s">
        <v>2003</v>
      </c>
      <c r="F450" s="185" t="s">
        <v>1148</v>
      </c>
      <c r="G450" s="185"/>
      <c r="H450" s="185"/>
      <c r="I450" s="188">
        <v>10</v>
      </c>
      <c r="J450" s="185"/>
      <c r="K450" s="188">
        <v>0</v>
      </c>
      <c r="L450" s="185" t="s">
        <v>1149</v>
      </c>
      <c r="M450" s="185"/>
      <c r="N450" s="185" t="s">
        <v>2190</v>
      </c>
      <c r="O450" s="185" t="s">
        <v>2184</v>
      </c>
      <c r="P450" s="185"/>
      <c r="Q450" s="185" t="s">
        <v>2191</v>
      </c>
      <c r="R450" s="185" t="s">
        <v>2192</v>
      </c>
      <c r="S450" s="186">
        <v>43630</v>
      </c>
      <c r="T450" s="186">
        <v>43630</v>
      </c>
      <c r="U450" s="185" t="s">
        <v>1150</v>
      </c>
      <c r="V450" s="185">
        <v>1200</v>
      </c>
      <c r="W450" s="185">
        <v>14050</v>
      </c>
      <c r="X450" s="187">
        <v>48393.96</v>
      </c>
      <c r="Y450" s="185">
        <v>14056</v>
      </c>
      <c r="Z450" s="187">
        <v>19828.09</v>
      </c>
      <c r="AA450" s="187">
        <v>0</v>
      </c>
      <c r="AB450" s="187">
        <v>28565.87</v>
      </c>
      <c r="AC450" s="187">
        <v>1344.28</v>
      </c>
      <c r="AD450" s="185">
        <v>54260</v>
      </c>
      <c r="AE450" s="187">
        <v>336.07</v>
      </c>
      <c r="AF450" s="187">
        <v>0</v>
      </c>
      <c r="AG450" s="187">
        <v>336.07</v>
      </c>
      <c r="AH450" s="185" t="s">
        <v>989</v>
      </c>
      <c r="AI450" s="185"/>
      <c r="AJ450" s="185"/>
      <c r="AK450" s="185" t="s">
        <v>45</v>
      </c>
      <c r="AL450" s="185" t="s">
        <v>2267</v>
      </c>
      <c r="AM450" s="185" t="s">
        <v>2269</v>
      </c>
      <c r="AN450" s="196"/>
      <c r="AO450" s="196"/>
      <c r="AP450" s="195"/>
      <c r="AQ450" s="194"/>
      <c r="AR450" s="193"/>
      <c r="AS450" s="192"/>
      <c r="AT450" s="192"/>
      <c r="AU450" s="192"/>
      <c r="AV450" s="192"/>
      <c r="AW450" s="191"/>
      <c r="AX450" s="190" t="s">
        <v>72</v>
      </c>
      <c r="AY450" s="184"/>
    </row>
    <row r="451" spans="2:51">
      <c r="B451" s="185">
        <v>2183</v>
      </c>
      <c r="C451" s="189">
        <v>215457</v>
      </c>
      <c r="D451" s="185" t="s">
        <v>989</v>
      </c>
      <c r="E451" s="185" t="s">
        <v>2003</v>
      </c>
      <c r="F451" s="185" t="s">
        <v>614</v>
      </c>
      <c r="G451" s="185"/>
      <c r="H451" s="185"/>
      <c r="I451" s="188">
        <v>624</v>
      </c>
      <c r="J451" s="185"/>
      <c r="K451" s="188">
        <v>0</v>
      </c>
      <c r="L451" s="185" t="s">
        <v>1129</v>
      </c>
      <c r="M451" s="185"/>
      <c r="N451" s="185" t="s">
        <v>2190</v>
      </c>
      <c r="O451" s="185" t="s">
        <v>2184</v>
      </c>
      <c r="P451" s="185"/>
      <c r="Q451" s="185"/>
      <c r="R451" s="185"/>
      <c r="S451" s="186">
        <v>43591</v>
      </c>
      <c r="T451" s="186">
        <v>43591</v>
      </c>
      <c r="U451" s="185" t="s">
        <v>1227</v>
      </c>
      <c r="V451" s="185">
        <v>700</v>
      </c>
      <c r="W451" s="185">
        <v>14050</v>
      </c>
      <c r="X451" s="187">
        <v>30295.87</v>
      </c>
      <c r="Y451" s="185">
        <v>14056</v>
      </c>
      <c r="Z451" s="187">
        <v>21639.919999999998</v>
      </c>
      <c r="AA451" s="187">
        <v>0</v>
      </c>
      <c r="AB451" s="187">
        <v>8655.9500000000007</v>
      </c>
      <c r="AC451" s="187">
        <v>1442.68</v>
      </c>
      <c r="AD451" s="185">
        <v>54260</v>
      </c>
      <c r="AE451" s="187">
        <v>360.67</v>
      </c>
      <c r="AF451" s="187">
        <v>0</v>
      </c>
      <c r="AG451" s="187">
        <v>360.67</v>
      </c>
      <c r="AH451" s="185" t="s">
        <v>989</v>
      </c>
      <c r="AI451" s="185"/>
      <c r="AJ451" s="185"/>
      <c r="AK451" s="185" t="s">
        <v>45</v>
      </c>
      <c r="AL451" s="185" t="s">
        <v>2267</v>
      </c>
      <c r="AM451" s="185" t="s">
        <v>2269</v>
      </c>
      <c r="AN451" s="196"/>
      <c r="AO451" s="196"/>
      <c r="AP451" s="195"/>
      <c r="AQ451" s="194"/>
      <c r="AR451" s="193"/>
      <c r="AS451" s="192"/>
      <c r="AT451" s="192"/>
      <c r="AU451" s="192"/>
      <c r="AV451" s="192"/>
      <c r="AW451" s="191"/>
      <c r="AX451" s="190" t="s">
        <v>72</v>
      </c>
      <c r="AY451" s="184"/>
    </row>
    <row r="452" spans="2:51">
      <c r="B452" s="185">
        <v>2183</v>
      </c>
      <c r="C452" s="189">
        <v>215136</v>
      </c>
      <c r="D452" s="185" t="s">
        <v>989</v>
      </c>
      <c r="E452" s="185" t="s">
        <v>2003</v>
      </c>
      <c r="F452" s="185" t="s">
        <v>614</v>
      </c>
      <c r="G452" s="185"/>
      <c r="H452" s="185"/>
      <c r="I452" s="188">
        <v>312</v>
      </c>
      <c r="J452" s="185"/>
      <c r="K452" s="188">
        <v>0</v>
      </c>
      <c r="L452" s="185" t="s">
        <v>1129</v>
      </c>
      <c r="M452" s="185"/>
      <c r="N452" s="185" t="s">
        <v>2190</v>
      </c>
      <c r="O452" s="185" t="s">
        <v>2184</v>
      </c>
      <c r="P452" s="185"/>
      <c r="Q452" s="185"/>
      <c r="R452" s="185"/>
      <c r="S452" s="186">
        <v>43591</v>
      </c>
      <c r="T452" s="186">
        <v>43591</v>
      </c>
      <c r="U452" s="185" t="s">
        <v>1227</v>
      </c>
      <c r="V452" s="185">
        <v>700</v>
      </c>
      <c r="W452" s="185">
        <v>14050</v>
      </c>
      <c r="X452" s="187">
        <v>15147.93</v>
      </c>
      <c r="Y452" s="185">
        <v>14056</v>
      </c>
      <c r="Z452" s="187">
        <v>10819.94</v>
      </c>
      <c r="AA452" s="187">
        <v>0</v>
      </c>
      <c r="AB452" s="187">
        <v>4327.99</v>
      </c>
      <c r="AC452" s="187">
        <v>721.32</v>
      </c>
      <c r="AD452" s="185">
        <v>54260</v>
      </c>
      <c r="AE452" s="187">
        <v>180.33</v>
      </c>
      <c r="AF452" s="187">
        <v>0</v>
      </c>
      <c r="AG452" s="187">
        <v>180.33</v>
      </c>
      <c r="AH452" s="185" t="s">
        <v>989</v>
      </c>
      <c r="AI452" s="185"/>
      <c r="AJ452" s="185"/>
      <c r="AK452" s="185" t="s">
        <v>45</v>
      </c>
      <c r="AL452" s="185" t="s">
        <v>2267</v>
      </c>
      <c r="AM452" s="185" t="s">
        <v>2269</v>
      </c>
      <c r="AN452" s="196"/>
      <c r="AO452" s="196"/>
      <c r="AP452" s="195"/>
      <c r="AQ452" s="194"/>
      <c r="AR452" s="193"/>
      <c r="AS452" s="192"/>
      <c r="AT452" s="192"/>
      <c r="AU452" s="192"/>
      <c r="AV452" s="192"/>
      <c r="AW452" s="191"/>
      <c r="AX452" s="190" t="s">
        <v>72</v>
      </c>
      <c r="AY452" s="184"/>
    </row>
    <row r="453" spans="2:51">
      <c r="B453" s="185">
        <v>2183</v>
      </c>
      <c r="C453" s="189">
        <v>215135</v>
      </c>
      <c r="D453" s="185" t="s">
        <v>989</v>
      </c>
      <c r="E453" s="185" t="s">
        <v>2003</v>
      </c>
      <c r="F453" s="185" t="s">
        <v>615</v>
      </c>
      <c r="G453" s="185"/>
      <c r="H453" s="185"/>
      <c r="I453" s="188">
        <v>472</v>
      </c>
      <c r="J453" s="185"/>
      <c r="K453" s="188">
        <v>0</v>
      </c>
      <c r="L453" s="185" t="s">
        <v>1129</v>
      </c>
      <c r="M453" s="185"/>
      <c r="N453" s="185" t="s">
        <v>2190</v>
      </c>
      <c r="O453" s="185" t="s">
        <v>2184</v>
      </c>
      <c r="P453" s="185"/>
      <c r="Q453" s="185"/>
      <c r="R453" s="185"/>
      <c r="S453" s="186">
        <v>43591</v>
      </c>
      <c r="T453" s="186">
        <v>43591</v>
      </c>
      <c r="U453" s="185" t="s">
        <v>1227</v>
      </c>
      <c r="V453" s="185">
        <v>700</v>
      </c>
      <c r="W453" s="185">
        <v>14050</v>
      </c>
      <c r="X453" s="187">
        <v>18015.09</v>
      </c>
      <c r="Y453" s="185">
        <v>14056</v>
      </c>
      <c r="Z453" s="187">
        <v>12867.96</v>
      </c>
      <c r="AA453" s="187">
        <v>0</v>
      </c>
      <c r="AB453" s="187">
        <v>5147.130000000001</v>
      </c>
      <c r="AC453" s="187">
        <v>857.88</v>
      </c>
      <c r="AD453" s="185">
        <v>54260</v>
      </c>
      <c r="AE453" s="187">
        <v>214.47</v>
      </c>
      <c r="AF453" s="187">
        <v>0</v>
      </c>
      <c r="AG453" s="187">
        <v>214.47</v>
      </c>
      <c r="AH453" s="185" t="s">
        <v>989</v>
      </c>
      <c r="AI453" s="185"/>
      <c r="AJ453" s="185"/>
      <c r="AK453" s="185" t="s">
        <v>45</v>
      </c>
      <c r="AL453" s="185" t="s">
        <v>2267</v>
      </c>
      <c r="AM453" s="185" t="s">
        <v>2269</v>
      </c>
      <c r="AN453" s="196"/>
      <c r="AO453" s="196"/>
      <c r="AP453" s="195"/>
      <c r="AQ453" s="194"/>
      <c r="AR453" s="193"/>
      <c r="AS453" s="192"/>
      <c r="AT453" s="192"/>
      <c r="AU453" s="192"/>
      <c r="AV453" s="192"/>
      <c r="AW453" s="191"/>
      <c r="AX453" s="190" t="s">
        <v>72</v>
      </c>
      <c r="AY453" s="184"/>
    </row>
    <row r="454" spans="2:51">
      <c r="B454" s="185">
        <v>2183</v>
      </c>
      <c r="C454" s="189">
        <v>215134</v>
      </c>
      <c r="D454" s="185" t="s">
        <v>989</v>
      </c>
      <c r="E454" s="185" t="s">
        <v>2003</v>
      </c>
      <c r="F454" s="185" t="s">
        <v>616</v>
      </c>
      <c r="G454" s="185"/>
      <c r="H454" s="185"/>
      <c r="I454" s="188">
        <v>624</v>
      </c>
      <c r="J454" s="185"/>
      <c r="K454" s="188">
        <v>0</v>
      </c>
      <c r="L454" s="185" t="s">
        <v>1129</v>
      </c>
      <c r="M454" s="185"/>
      <c r="N454" s="185" t="s">
        <v>2190</v>
      </c>
      <c r="O454" s="185" t="s">
        <v>2184</v>
      </c>
      <c r="P454" s="185"/>
      <c r="Q454" s="185"/>
      <c r="R454" s="185"/>
      <c r="S454" s="186">
        <v>43591</v>
      </c>
      <c r="T454" s="186">
        <v>43591</v>
      </c>
      <c r="U454" s="185" t="s">
        <v>1227</v>
      </c>
      <c r="V454" s="185">
        <v>700</v>
      </c>
      <c r="W454" s="185">
        <v>14050</v>
      </c>
      <c r="X454" s="187">
        <v>30295.86</v>
      </c>
      <c r="Y454" s="185">
        <v>14056</v>
      </c>
      <c r="Z454" s="187">
        <v>21639.919999999998</v>
      </c>
      <c r="AA454" s="187">
        <v>0</v>
      </c>
      <c r="AB454" s="187">
        <v>8655.9400000000023</v>
      </c>
      <c r="AC454" s="187">
        <v>1442.68</v>
      </c>
      <c r="AD454" s="185">
        <v>54260</v>
      </c>
      <c r="AE454" s="187">
        <v>360.67</v>
      </c>
      <c r="AF454" s="187">
        <v>0</v>
      </c>
      <c r="AG454" s="187">
        <v>360.67</v>
      </c>
      <c r="AH454" s="185" t="s">
        <v>989</v>
      </c>
      <c r="AI454" s="185"/>
      <c r="AJ454" s="185"/>
      <c r="AK454" s="185" t="s">
        <v>45</v>
      </c>
      <c r="AL454" s="185" t="s">
        <v>2267</v>
      </c>
      <c r="AM454" s="185" t="s">
        <v>2269</v>
      </c>
      <c r="AN454" s="196"/>
      <c r="AO454" s="196"/>
      <c r="AP454" s="195"/>
      <c r="AQ454" s="194"/>
      <c r="AR454" s="193"/>
      <c r="AS454" s="192"/>
      <c r="AT454" s="192"/>
      <c r="AU454" s="192"/>
      <c r="AV454" s="192"/>
      <c r="AW454" s="191"/>
      <c r="AX454" s="190" t="s">
        <v>72</v>
      </c>
      <c r="AY454" s="184"/>
    </row>
    <row r="455" spans="2:51">
      <c r="B455" s="185">
        <v>2183</v>
      </c>
      <c r="C455" s="189">
        <v>214065</v>
      </c>
      <c r="D455" s="185" t="s">
        <v>989</v>
      </c>
      <c r="E455" s="185" t="s">
        <v>2003</v>
      </c>
      <c r="F455" s="185" t="s">
        <v>1228</v>
      </c>
      <c r="G455" s="185"/>
      <c r="H455" s="185"/>
      <c r="I455" s="188">
        <v>1</v>
      </c>
      <c r="J455" s="185" t="s">
        <v>1229</v>
      </c>
      <c r="K455" s="188">
        <v>2019</v>
      </c>
      <c r="L455" s="185" t="s">
        <v>1097</v>
      </c>
      <c r="M455" s="185" t="s">
        <v>1120</v>
      </c>
      <c r="N455" s="185" t="s">
        <v>2183</v>
      </c>
      <c r="O455" s="185" t="s">
        <v>2184</v>
      </c>
      <c r="P455" s="185" t="s">
        <v>287</v>
      </c>
      <c r="Q455" s="185"/>
      <c r="R455" s="185"/>
      <c r="S455" s="186">
        <v>43616</v>
      </c>
      <c r="T455" s="186">
        <v>43616</v>
      </c>
      <c r="U455" s="185" t="s">
        <v>1230</v>
      </c>
      <c r="V455" s="185">
        <v>1000</v>
      </c>
      <c r="W455" s="185">
        <v>14040</v>
      </c>
      <c r="X455" s="187">
        <v>264453.88</v>
      </c>
      <c r="Y455" s="185">
        <v>14046</v>
      </c>
      <c r="Z455" s="187">
        <v>130023.15</v>
      </c>
      <c r="AA455" s="187">
        <v>0</v>
      </c>
      <c r="AB455" s="187">
        <v>134430.73000000001</v>
      </c>
      <c r="AC455" s="187">
        <v>8815.1200000000008</v>
      </c>
      <c r="AD455" s="185">
        <v>51260</v>
      </c>
      <c r="AE455" s="187">
        <v>2203.7800000000002</v>
      </c>
      <c r="AF455" s="187">
        <v>0</v>
      </c>
      <c r="AG455" s="187">
        <v>2203.7800000000002</v>
      </c>
      <c r="AH455" s="185" t="s">
        <v>989</v>
      </c>
      <c r="AI455" s="185"/>
      <c r="AJ455" s="185">
        <v>4083</v>
      </c>
      <c r="AK455" s="185" t="s">
        <v>45</v>
      </c>
      <c r="AL455" s="185" t="s">
        <v>2267</v>
      </c>
      <c r="AM455" s="185" t="s">
        <v>2269</v>
      </c>
      <c r="AN455" s="196"/>
      <c r="AO455" s="196"/>
      <c r="AP455" s="195"/>
      <c r="AQ455" s="194"/>
      <c r="AR455" s="193"/>
      <c r="AS455" s="192"/>
      <c r="AT455" s="192"/>
      <c r="AU455" s="192"/>
      <c r="AV455" s="192"/>
      <c r="AW455" s="191"/>
      <c r="AX455" s="190" t="s">
        <v>72</v>
      </c>
      <c r="AY455" s="184"/>
    </row>
    <row r="456" spans="2:51">
      <c r="B456" s="185">
        <v>2183</v>
      </c>
      <c r="C456" s="189">
        <v>214016</v>
      </c>
      <c r="D456" s="185" t="s">
        <v>989</v>
      </c>
      <c r="E456" s="185" t="s">
        <v>2003</v>
      </c>
      <c r="F456" s="185" t="s">
        <v>800</v>
      </c>
      <c r="G456" s="185"/>
      <c r="H456" s="185"/>
      <c r="I456" s="188">
        <v>624</v>
      </c>
      <c r="J456" s="185"/>
      <c r="K456" s="188">
        <v>0</v>
      </c>
      <c r="L456" s="185" t="s">
        <v>1129</v>
      </c>
      <c r="M456" s="185"/>
      <c r="N456" s="185" t="s">
        <v>2190</v>
      </c>
      <c r="O456" s="185" t="s">
        <v>2184</v>
      </c>
      <c r="P456" s="185"/>
      <c r="Q456" s="185"/>
      <c r="R456" s="185"/>
      <c r="S456" s="186">
        <v>43591</v>
      </c>
      <c r="T456" s="186">
        <v>43591</v>
      </c>
      <c r="U456" s="185" t="s">
        <v>1227</v>
      </c>
      <c r="V456" s="185">
        <v>700</v>
      </c>
      <c r="W456" s="185">
        <v>14050</v>
      </c>
      <c r="X456" s="187">
        <v>30295.87</v>
      </c>
      <c r="Y456" s="185">
        <v>14056</v>
      </c>
      <c r="Z456" s="187">
        <v>21639.919999999998</v>
      </c>
      <c r="AA456" s="187">
        <v>0</v>
      </c>
      <c r="AB456" s="187">
        <v>8655.9500000000007</v>
      </c>
      <c r="AC456" s="187">
        <v>1442.68</v>
      </c>
      <c r="AD456" s="185">
        <v>54260</v>
      </c>
      <c r="AE456" s="187">
        <v>360.67</v>
      </c>
      <c r="AF456" s="187">
        <v>0</v>
      </c>
      <c r="AG456" s="187">
        <v>360.67</v>
      </c>
      <c r="AH456" s="185" t="s">
        <v>989</v>
      </c>
      <c r="AI456" s="185"/>
      <c r="AJ456" s="185"/>
      <c r="AK456" s="185" t="s">
        <v>45</v>
      </c>
      <c r="AL456" s="185" t="s">
        <v>2267</v>
      </c>
      <c r="AM456" s="185" t="s">
        <v>2269</v>
      </c>
      <c r="AN456" s="196"/>
      <c r="AO456" s="196"/>
      <c r="AP456" s="195"/>
      <c r="AQ456" s="194"/>
      <c r="AR456" s="193"/>
      <c r="AS456" s="192"/>
      <c r="AT456" s="192"/>
      <c r="AU456" s="192"/>
      <c r="AV456" s="192"/>
      <c r="AW456" s="191"/>
      <c r="AX456" s="190" t="s">
        <v>72</v>
      </c>
      <c r="AY456" s="184"/>
    </row>
    <row r="457" spans="2:51">
      <c r="B457" s="185">
        <v>2183</v>
      </c>
      <c r="C457" s="189">
        <v>213901</v>
      </c>
      <c r="D457" s="185" t="s">
        <v>989</v>
      </c>
      <c r="E457" s="185" t="s">
        <v>2003</v>
      </c>
      <c r="F457" s="185" t="s">
        <v>818</v>
      </c>
      <c r="G457" s="185"/>
      <c r="H457" s="185"/>
      <c r="I457" s="188">
        <v>864</v>
      </c>
      <c r="J457" s="185"/>
      <c r="K457" s="188">
        <v>0</v>
      </c>
      <c r="L457" s="185" t="s">
        <v>1129</v>
      </c>
      <c r="M457" s="185"/>
      <c r="N457" s="185" t="s">
        <v>2190</v>
      </c>
      <c r="O457" s="185" t="s">
        <v>2184</v>
      </c>
      <c r="P457" s="185"/>
      <c r="Q457" s="185"/>
      <c r="R457" s="185"/>
      <c r="S457" s="186">
        <v>43591</v>
      </c>
      <c r="T457" s="186">
        <v>43591</v>
      </c>
      <c r="U457" s="185" t="s">
        <v>1227</v>
      </c>
      <c r="V457" s="185">
        <v>700</v>
      </c>
      <c r="W457" s="185">
        <v>14050</v>
      </c>
      <c r="X457" s="187">
        <v>37698.53</v>
      </c>
      <c r="Y457" s="185">
        <v>14056</v>
      </c>
      <c r="Z457" s="187">
        <v>26927.54</v>
      </c>
      <c r="AA457" s="187">
        <v>0</v>
      </c>
      <c r="AB457" s="187">
        <v>10770.989999999998</v>
      </c>
      <c r="AC457" s="187">
        <v>1795.16</v>
      </c>
      <c r="AD457" s="185">
        <v>54260</v>
      </c>
      <c r="AE457" s="187">
        <v>448.79</v>
      </c>
      <c r="AF457" s="187">
        <v>0</v>
      </c>
      <c r="AG457" s="187">
        <v>448.79</v>
      </c>
      <c r="AH457" s="185" t="s">
        <v>989</v>
      </c>
      <c r="AI457" s="185"/>
      <c r="AJ457" s="185"/>
      <c r="AK457" s="185" t="s">
        <v>45</v>
      </c>
      <c r="AL457" s="185" t="s">
        <v>2267</v>
      </c>
      <c r="AM457" s="185" t="s">
        <v>2269</v>
      </c>
      <c r="AN457" s="196"/>
      <c r="AO457" s="196"/>
      <c r="AP457" s="195"/>
      <c r="AQ457" s="194"/>
      <c r="AR457" s="193"/>
      <c r="AS457" s="192"/>
      <c r="AT457" s="192"/>
      <c r="AU457" s="192"/>
      <c r="AV457" s="192"/>
      <c r="AW457" s="191"/>
      <c r="AX457" s="190" t="s">
        <v>72</v>
      </c>
      <c r="AY457" s="184"/>
    </row>
    <row r="458" spans="2:51">
      <c r="B458" s="185">
        <v>2183</v>
      </c>
      <c r="C458" s="189">
        <v>211617</v>
      </c>
      <c r="D458" s="185" t="s">
        <v>989</v>
      </c>
      <c r="E458" s="185" t="s">
        <v>2003</v>
      </c>
      <c r="F458" s="185" t="s">
        <v>797</v>
      </c>
      <c r="G458" s="185"/>
      <c r="H458" s="185"/>
      <c r="I458" s="188">
        <v>1</v>
      </c>
      <c r="J458" s="185"/>
      <c r="K458" s="188">
        <v>0</v>
      </c>
      <c r="L458" s="185" t="s">
        <v>1145</v>
      </c>
      <c r="M458" s="185"/>
      <c r="N458" s="185" t="s">
        <v>2199</v>
      </c>
      <c r="O458" s="185" t="s">
        <v>2184</v>
      </c>
      <c r="P458" s="185"/>
      <c r="Q458" s="185"/>
      <c r="R458" s="185"/>
      <c r="S458" s="186">
        <v>43518</v>
      </c>
      <c r="T458" s="186">
        <v>43518</v>
      </c>
      <c r="U458" s="185" t="s">
        <v>1231</v>
      </c>
      <c r="V458" s="185">
        <v>300</v>
      </c>
      <c r="W458" s="185">
        <v>14110</v>
      </c>
      <c r="X458" s="187">
        <v>1365.69</v>
      </c>
      <c r="Y458" s="185">
        <v>14116</v>
      </c>
      <c r="Z458" s="187">
        <v>1365.69</v>
      </c>
      <c r="AA458" s="187">
        <v>0</v>
      </c>
      <c r="AB458" s="187">
        <v>0</v>
      </c>
      <c r="AC458" s="187">
        <v>0</v>
      </c>
      <c r="AD458" s="185">
        <v>70260</v>
      </c>
      <c r="AE458" s="187">
        <v>0</v>
      </c>
      <c r="AF458" s="187">
        <v>0</v>
      </c>
      <c r="AG458" s="187">
        <v>0</v>
      </c>
      <c r="AH458" s="185" t="s">
        <v>989</v>
      </c>
      <c r="AI458" s="185"/>
      <c r="AJ458" s="185"/>
      <c r="AK458" s="185" t="s">
        <v>45</v>
      </c>
      <c r="AL458" s="185" t="s">
        <v>2267</v>
      </c>
      <c r="AM458" s="185" t="s">
        <v>2269</v>
      </c>
      <c r="AN458" s="196"/>
      <c r="AO458" s="196"/>
      <c r="AP458" s="195"/>
      <c r="AQ458" s="194"/>
      <c r="AR458" s="193"/>
      <c r="AS458" s="192"/>
      <c r="AT458" s="192"/>
      <c r="AU458" s="192"/>
      <c r="AV458" s="192"/>
      <c r="AW458" s="191"/>
      <c r="AX458" s="190" t="s">
        <v>72</v>
      </c>
      <c r="AY458" s="184"/>
    </row>
    <row r="459" spans="2:51" hidden="1">
      <c r="B459" s="185">
        <v>2183</v>
      </c>
      <c r="C459" s="189">
        <v>210490</v>
      </c>
      <c r="D459" s="185">
        <v>61085</v>
      </c>
      <c r="E459" s="185" t="s">
        <v>2003</v>
      </c>
      <c r="F459" s="185" t="s">
        <v>796</v>
      </c>
      <c r="G459" s="185"/>
      <c r="H459" s="185"/>
      <c r="I459" s="188">
        <v>1</v>
      </c>
      <c r="J459" s="185"/>
      <c r="K459" s="188">
        <v>0</v>
      </c>
      <c r="L459" s="185" t="s">
        <v>1232</v>
      </c>
      <c r="M459" s="185"/>
      <c r="N459" s="185" t="s">
        <v>2183</v>
      </c>
      <c r="O459" s="185" t="s">
        <v>2184</v>
      </c>
      <c r="P459" s="185" t="s">
        <v>1028</v>
      </c>
      <c r="Q459" s="185"/>
      <c r="R459" s="185"/>
      <c r="S459" s="186">
        <v>43514</v>
      </c>
      <c r="T459" s="186">
        <v>43514</v>
      </c>
      <c r="U459" s="185" t="s">
        <v>1233</v>
      </c>
      <c r="V459" s="185">
        <v>300</v>
      </c>
      <c r="W459" s="185">
        <v>14040</v>
      </c>
      <c r="X459" s="187">
        <v>12037.33</v>
      </c>
      <c r="Y459" s="185">
        <v>14046</v>
      </c>
      <c r="Z459" s="187">
        <v>12037.33</v>
      </c>
      <c r="AA459" s="187">
        <v>0</v>
      </c>
      <c r="AB459" s="187">
        <v>0</v>
      </c>
      <c r="AC459" s="187">
        <v>0</v>
      </c>
      <c r="AD459" s="185">
        <v>51260</v>
      </c>
      <c r="AE459" s="187">
        <v>0</v>
      </c>
      <c r="AF459" s="187">
        <v>0</v>
      </c>
      <c r="AG459" s="187">
        <v>0</v>
      </c>
      <c r="AH459" s="185" t="s">
        <v>989</v>
      </c>
      <c r="AI459" s="185"/>
      <c r="AJ459" s="185"/>
      <c r="AK459" s="185" t="s">
        <v>45</v>
      </c>
      <c r="AL459" s="185" t="s">
        <v>2267</v>
      </c>
      <c r="AM459" s="185" t="s">
        <v>2269</v>
      </c>
      <c r="AN459" s="196"/>
      <c r="AO459" s="196"/>
      <c r="AP459" s="195"/>
      <c r="AQ459" s="194"/>
      <c r="AR459" s="193"/>
      <c r="AS459" s="192"/>
      <c r="AT459" s="192"/>
      <c r="AU459" s="192"/>
      <c r="AV459" s="192"/>
      <c r="AW459" s="191"/>
      <c r="AX459" s="190" t="s">
        <v>72</v>
      </c>
      <c r="AY459" s="184"/>
    </row>
    <row r="460" spans="2:51">
      <c r="B460" s="185">
        <v>2183</v>
      </c>
      <c r="C460" s="189">
        <v>210121</v>
      </c>
      <c r="D460" s="185" t="s">
        <v>989</v>
      </c>
      <c r="E460" s="185" t="s">
        <v>2003</v>
      </c>
      <c r="F460" s="185" t="s">
        <v>736</v>
      </c>
      <c r="G460" s="185"/>
      <c r="H460" s="185"/>
      <c r="I460" s="188">
        <v>624</v>
      </c>
      <c r="J460" s="185"/>
      <c r="K460" s="188">
        <v>0</v>
      </c>
      <c r="L460" s="185" t="s">
        <v>1129</v>
      </c>
      <c r="M460" s="185"/>
      <c r="N460" s="185" t="s">
        <v>2190</v>
      </c>
      <c r="O460" s="185" t="s">
        <v>2184</v>
      </c>
      <c r="P460" s="185"/>
      <c r="Q460" s="185"/>
      <c r="R460" s="185"/>
      <c r="S460" s="186">
        <v>43486</v>
      </c>
      <c r="T460" s="186">
        <v>43486</v>
      </c>
      <c r="U460" s="185" t="s">
        <v>1234</v>
      </c>
      <c r="V460" s="185">
        <v>700</v>
      </c>
      <c r="W460" s="185">
        <v>14050</v>
      </c>
      <c r="X460" s="187">
        <v>31843.759999999998</v>
      </c>
      <c r="Y460" s="185">
        <v>14056</v>
      </c>
      <c r="Z460" s="187">
        <v>23882.82</v>
      </c>
      <c r="AA460" s="187">
        <v>0</v>
      </c>
      <c r="AB460" s="187">
        <v>7960.9399999999987</v>
      </c>
      <c r="AC460" s="187">
        <v>1516.36</v>
      </c>
      <c r="AD460" s="185">
        <v>54260</v>
      </c>
      <c r="AE460" s="187">
        <v>379.09</v>
      </c>
      <c r="AF460" s="187">
        <v>0</v>
      </c>
      <c r="AG460" s="187">
        <v>379.09</v>
      </c>
      <c r="AH460" s="185" t="s">
        <v>989</v>
      </c>
      <c r="AI460" s="185"/>
      <c r="AJ460" s="185"/>
      <c r="AK460" s="185" t="s">
        <v>45</v>
      </c>
      <c r="AL460" s="185" t="s">
        <v>2267</v>
      </c>
      <c r="AM460" s="185" t="s">
        <v>2269</v>
      </c>
      <c r="AN460" s="196"/>
      <c r="AO460" s="196"/>
      <c r="AP460" s="195"/>
      <c r="AQ460" s="194"/>
      <c r="AR460" s="193"/>
      <c r="AS460" s="192"/>
      <c r="AT460" s="192"/>
      <c r="AU460" s="192"/>
      <c r="AV460" s="192"/>
      <c r="AW460" s="191"/>
      <c r="AX460" s="190" t="s">
        <v>72</v>
      </c>
      <c r="AY460" s="184"/>
    </row>
    <row r="461" spans="2:51">
      <c r="B461" s="185">
        <v>2183</v>
      </c>
      <c r="C461" s="189">
        <v>210120</v>
      </c>
      <c r="D461" s="185" t="s">
        <v>989</v>
      </c>
      <c r="E461" s="185" t="s">
        <v>2003</v>
      </c>
      <c r="F461" s="185" t="s">
        <v>800</v>
      </c>
      <c r="G461" s="185"/>
      <c r="H461" s="185"/>
      <c r="I461" s="188">
        <v>624</v>
      </c>
      <c r="J461" s="185"/>
      <c r="K461" s="188">
        <v>0</v>
      </c>
      <c r="L461" s="185" t="s">
        <v>1129</v>
      </c>
      <c r="M461" s="185"/>
      <c r="N461" s="185" t="s">
        <v>2190</v>
      </c>
      <c r="O461" s="185" t="s">
        <v>2184</v>
      </c>
      <c r="P461" s="185"/>
      <c r="Q461" s="185"/>
      <c r="R461" s="185"/>
      <c r="S461" s="186">
        <v>43486</v>
      </c>
      <c r="T461" s="186">
        <v>43486</v>
      </c>
      <c r="U461" s="185" t="s">
        <v>1234</v>
      </c>
      <c r="V461" s="185">
        <v>700</v>
      </c>
      <c r="W461" s="185">
        <v>14050</v>
      </c>
      <c r="X461" s="187">
        <v>31843.759999999998</v>
      </c>
      <c r="Y461" s="185">
        <v>14056</v>
      </c>
      <c r="Z461" s="187">
        <v>23882.82</v>
      </c>
      <c r="AA461" s="187">
        <v>0</v>
      </c>
      <c r="AB461" s="187">
        <v>7960.9399999999987</v>
      </c>
      <c r="AC461" s="187">
        <v>1516.36</v>
      </c>
      <c r="AD461" s="185">
        <v>54260</v>
      </c>
      <c r="AE461" s="187">
        <v>379.09</v>
      </c>
      <c r="AF461" s="187">
        <v>0</v>
      </c>
      <c r="AG461" s="187">
        <v>379.09</v>
      </c>
      <c r="AH461" s="185" t="s">
        <v>989</v>
      </c>
      <c r="AI461" s="185"/>
      <c r="AJ461" s="185"/>
      <c r="AK461" s="185" t="s">
        <v>45</v>
      </c>
      <c r="AL461" s="185" t="s">
        <v>2267</v>
      </c>
      <c r="AM461" s="185" t="s">
        <v>2269</v>
      </c>
      <c r="AN461" s="196"/>
      <c r="AO461" s="196"/>
      <c r="AP461" s="195"/>
      <c r="AQ461" s="194"/>
      <c r="AR461" s="193"/>
      <c r="AS461" s="192"/>
      <c r="AT461" s="192"/>
      <c r="AU461" s="192"/>
      <c r="AV461" s="192"/>
      <c r="AW461" s="191"/>
      <c r="AX461" s="190" t="s">
        <v>72</v>
      </c>
      <c r="AY461" s="184"/>
    </row>
    <row r="462" spans="2:51">
      <c r="B462" s="185">
        <v>2183</v>
      </c>
      <c r="C462" s="189">
        <v>210119</v>
      </c>
      <c r="D462" s="185" t="s">
        <v>989</v>
      </c>
      <c r="E462" s="185" t="s">
        <v>2003</v>
      </c>
      <c r="F462" s="185" t="s">
        <v>735</v>
      </c>
      <c r="G462" s="185"/>
      <c r="H462" s="185"/>
      <c r="I462" s="188">
        <v>945</v>
      </c>
      <c r="J462" s="185"/>
      <c r="K462" s="188">
        <v>0</v>
      </c>
      <c r="L462" s="185" t="s">
        <v>1129</v>
      </c>
      <c r="M462" s="185"/>
      <c r="N462" s="185" t="s">
        <v>2190</v>
      </c>
      <c r="O462" s="185" t="s">
        <v>2184</v>
      </c>
      <c r="P462" s="185"/>
      <c r="Q462" s="185"/>
      <c r="R462" s="185"/>
      <c r="S462" s="186">
        <v>43486</v>
      </c>
      <c r="T462" s="186">
        <v>43486</v>
      </c>
      <c r="U462" s="185" t="s">
        <v>1234</v>
      </c>
      <c r="V462" s="185">
        <v>700</v>
      </c>
      <c r="W462" s="185">
        <v>14050</v>
      </c>
      <c r="X462" s="187">
        <v>37953.050000000003</v>
      </c>
      <c r="Y462" s="185">
        <v>14056</v>
      </c>
      <c r="Z462" s="187">
        <v>28464.799999999999</v>
      </c>
      <c r="AA462" s="187">
        <v>0</v>
      </c>
      <c r="AB462" s="187">
        <v>9488.2500000000036</v>
      </c>
      <c r="AC462" s="187">
        <v>1807.28</v>
      </c>
      <c r="AD462" s="185">
        <v>54260</v>
      </c>
      <c r="AE462" s="187">
        <v>451.82</v>
      </c>
      <c r="AF462" s="187">
        <v>0</v>
      </c>
      <c r="AG462" s="187">
        <v>451.82</v>
      </c>
      <c r="AH462" s="185" t="s">
        <v>989</v>
      </c>
      <c r="AI462" s="185"/>
      <c r="AJ462" s="185"/>
      <c r="AK462" s="185" t="s">
        <v>45</v>
      </c>
      <c r="AL462" s="185" t="s">
        <v>2267</v>
      </c>
      <c r="AM462" s="185" t="s">
        <v>2269</v>
      </c>
      <c r="AN462" s="196"/>
      <c r="AO462" s="196"/>
      <c r="AP462" s="195"/>
      <c r="AQ462" s="194"/>
      <c r="AR462" s="193"/>
      <c r="AS462" s="192"/>
      <c r="AT462" s="192"/>
      <c r="AU462" s="192"/>
      <c r="AV462" s="192"/>
      <c r="AW462" s="191"/>
      <c r="AX462" s="190" t="s">
        <v>72</v>
      </c>
      <c r="AY462" s="184"/>
    </row>
    <row r="463" spans="2:51">
      <c r="B463" s="185">
        <v>2183</v>
      </c>
      <c r="C463" s="189">
        <v>210118</v>
      </c>
      <c r="D463" s="185" t="s">
        <v>989</v>
      </c>
      <c r="E463" s="185" t="s">
        <v>2003</v>
      </c>
      <c r="F463" s="185" t="s">
        <v>862</v>
      </c>
      <c r="G463" s="185"/>
      <c r="H463" s="185"/>
      <c r="I463" s="188">
        <v>864</v>
      </c>
      <c r="J463" s="185"/>
      <c r="K463" s="188">
        <v>0</v>
      </c>
      <c r="L463" s="185" t="s">
        <v>1129</v>
      </c>
      <c r="M463" s="185"/>
      <c r="N463" s="185" t="s">
        <v>2190</v>
      </c>
      <c r="O463" s="185" t="s">
        <v>2184</v>
      </c>
      <c r="P463" s="185"/>
      <c r="Q463" s="185"/>
      <c r="R463" s="185"/>
      <c r="S463" s="186">
        <v>43486</v>
      </c>
      <c r="T463" s="186">
        <v>43486</v>
      </c>
      <c r="U463" s="185" t="s">
        <v>1234</v>
      </c>
      <c r="V463" s="185">
        <v>700</v>
      </c>
      <c r="W463" s="185">
        <v>14050</v>
      </c>
      <c r="X463" s="187">
        <v>39187.980000000003</v>
      </c>
      <c r="Y463" s="185">
        <v>14056</v>
      </c>
      <c r="Z463" s="187">
        <v>29390.959999999999</v>
      </c>
      <c r="AA463" s="187">
        <v>0</v>
      </c>
      <c r="AB463" s="187">
        <v>9797.0200000000041</v>
      </c>
      <c r="AC463" s="187">
        <v>1866.08</v>
      </c>
      <c r="AD463" s="185">
        <v>54260</v>
      </c>
      <c r="AE463" s="187">
        <v>466.52</v>
      </c>
      <c r="AF463" s="187">
        <v>0</v>
      </c>
      <c r="AG463" s="187">
        <v>466.52</v>
      </c>
      <c r="AH463" s="185" t="s">
        <v>989</v>
      </c>
      <c r="AI463" s="185"/>
      <c r="AJ463" s="185"/>
      <c r="AK463" s="185" t="s">
        <v>45</v>
      </c>
      <c r="AL463" s="185" t="s">
        <v>2267</v>
      </c>
      <c r="AM463" s="185" t="s">
        <v>2269</v>
      </c>
      <c r="AN463" s="196"/>
      <c r="AO463" s="196"/>
      <c r="AP463" s="195"/>
      <c r="AQ463" s="194"/>
      <c r="AR463" s="193"/>
      <c r="AS463" s="192"/>
      <c r="AT463" s="192"/>
      <c r="AU463" s="192"/>
      <c r="AV463" s="192"/>
      <c r="AW463" s="191"/>
      <c r="AX463" s="190" t="s">
        <v>72</v>
      </c>
      <c r="AY463" s="184"/>
    </row>
    <row r="464" spans="2:51">
      <c r="B464" s="185">
        <v>2183</v>
      </c>
      <c r="C464" s="189">
        <v>210117</v>
      </c>
      <c r="D464" s="185" t="s">
        <v>989</v>
      </c>
      <c r="E464" s="185" t="s">
        <v>2003</v>
      </c>
      <c r="F464" s="185" t="s">
        <v>1147</v>
      </c>
      <c r="G464" s="185"/>
      <c r="H464" s="185"/>
      <c r="I464" s="188">
        <v>624</v>
      </c>
      <c r="J464" s="185"/>
      <c r="K464" s="188">
        <v>0</v>
      </c>
      <c r="L464" s="185" t="s">
        <v>1129</v>
      </c>
      <c r="M464" s="185"/>
      <c r="N464" s="185" t="s">
        <v>2190</v>
      </c>
      <c r="O464" s="185" t="s">
        <v>2184</v>
      </c>
      <c r="P464" s="185"/>
      <c r="Q464" s="185"/>
      <c r="R464" s="185"/>
      <c r="S464" s="186">
        <v>43486</v>
      </c>
      <c r="T464" s="186">
        <v>43486</v>
      </c>
      <c r="U464" s="185" t="s">
        <v>1234</v>
      </c>
      <c r="V464" s="185">
        <v>700</v>
      </c>
      <c r="W464" s="185">
        <v>14050</v>
      </c>
      <c r="X464" s="187">
        <v>31843.759999999998</v>
      </c>
      <c r="Y464" s="185">
        <v>14056</v>
      </c>
      <c r="Z464" s="187">
        <v>23882.82</v>
      </c>
      <c r="AA464" s="187">
        <v>0</v>
      </c>
      <c r="AB464" s="187">
        <v>7960.9399999999987</v>
      </c>
      <c r="AC464" s="187">
        <v>1516.36</v>
      </c>
      <c r="AD464" s="185">
        <v>54260</v>
      </c>
      <c r="AE464" s="187">
        <v>379.09</v>
      </c>
      <c r="AF464" s="187">
        <v>0</v>
      </c>
      <c r="AG464" s="187">
        <v>379.09</v>
      </c>
      <c r="AH464" s="185" t="s">
        <v>989</v>
      </c>
      <c r="AI464" s="185"/>
      <c r="AJ464" s="185"/>
      <c r="AK464" s="185" t="s">
        <v>45</v>
      </c>
      <c r="AL464" s="185" t="s">
        <v>2267</v>
      </c>
      <c r="AM464" s="185" t="s">
        <v>2269</v>
      </c>
      <c r="AN464" s="196"/>
      <c r="AO464" s="196"/>
      <c r="AP464" s="195"/>
      <c r="AQ464" s="194"/>
      <c r="AR464" s="193"/>
      <c r="AS464" s="192"/>
      <c r="AT464" s="192"/>
      <c r="AU464" s="192"/>
      <c r="AV464" s="192"/>
      <c r="AW464" s="191"/>
      <c r="AX464" s="190" t="s">
        <v>72</v>
      </c>
      <c r="AY464" s="184"/>
    </row>
    <row r="465" spans="2:51">
      <c r="B465" s="185">
        <v>2183</v>
      </c>
      <c r="C465" s="189">
        <v>210008</v>
      </c>
      <c r="D465" s="185" t="s">
        <v>989</v>
      </c>
      <c r="E465" s="185" t="s">
        <v>2003</v>
      </c>
      <c r="F465" s="185" t="s">
        <v>798</v>
      </c>
      <c r="G465" s="185"/>
      <c r="H465" s="185"/>
      <c r="I465" s="188">
        <v>1</v>
      </c>
      <c r="J465" s="185"/>
      <c r="K465" s="188">
        <v>0</v>
      </c>
      <c r="L465" s="185" t="s">
        <v>1145</v>
      </c>
      <c r="M465" s="185"/>
      <c r="N465" s="185" t="s">
        <v>2199</v>
      </c>
      <c r="O465" s="185" t="s">
        <v>2184</v>
      </c>
      <c r="P465" s="185"/>
      <c r="Q465" s="185"/>
      <c r="R465" s="185"/>
      <c r="S465" s="186">
        <v>43496</v>
      </c>
      <c r="T465" s="186">
        <v>43496</v>
      </c>
      <c r="U465" s="185" t="s">
        <v>1223</v>
      </c>
      <c r="V465" s="185">
        <v>300</v>
      </c>
      <c r="W465" s="185">
        <v>14110</v>
      </c>
      <c r="X465" s="187">
        <v>1555.07</v>
      </c>
      <c r="Y465" s="185">
        <v>14116</v>
      </c>
      <c r="Z465" s="187">
        <v>1555.07</v>
      </c>
      <c r="AA465" s="187">
        <v>0</v>
      </c>
      <c r="AB465" s="187">
        <v>0</v>
      </c>
      <c r="AC465" s="187">
        <v>0</v>
      </c>
      <c r="AD465" s="185">
        <v>70260</v>
      </c>
      <c r="AE465" s="187">
        <v>0</v>
      </c>
      <c r="AF465" s="187">
        <v>0</v>
      </c>
      <c r="AG465" s="187">
        <v>0</v>
      </c>
      <c r="AH465" s="185" t="s">
        <v>989</v>
      </c>
      <c r="AI465" s="185"/>
      <c r="AJ465" s="185"/>
      <c r="AK465" s="185" t="s">
        <v>45</v>
      </c>
      <c r="AL465" s="185" t="s">
        <v>2267</v>
      </c>
      <c r="AM465" s="185" t="s">
        <v>2269</v>
      </c>
      <c r="AN465" s="196"/>
      <c r="AO465" s="196"/>
      <c r="AP465" s="195"/>
      <c r="AQ465" s="194"/>
      <c r="AR465" s="193"/>
      <c r="AS465" s="192"/>
      <c r="AT465" s="192"/>
      <c r="AU465" s="192"/>
      <c r="AV465" s="192"/>
      <c r="AW465" s="191"/>
      <c r="AX465" s="190" t="s">
        <v>72</v>
      </c>
      <c r="AY465" s="184"/>
    </row>
    <row r="466" spans="2:51">
      <c r="B466" s="185">
        <v>2183</v>
      </c>
      <c r="C466" s="189">
        <v>207446</v>
      </c>
      <c r="D466" s="185" t="s">
        <v>989</v>
      </c>
      <c r="E466" s="185" t="s">
        <v>2003</v>
      </c>
      <c r="F466" s="185" t="s">
        <v>1235</v>
      </c>
      <c r="G466" s="185"/>
      <c r="H466" s="185"/>
      <c r="I466" s="188">
        <v>22</v>
      </c>
      <c r="J466" s="185"/>
      <c r="K466" s="188">
        <v>0</v>
      </c>
      <c r="L466" s="185" t="s">
        <v>1149</v>
      </c>
      <c r="M466" s="185"/>
      <c r="N466" s="185" t="s">
        <v>2190</v>
      </c>
      <c r="O466" s="185" t="s">
        <v>2184</v>
      </c>
      <c r="P466" s="185"/>
      <c r="Q466" s="185" t="s">
        <v>2203</v>
      </c>
      <c r="R466" s="185" t="s">
        <v>2195</v>
      </c>
      <c r="S466" s="186">
        <v>43411</v>
      </c>
      <c r="T466" s="186">
        <v>43411</v>
      </c>
      <c r="U466" s="185" t="s">
        <v>1236</v>
      </c>
      <c r="V466" s="185">
        <v>1200</v>
      </c>
      <c r="W466" s="185">
        <v>14050</v>
      </c>
      <c r="X466" s="187">
        <v>16484.080000000002</v>
      </c>
      <c r="Y466" s="185">
        <v>14056</v>
      </c>
      <c r="Z466" s="187">
        <v>7555.18</v>
      </c>
      <c r="AA466" s="187">
        <v>0</v>
      </c>
      <c r="AB466" s="187">
        <v>8928.9000000000015</v>
      </c>
      <c r="AC466" s="187">
        <v>457.88</v>
      </c>
      <c r="AD466" s="185">
        <v>54260</v>
      </c>
      <c r="AE466" s="187">
        <v>114.47</v>
      </c>
      <c r="AF466" s="187">
        <v>0</v>
      </c>
      <c r="AG466" s="187">
        <v>114.47</v>
      </c>
      <c r="AH466" s="185" t="s">
        <v>989</v>
      </c>
      <c r="AI466" s="185"/>
      <c r="AJ466" s="185"/>
      <c r="AK466" s="185" t="s">
        <v>45</v>
      </c>
      <c r="AL466" s="185" t="s">
        <v>2267</v>
      </c>
      <c r="AM466" s="185" t="s">
        <v>2269</v>
      </c>
      <c r="AN466" s="196"/>
      <c r="AO466" s="196"/>
      <c r="AP466" s="195"/>
      <c r="AQ466" s="194"/>
      <c r="AR466" s="193"/>
      <c r="AS466" s="192"/>
      <c r="AT466" s="192"/>
      <c r="AU466" s="192"/>
      <c r="AV466" s="192"/>
      <c r="AW466" s="191"/>
      <c r="AX466" s="190" t="s">
        <v>72</v>
      </c>
      <c r="AY466" s="184"/>
    </row>
    <row r="467" spans="2:51">
      <c r="B467" s="185">
        <v>2183</v>
      </c>
      <c r="C467" s="189">
        <v>207445</v>
      </c>
      <c r="D467" s="185" t="s">
        <v>989</v>
      </c>
      <c r="E467" s="185" t="s">
        <v>2003</v>
      </c>
      <c r="F467" s="185" t="s">
        <v>1237</v>
      </c>
      <c r="G467" s="185"/>
      <c r="H467" s="185"/>
      <c r="I467" s="188">
        <v>22</v>
      </c>
      <c r="J467" s="185"/>
      <c r="K467" s="188">
        <v>0</v>
      </c>
      <c r="L467" s="185" t="s">
        <v>1149</v>
      </c>
      <c r="M467" s="185"/>
      <c r="N467" s="185" t="s">
        <v>2190</v>
      </c>
      <c r="O467" s="185" t="s">
        <v>2184</v>
      </c>
      <c r="P467" s="185"/>
      <c r="Q467" s="185" t="s">
        <v>2214</v>
      </c>
      <c r="R467" s="185" t="s">
        <v>2195</v>
      </c>
      <c r="S467" s="186">
        <v>43411</v>
      </c>
      <c r="T467" s="186">
        <v>43411</v>
      </c>
      <c r="U467" s="185" t="s">
        <v>1236</v>
      </c>
      <c r="V467" s="185">
        <v>1200</v>
      </c>
      <c r="W467" s="185">
        <v>14050</v>
      </c>
      <c r="X467" s="187">
        <v>17253.61</v>
      </c>
      <c r="Y467" s="185">
        <v>14056</v>
      </c>
      <c r="Z467" s="187">
        <v>7907.91</v>
      </c>
      <c r="AA467" s="187">
        <v>0</v>
      </c>
      <c r="AB467" s="187">
        <v>9345.7000000000007</v>
      </c>
      <c r="AC467" s="187">
        <v>479.28</v>
      </c>
      <c r="AD467" s="185">
        <v>54260</v>
      </c>
      <c r="AE467" s="187">
        <v>119.82</v>
      </c>
      <c r="AF467" s="187">
        <v>0</v>
      </c>
      <c r="AG467" s="187">
        <v>119.82</v>
      </c>
      <c r="AH467" s="185" t="s">
        <v>989</v>
      </c>
      <c r="AI467" s="185"/>
      <c r="AJ467" s="185"/>
      <c r="AK467" s="185" t="s">
        <v>45</v>
      </c>
      <c r="AL467" s="185" t="s">
        <v>2267</v>
      </c>
      <c r="AM467" s="185" t="s">
        <v>2269</v>
      </c>
      <c r="AN467" s="196"/>
      <c r="AO467" s="196"/>
      <c r="AP467" s="195"/>
      <c r="AQ467" s="194"/>
      <c r="AR467" s="193"/>
      <c r="AS467" s="192"/>
      <c r="AT467" s="192"/>
      <c r="AU467" s="192"/>
      <c r="AV467" s="192"/>
      <c r="AW467" s="191"/>
      <c r="AX467" s="190" t="s">
        <v>72</v>
      </c>
      <c r="AY467" s="184"/>
    </row>
    <row r="468" spans="2:51">
      <c r="B468" s="185">
        <v>2183</v>
      </c>
      <c r="C468" s="189">
        <v>207444</v>
      </c>
      <c r="D468" s="185" t="s">
        <v>989</v>
      </c>
      <c r="E468" s="185" t="s">
        <v>2003</v>
      </c>
      <c r="F468" s="185" t="s">
        <v>1238</v>
      </c>
      <c r="G468" s="185"/>
      <c r="H468" s="185"/>
      <c r="I468" s="188">
        <v>48</v>
      </c>
      <c r="J468" s="185"/>
      <c r="K468" s="188">
        <v>0</v>
      </c>
      <c r="L468" s="185" t="s">
        <v>1149</v>
      </c>
      <c r="M468" s="185"/>
      <c r="N468" s="185" t="s">
        <v>2190</v>
      </c>
      <c r="O468" s="185" t="s">
        <v>2184</v>
      </c>
      <c r="P468" s="185"/>
      <c r="Q468" s="185" t="s">
        <v>2209</v>
      </c>
      <c r="R468" s="185" t="s">
        <v>2195</v>
      </c>
      <c r="S468" s="186">
        <v>43411</v>
      </c>
      <c r="T468" s="186">
        <v>43411</v>
      </c>
      <c r="U468" s="185" t="s">
        <v>1236</v>
      </c>
      <c r="V468" s="185">
        <v>1200</v>
      </c>
      <c r="W468" s="185">
        <v>14050</v>
      </c>
      <c r="X468" s="187">
        <v>29272.880000000001</v>
      </c>
      <c r="Y468" s="185">
        <v>14056</v>
      </c>
      <c r="Z468" s="187">
        <v>13416.74</v>
      </c>
      <c r="AA468" s="187">
        <v>0</v>
      </c>
      <c r="AB468" s="187">
        <v>15856.140000000001</v>
      </c>
      <c r="AC468" s="187">
        <v>813.12</v>
      </c>
      <c r="AD468" s="185">
        <v>54260</v>
      </c>
      <c r="AE468" s="187">
        <v>203.28</v>
      </c>
      <c r="AF468" s="187">
        <v>0</v>
      </c>
      <c r="AG468" s="187">
        <v>203.28</v>
      </c>
      <c r="AH468" s="185" t="s">
        <v>989</v>
      </c>
      <c r="AI468" s="185"/>
      <c r="AJ468" s="185"/>
      <c r="AK468" s="185" t="s">
        <v>45</v>
      </c>
      <c r="AL468" s="185" t="s">
        <v>2267</v>
      </c>
      <c r="AM468" s="185" t="s">
        <v>2269</v>
      </c>
      <c r="AN468" s="196"/>
      <c r="AO468" s="196"/>
      <c r="AP468" s="195"/>
      <c r="AQ468" s="194"/>
      <c r="AR468" s="193"/>
      <c r="AS468" s="192"/>
      <c r="AT468" s="192"/>
      <c r="AU468" s="192"/>
      <c r="AV468" s="192"/>
      <c r="AW468" s="191"/>
      <c r="AX468" s="190" t="s">
        <v>72</v>
      </c>
      <c r="AY468" s="184"/>
    </row>
    <row r="469" spans="2:51">
      <c r="B469" s="185">
        <v>2183</v>
      </c>
      <c r="C469" s="189">
        <v>207237</v>
      </c>
      <c r="D469" s="185" t="s">
        <v>989</v>
      </c>
      <c r="E469" s="185" t="s">
        <v>2003</v>
      </c>
      <c r="F469" s="185" t="s">
        <v>745</v>
      </c>
      <c r="G469" s="185"/>
      <c r="H469" s="185"/>
      <c r="I469" s="188">
        <v>1</v>
      </c>
      <c r="J469" s="185" t="s">
        <v>1239</v>
      </c>
      <c r="K469" s="188">
        <v>2019</v>
      </c>
      <c r="L469" s="185" t="s">
        <v>1097</v>
      </c>
      <c r="M469" s="185" t="s">
        <v>1120</v>
      </c>
      <c r="N469" s="185" t="s">
        <v>2183</v>
      </c>
      <c r="O469" s="185" t="s">
        <v>2184</v>
      </c>
      <c r="P469" s="185" t="s">
        <v>287</v>
      </c>
      <c r="Q469" s="185"/>
      <c r="R469" s="185"/>
      <c r="S469" s="186">
        <v>43440</v>
      </c>
      <c r="T469" s="186">
        <v>43440</v>
      </c>
      <c r="U469" s="185" t="s">
        <v>1240</v>
      </c>
      <c r="V469" s="185">
        <v>1000</v>
      </c>
      <c r="W469" s="185">
        <v>14040</v>
      </c>
      <c r="X469" s="187">
        <v>250296.54</v>
      </c>
      <c r="Y469" s="185">
        <v>14046</v>
      </c>
      <c r="Z469" s="187">
        <v>135577.21</v>
      </c>
      <c r="AA469" s="187">
        <v>0</v>
      </c>
      <c r="AB469" s="187">
        <v>114719.33000000002</v>
      </c>
      <c r="AC469" s="187">
        <v>8343.2000000000007</v>
      </c>
      <c r="AD469" s="185">
        <v>51260</v>
      </c>
      <c r="AE469" s="187">
        <v>2085.8000000000002</v>
      </c>
      <c r="AF469" s="187">
        <v>0</v>
      </c>
      <c r="AG469" s="187">
        <v>2085.8000000000002</v>
      </c>
      <c r="AH469" s="185" t="s">
        <v>989</v>
      </c>
      <c r="AI469" s="185"/>
      <c r="AJ469" s="185">
        <v>4082</v>
      </c>
      <c r="AK469" s="185" t="s">
        <v>45</v>
      </c>
      <c r="AL469" s="185" t="s">
        <v>2267</v>
      </c>
      <c r="AM469" s="185" t="s">
        <v>2269</v>
      </c>
      <c r="AN469" s="196"/>
      <c r="AO469" s="196"/>
      <c r="AP469" s="195"/>
      <c r="AQ469" s="194"/>
      <c r="AR469" s="193"/>
      <c r="AS469" s="192"/>
      <c r="AT469" s="192"/>
      <c r="AU469" s="192"/>
      <c r="AV469" s="192"/>
      <c r="AW469" s="191"/>
      <c r="AX469" s="190" t="s">
        <v>72</v>
      </c>
      <c r="AY469" s="184"/>
    </row>
    <row r="470" spans="2:51">
      <c r="B470" s="185">
        <v>2183</v>
      </c>
      <c r="C470" s="189">
        <v>206758</v>
      </c>
      <c r="D470" s="185" t="s">
        <v>989</v>
      </c>
      <c r="E470" s="185" t="s">
        <v>2003</v>
      </c>
      <c r="F470" s="185" t="s">
        <v>1241</v>
      </c>
      <c r="G470" s="185"/>
      <c r="H470" s="185"/>
      <c r="I470" s="188">
        <v>24</v>
      </c>
      <c r="J470" s="185"/>
      <c r="K470" s="188">
        <v>0</v>
      </c>
      <c r="L470" s="185" t="s">
        <v>1149</v>
      </c>
      <c r="M470" s="185"/>
      <c r="N470" s="185" t="s">
        <v>2190</v>
      </c>
      <c r="O470" s="185" t="s">
        <v>2184</v>
      </c>
      <c r="P470" s="185"/>
      <c r="Q470" s="185" t="s">
        <v>2194</v>
      </c>
      <c r="R470" s="185" t="s">
        <v>2195</v>
      </c>
      <c r="S470" s="186">
        <v>43411</v>
      </c>
      <c r="T470" s="186">
        <v>43411</v>
      </c>
      <c r="U470" s="185" t="s">
        <v>1236</v>
      </c>
      <c r="V470" s="185">
        <v>1200</v>
      </c>
      <c r="W470" s="185">
        <v>14050</v>
      </c>
      <c r="X470" s="187">
        <v>22721.59</v>
      </c>
      <c r="Y470" s="185">
        <v>14056</v>
      </c>
      <c r="Z470" s="187">
        <v>10414.09</v>
      </c>
      <c r="AA470" s="187">
        <v>0</v>
      </c>
      <c r="AB470" s="187">
        <v>12307.5</v>
      </c>
      <c r="AC470" s="187">
        <v>631.16</v>
      </c>
      <c r="AD470" s="185">
        <v>54260</v>
      </c>
      <c r="AE470" s="187">
        <v>157.79</v>
      </c>
      <c r="AF470" s="187">
        <v>0</v>
      </c>
      <c r="AG470" s="187">
        <v>157.79</v>
      </c>
      <c r="AH470" s="185" t="s">
        <v>989</v>
      </c>
      <c r="AI470" s="185"/>
      <c r="AJ470" s="185"/>
      <c r="AK470" s="185" t="s">
        <v>45</v>
      </c>
      <c r="AL470" s="185" t="s">
        <v>2267</v>
      </c>
      <c r="AM470" s="185" t="s">
        <v>2269</v>
      </c>
      <c r="AN470" s="196"/>
      <c r="AO470" s="196"/>
      <c r="AP470" s="195"/>
      <c r="AQ470" s="194"/>
      <c r="AR470" s="193"/>
      <c r="AS470" s="192"/>
      <c r="AT470" s="192"/>
      <c r="AU470" s="192"/>
      <c r="AV470" s="192"/>
      <c r="AW470" s="191"/>
      <c r="AX470" s="190" t="s">
        <v>72</v>
      </c>
      <c r="AY470" s="184"/>
    </row>
    <row r="471" spans="2:51">
      <c r="B471" s="185">
        <v>2183</v>
      </c>
      <c r="C471" s="189">
        <v>206757</v>
      </c>
      <c r="D471" s="185" t="s">
        <v>989</v>
      </c>
      <c r="E471" s="185" t="s">
        <v>2003</v>
      </c>
      <c r="F471" s="185" t="s">
        <v>1242</v>
      </c>
      <c r="G471" s="185"/>
      <c r="H471" s="185"/>
      <c r="I471" s="188">
        <v>20</v>
      </c>
      <c r="J471" s="185"/>
      <c r="K471" s="188">
        <v>0</v>
      </c>
      <c r="L471" s="185" t="s">
        <v>1149</v>
      </c>
      <c r="M471" s="185"/>
      <c r="N471" s="185" t="s">
        <v>2190</v>
      </c>
      <c r="O471" s="185" t="s">
        <v>2184</v>
      </c>
      <c r="P471" s="185"/>
      <c r="Q471" s="185" t="s">
        <v>2208</v>
      </c>
      <c r="R471" s="185" t="s">
        <v>2195</v>
      </c>
      <c r="S471" s="186">
        <v>43411</v>
      </c>
      <c r="T471" s="186">
        <v>43411</v>
      </c>
      <c r="U471" s="185" t="s">
        <v>1236</v>
      </c>
      <c r="V471" s="185">
        <v>1200</v>
      </c>
      <c r="W471" s="185">
        <v>14050</v>
      </c>
      <c r="X471" s="187">
        <v>13835.75</v>
      </c>
      <c r="Y471" s="185">
        <v>14056</v>
      </c>
      <c r="Z471" s="187">
        <v>6341.38</v>
      </c>
      <c r="AA471" s="187">
        <v>0</v>
      </c>
      <c r="AB471" s="187">
        <v>7494.37</v>
      </c>
      <c r="AC471" s="187">
        <v>384.32</v>
      </c>
      <c r="AD471" s="185">
        <v>54260</v>
      </c>
      <c r="AE471" s="187">
        <v>96.08</v>
      </c>
      <c r="AF471" s="187">
        <v>0</v>
      </c>
      <c r="AG471" s="187">
        <v>96.08</v>
      </c>
      <c r="AH471" s="185" t="s">
        <v>989</v>
      </c>
      <c r="AI471" s="185"/>
      <c r="AJ471" s="185"/>
      <c r="AK471" s="185" t="s">
        <v>45</v>
      </c>
      <c r="AL471" s="185" t="s">
        <v>2267</v>
      </c>
      <c r="AM471" s="185" t="s">
        <v>2269</v>
      </c>
      <c r="AN471" s="196"/>
      <c r="AO471" s="196"/>
      <c r="AP471" s="195"/>
      <c r="AQ471" s="194"/>
      <c r="AR471" s="193"/>
      <c r="AS471" s="192"/>
      <c r="AT471" s="192"/>
      <c r="AU471" s="192"/>
      <c r="AV471" s="192"/>
      <c r="AW471" s="191"/>
      <c r="AX471" s="190" t="s">
        <v>72</v>
      </c>
      <c r="AY471" s="184"/>
    </row>
    <row r="472" spans="2:51">
      <c r="B472" s="185">
        <v>2183</v>
      </c>
      <c r="C472" s="189">
        <v>206416</v>
      </c>
      <c r="D472" s="185" t="s">
        <v>989</v>
      </c>
      <c r="E472" s="185" t="s">
        <v>2003</v>
      </c>
      <c r="F472" s="185" t="s">
        <v>1243</v>
      </c>
      <c r="G472" s="185"/>
      <c r="H472" s="185"/>
      <c r="I472" s="188">
        <v>5</v>
      </c>
      <c r="J472" s="185"/>
      <c r="K472" s="188">
        <v>0</v>
      </c>
      <c r="L472" s="185" t="s">
        <v>1149</v>
      </c>
      <c r="M472" s="185"/>
      <c r="N472" s="185" t="s">
        <v>2190</v>
      </c>
      <c r="O472" s="185" t="s">
        <v>2184</v>
      </c>
      <c r="P472" s="185"/>
      <c r="Q472" s="185" t="s">
        <v>2191</v>
      </c>
      <c r="R472" s="185" t="s">
        <v>2192</v>
      </c>
      <c r="S472" s="186">
        <v>43377</v>
      </c>
      <c r="T472" s="186">
        <v>43377</v>
      </c>
      <c r="U472" s="185" t="s">
        <v>1244</v>
      </c>
      <c r="V472" s="185">
        <v>1200</v>
      </c>
      <c r="W472" s="185">
        <v>14050</v>
      </c>
      <c r="X472" s="187">
        <v>33480.65</v>
      </c>
      <c r="Y472" s="185">
        <v>14056</v>
      </c>
      <c r="Z472" s="187">
        <v>15577.81</v>
      </c>
      <c r="AA472" s="187">
        <v>0</v>
      </c>
      <c r="AB472" s="187">
        <v>17902.840000000004</v>
      </c>
      <c r="AC472" s="187">
        <v>930</v>
      </c>
      <c r="AD472" s="185">
        <v>54260</v>
      </c>
      <c r="AE472" s="187">
        <v>232.5</v>
      </c>
      <c r="AF472" s="187">
        <v>0</v>
      </c>
      <c r="AG472" s="187">
        <v>232.5</v>
      </c>
      <c r="AH472" s="185" t="s">
        <v>989</v>
      </c>
      <c r="AI472" s="185"/>
      <c r="AJ472" s="185"/>
      <c r="AK472" s="185" t="s">
        <v>45</v>
      </c>
      <c r="AL472" s="185" t="s">
        <v>2267</v>
      </c>
      <c r="AM472" s="185" t="s">
        <v>2269</v>
      </c>
      <c r="AN472" s="196"/>
      <c r="AO472" s="196"/>
      <c r="AP472" s="195"/>
      <c r="AQ472" s="194"/>
      <c r="AR472" s="193"/>
      <c r="AS472" s="192"/>
      <c r="AT472" s="192"/>
      <c r="AU472" s="192"/>
      <c r="AV472" s="192"/>
      <c r="AW472" s="191"/>
      <c r="AX472" s="190" t="s">
        <v>72</v>
      </c>
      <c r="AY472" s="184"/>
    </row>
    <row r="473" spans="2:51">
      <c r="B473" s="185">
        <v>2183</v>
      </c>
      <c r="C473" s="189">
        <v>206415</v>
      </c>
      <c r="D473" s="185" t="s">
        <v>989</v>
      </c>
      <c r="E473" s="185" t="s">
        <v>2003</v>
      </c>
      <c r="F473" s="185" t="s">
        <v>1147</v>
      </c>
      <c r="G473" s="185"/>
      <c r="H473" s="185"/>
      <c r="I473" s="188">
        <v>624</v>
      </c>
      <c r="J473" s="185"/>
      <c r="K473" s="188">
        <v>0</v>
      </c>
      <c r="L473" s="185" t="s">
        <v>1129</v>
      </c>
      <c r="M473" s="185"/>
      <c r="N473" s="185" t="s">
        <v>2190</v>
      </c>
      <c r="O473" s="185" t="s">
        <v>2184</v>
      </c>
      <c r="P473" s="185"/>
      <c r="Q473" s="185"/>
      <c r="R473" s="185"/>
      <c r="S473" s="186">
        <v>43392</v>
      </c>
      <c r="T473" s="186">
        <v>43392</v>
      </c>
      <c r="U473" s="185" t="s">
        <v>1245</v>
      </c>
      <c r="V473" s="185">
        <v>700</v>
      </c>
      <c r="W473" s="185">
        <v>14050</v>
      </c>
      <c r="X473" s="187">
        <v>33383.51</v>
      </c>
      <c r="Y473" s="185">
        <v>14056</v>
      </c>
      <c r="Z473" s="187">
        <v>26229.88</v>
      </c>
      <c r="AA473" s="187">
        <v>0</v>
      </c>
      <c r="AB473" s="187">
        <v>7153.630000000001</v>
      </c>
      <c r="AC473" s="187">
        <v>1589.68</v>
      </c>
      <c r="AD473" s="185">
        <v>54260</v>
      </c>
      <c r="AE473" s="187">
        <v>397.42</v>
      </c>
      <c r="AF473" s="187">
        <v>0</v>
      </c>
      <c r="AG473" s="187">
        <v>397.42</v>
      </c>
      <c r="AH473" s="185" t="s">
        <v>989</v>
      </c>
      <c r="AI473" s="185"/>
      <c r="AJ473" s="185"/>
      <c r="AK473" s="185" t="s">
        <v>45</v>
      </c>
      <c r="AL473" s="185" t="s">
        <v>2267</v>
      </c>
      <c r="AM473" s="185" t="s">
        <v>2269</v>
      </c>
      <c r="AN473" s="196"/>
      <c r="AO473" s="196"/>
      <c r="AP473" s="195"/>
      <c r="AQ473" s="194"/>
      <c r="AR473" s="193"/>
      <c r="AS473" s="192"/>
      <c r="AT473" s="192"/>
      <c r="AU473" s="192"/>
      <c r="AV473" s="192"/>
      <c r="AW473" s="191"/>
      <c r="AX473" s="190" t="s">
        <v>72</v>
      </c>
      <c r="AY473" s="184"/>
    </row>
    <row r="474" spans="2:51" hidden="1">
      <c r="B474" s="185">
        <v>2183</v>
      </c>
      <c r="C474" s="189">
        <v>206320</v>
      </c>
      <c r="D474" s="185">
        <v>202167</v>
      </c>
      <c r="E474" s="185" t="s">
        <v>2003</v>
      </c>
      <c r="F474" s="185" t="s">
        <v>888</v>
      </c>
      <c r="G474" s="185"/>
      <c r="H474" s="185"/>
      <c r="I474" s="188">
        <v>1</v>
      </c>
      <c r="J474" s="185"/>
      <c r="K474" s="188">
        <v>0</v>
      </c>
      <c r="L474" s="185" t="s">
        <v>1246</v>
      </c>
      <c r="M474" s="185"/>
      <c r="N474" s="185" t="s">
        <v>2183</v>
      </c>
      <c r="O474" s="185" t="s">
        <v>2184</v>
      </c>
      <c r="P474" s="185" t="s">
        <v>1028</v>
      </c>
      <c r="Q474" s="185"/>
      <c r="R474" s="185"/>
      <c r="S474" s="186">
        <v>43313</v>
      </c>
      <c r="T474" s="186">
        <v>43313</v>
      </c>
      <c r="U474" s="185" t="s">
        <v>1247</v>
      </c>
      <c r="V474" s="185">
        <v>500</v>
      </c>
      <c r="W474" s="185">
        <v>14040</v>
      </c>
      <c r="X474" s="187">
        <v>731.05</v>
      </c>
      <c r="Y474" s="185">
        <v>14046</v>
      </c>
      <c r="Z474" s="187">
        <v>731.05</v>
      </c>
      <c r="AA474" s="187">
        <v>0</v>
      </c>
      <c r="AB474" s="187">
        <v>0</v>
      </c>
      <c r="AC474" s="187">
        <v>0</v>
      </c>
      <c r="AD474" s="185">
        <v>51260</v>
      </c>
      <c r="AE474" s="187">
        <v>0</v>
      </c>
      <c r="AF474" s="187">
        <v>0</v>
      </c>
      <c r="AG474" s="187">
        <v>0</v>
      </c>
      <c r="AH474" s="185" t="s">
        <v>989</v>
      </c>
      <c r="AI474" s="185"/>
      <c r="AJ474" s="185"/>
      <c r="AK474" s="185" t="s">
        <v>45</v>
      </c>
      <c r="AL474" s="185" t="s">
        <v>2267</v>
      </c>
      <c r="AM474" s="185" t="s">
        <v>2269</v>
      </c>
      <c r="AN474" s="196"/>
      <c r="AO474" s="196"/>
      <c r="AP474" s="195"/>
      <c r="AQ474" s="194"/>
      <c r="AR474" s="193"/>
      <c r="AS474" s="192"/>
      <c r="AT474" s="192"/>
      <c r="AU474" s="192"/>
      <c r="AV474" s="192"/>
      <c r="AW474" s="191"/>
      <c r="AX474" s="190" t="s">
        <v>72</v>
      </c>
      <c r="AY474" s="184"/>
    </row>
    <row r="475" spans="2:51" hidden="1">
      <c r="B475" s="185">
        <v>2183</v>
      </c>
      <c r="C475" s="189">
        <v>206195</v>
      </c>
      <c r="D475" s="185">
        <v>205327</v>
      </c>
      <c r="E475" s="185" t="s">
        <v>2003</v>
      </c>
      <c r="F475" s="185" t="s">
        <v>1248</v>
      </c>
      <c r="G475" s="185"/>
      <c r="H475" s="185"/>
      <c r="I475" s="188">
        <v>1</v>
      </c>
      <c r="J475" s="185"/>
      <c r="K475" s="188">
        <v>0</v>
      </c>
      <c r="L475" s="185" t="s">
        <v>1112</v>
      </c>
      <c r="M475" s="185"/>
      <c r="N475" s="185" t="s">
        <v>2183</v>
      </c>
      <c r="O475" s="185" t="s">
        <v>2184</v>
      </c>
      <c r="P475" s="185" t="s">
        <v>1028</v>
      </c>
      <c r="Q475" s="185"/>
      <c r="R475" s="185"/>
      <c r="S475" s="186">
        <v>43404</v>
      </c>
      <c r="T475" s="186">
        <v>43404</v>
      </c>
      <c r="U475" s="185" t="s">
        <v>1249</v>
      </c>
      <c r="V475" s="185">
        <v>1000</v>
      </c>
      <c r="W475" s="185">
        <v>14040</v>
      </c>
      <c r="X475" s="187">
        <v>1155.33</v>
      </c>
      <c r="Y475" s="185">
        <v>14046</v>
      </c>
      <c r="Z475" s="187">
        <v>635.42999999999995</v>
      </c>
      <c r="AA475" s="187">
        <v>0</v>
      </c>
      <c r="AB475" s="187">
        <v>519.9</v>
      </c>
      <c r="AC475" s="187">
        <v>38.520000000000003</v>
      </c>
      <c r="AD475" s="185">
        <v>51260</v>
      </c>
      <c r="AE475" s="187">
        <v>9.6300000000000008</v>
      </c>
      <c r="AF475" s="187">
        <v>0</v>
      </c>
      <c r="AG475" s="187">
        <v>9.6300000000000008</v>
      </c>
      <c r="AH475" s="185" t="s">
        <v>989</v>
      </c>
      <c r="AI475" s="185"/>
      <c r="AJ475" s="185"/>
      <c r="AK475" s="185" t="s">
        <v>45</v>
      </c>
      <c r="AL475" s="185" t="s">
        <v>2267</v>
      </c>
      <c r="AM475" s="185" t="s">
        <v>2269</v>
      </c>
      <c r="AN475" s="196"/>
      <c r="AO475" s="196"/>
      <c r="AP475" s="195"/>
      <c r="AQ475" s="194"/>
      <c r="AR475" s="193"/>
      <c r="AS475" s="192"/>
      <c r="AT475" s="192"/>
      <c r="AU475" s="192"/>
      <c r="AV475" s="192"/>
      <c r="AW475" s="191"/>
      <c r="AX475" s="190" t="s">
        <v>72</v>
      </c>
      <c r="AY475" s="184"/>
    </row>
    <row r="476" spans="2:51">
      <c r="B476" s="185">
        <v>2183</v>
      </c>
      <c r="C476" s="189">
        <v>205650</v>
      </c>
      <c r="D476" s="185" t="s">
        <v>989</v>
      </c>
      <c r="E476" s="185" t="s">
        <v>2003</v>
      </c>
      <c r="F476" s="185" t="s">
        <v>738</v>
      </c>
      <c r="G476" s="185"/>
      <c r="H476" s="185"/>
      <c r="I476" s="188">
        <v>864</v>
      </c>
      <c r="J476" s="185"/>
      <c r="K476" s="188">
        <v>0</v>
      </c>
      <c r="L476" s="185" t="s">
        <v>1129</v>
      </c>
      <c r="M476" s="185"/>
      <c r="N476" s="185" t="s">
        <v>2190</v>
      </c>
      <c r="O476" s="185" t="s">
        <v>2184</v>
      </c>
      <c r="P476" s="185"/>
      <c r="Q476" s="185"/>
      <c r="R476" s="185"/>
      <c r="S476" s="186">
        <v>43392</v>
      </c>
      <c r="T476" s="186">
        <v>43392</v>
      </c>
      <c r="U476" s="185" t="s">
        <v>1245</v>
      </c>
      <c r="V476" s="185">
        <v>700</v>
      </c>
      <c r="W476" s="185">
        <v>14050</v>
      </c>
      <c r="X476" s="187">
        <v>39799.9</v>
      </c>
      <c r="Y476" s="185">
        <v>14056</v>
      </c>
      <c r="Z476" s="187">
        <v>31271.360000000001</v>
      </c>
      <c r="AA476" s="187">
        <v>0</v>
      </c>
      <c r="AB476" s="187">
        <v>8528.5400000000009</v>
      </c>
      <c r="AC476" s="187">
        <v>1895.24</v>
      </c>
      <c r="AD476" s="185">
        <v>54260</v>
      </c>
      <c r="AE476" s="187">
        <v>473.81</v>
      </c>
      <c r="AF476" s="187">
        <v>0</v>
      </c>
      <c r="AG476" s="187">
        <v>473.81</v>
      </c>
      <c r="AH476" s="185" t="s">
        <v>989</v>
      </c>
      <c r="AI476" s="185"/>
      <c r="AJ476" s="185"/>
      <c r="AK476" s="185" t="s">
        <v>45</v>
      </c>
      <c r="AL476" s="185" t="s">
        <v>2267</v>
      </c>
      <c r="AM476" s="185" t="s">
        <v>2269</v>
      </c>
      <c r="AN476" s="196"/>
      <c r="AO476" s="196"/>
      <c r="AP476" s="195"/>
      <c r="AQ476" s="194"/>
      <c r="AR476" s="193"/>
      <c r="AS476" s="192"/>
      <c r="AT476" s="192"/>
      <c r="AU476" s="192"/>
      <c r="AV476" s="192"/>
      <c r="AW476" s="191"/>
      <c r="AX476" s="190" t="s">
        <v>72</v>
      </c>
      <c r="AY476" s="184"/>
    </row>
    <row r="477" spans="2:51" hidden="1">
      <c r="B477" s="185">
        <v>2183</v>
      </c>
      <c r="C477" s="189">
        <v>205642</v>
      </c>
      <c r="D477" s="185">
        <v>202839</v>
      </c>
      <c r="E477" s="185" t="s">
        <v>2003</v>
      </c>
      <c r="F477" s="185" t="s">
        <v>731</v>
      </c>
      <c r="G477" s="185"/>
      <c r="H477" s="185"/>
      <c r="I477" s="188">
        <v>1</v>
      </c>
      <c r="J477" s="185"/>
      <c r="K477" s="188">
        <v>0</v>
      </c>
      <c r="L477" s="185" t="s">
        <v>1097</v>
      </c>
      <c r="M477" s="185"/>
      <c r="N477" s="185" t="s">
        <v>2183</v>
      </c>
      <c r="O477" s="185" t="s">
        <v>2184</v>
      </c>
      <c r="P477" s="185" t="s">
        <v>1028</v>
      </c>
      <c r="Q477" s="185"/>
      <c r="R477" s="185"/>
      <c r="S477" s="186">
        <v>43373</v>
      </c>
      <c r="T477" s="186">
        <v>43373</v>
      </c>
      <c r="U477" s="185" t="s">
        <v>1250</v>
      </c>
      <c r="V477" s="185">
        <v>500</v>
      </c>
      <c r="W477" s="185">
        <v>14040</v>
      </c>
      <c r="X477" s="187">
        <v>796.28</v>
      </c>
      <c r="Y477" s="185">
        <v>14046</v>
      </c>
      <c r="Z477" s="187">
        <v>796.28</v>
      </c>
      <c r="AA477" s="187">
        <v>0</v>
      </c>
      <c r="AB477" s="187">
        <v>0</v>
      </c>
      <c r="AC477" s="187">
        <v>0</v>
      </c>
      <c r="AD477" s="185">
        <v>51260</v>
      </c>
      <c r="AE477" s="187">
        <v>0</v>
      </c>
      <c r="AF477" s="187">
        <v>0</v>
      </c>
      <c r="AG477" s="187">
        <v>0</v>
      </c>
      <c r="AH477" s="185" t="s">
        <v>989</v>
      </c>
      <c r="AI477" s="185"/>
      <c r="AJ477" s="185"/>
      <c r="AK477" s="185" t="s">
        <v>45</v>
      </c>
      <c r="AL477" s="185" t="s">
        <v>2267</v>
      </c>
      <c r="AM477" s="185" t="s">
        <v>2269</v>
      </c>
      <c r="AN477" s="196"/>
      <c r="AO477" s="196"/>
      <c r="AP477" s="195"/>
      <c r="AQ477" s="194"/>
      <c r="AR477" s="193"/>
      <c r="AS477" s="192"/>
      <c r="AT477" s="192"/>
      <c r="AU477" s="192"/>
      <c r="AV477" s="192"/>
      <c r="AW477" s="191"/>
      <c r="AX477" s="190" t="s">
        <v>72</v>
      </c>
      <c r="AY477" s="184"/>
    </row>
    <row r="478" spans="2:51" hidden="1">
      <c r="B478" s="185">
        <v>2183</v>
      </c>
      <c r="C478" s="189">
        <v>205641</v>
      </c>
      <c r="D478" s="185">
        <v>203829</v>
      </c>
      <c r="E478" s="185" t="s">
        <v>2003</v>
      </c>
      <c r="F478" s="185" t="s">
        <v>731</v>
      </c>
      <c r="G478" s="185"/>
      <c r="H478" s="185"/>
      <c r="I478" s="188">
        <v>1</v>
      </c>
      <c r="J478" s="185"/>
      <c r="K478" s="188">
        <v>0</v>
      </c>
      <c r="L478" s="185" t="s">
        <v>1097</v>
      </c>
      <c r="M478" s="185"/>
      <c r="N478" s="185" t="s">
        <v>2183</v>
      </c>
      <c r="O478" s="185" t="s">
        <v>2184</v>
      </c>
      <c r="P478" s="185" t="s">
        <v>1028</v>
      </c>
      <c r="Q478" s="185"/>
      <c r="R478" s="185"/>
      <c r="S478" s="186">
        <v>43385</v>
      </c>
      <c r="T478" s="186">
        <v>43385</v>
      </c>
      <c r="U478" s="185" t="s">
        <v>1251</v>
      </c>
      <c r="V478" s="185">
        <v>500</v>
      </c>
      <c r="W478" s="185">
        <v>14040</v>
      </c>
      <c r="X478" s="187">
        <v>796.28</v>
      </c>
      <c r="Y478" s="185">
        <v>14046</v>
      </c>
      <c r="Z478" s="187">
        <v>796.28</v>
      </c>
      <c r="AA478" s="187">
        <v>0</v>
      </c>
      <c r="AB478" s="187">
        <v>0</v>
      </c>
      <c r="AC478" s="187">
        <v>0</v>
      </c>
      <c r="AD478" s="185">
        <v>51260</v>
      </c>
      <c r="AE478" s="187">
        <v>0</v>
      </c>
      <c r="AF478" s="187">
        <v>0</v>
      </c>
      <c r="AG478" s="187">
        <v>0</v>
      </c>
      <c r="AH478" s="185" t="s">
        <v>989</v>
      </c>
      <c r="AI478" s="185"/>
      <c r="AJ478" s="185"/>
      <c r="AK478" s="185" t="s">
        <v>45</v>
      </c>
      <c r="AL478" s="185" t="s">
        <v>2267</v>
      </c>
      <c r="AM478" s="185" t="s">
        <v>2269</v>
      </c>
      <c r="AN478" s="196"/>
      <c r="AO478" s="196"/>
      <c r="AP478" s="195"/>
      <c r="AQ478" s="194"/>
      <c r="AR478" s="193"/>
      <c r="AS478" s="192"/>
      <c r="AT478" s="192"/>
      <c r="AU478" s="192"/>
      <c r="AV478" s="192"/>
      <c r="AW478" s="191"/>
      <c r="AX478" s="190" t="s">
        <v>72</v>
      </c>
      <c r="AY478" s="184"/>
    </row>
    <row r="479" spans="2:51" hidden="1">
      <c r="B479" s="185">
        <v>2183</v>
      </c>
      <c r="C479" s="189">
        <v>205640</v>
      </c>
      <c r="D479" s="185">
        <v>203124</v>
      </c>
      <c r="E479" s="185" t="s">
        <v>2003</v>
      </c>
      <c r="F479" s="185" t="s">
        <v>731</v>
      </c>
      <c r="G479" s="185"/>
      <c r="H479" s="185"/>
      <c r="I479" s="188">
        <v>1</v>
      </c>
      <c r="J479" s="185"/>
      <c r="K479" s="188">
        <v>0</v>
      </c>
      <c r="L479" s="185" t="s">
        <v>1037</v>
      </c>
      <c r="M479" s="185"/>
      <c r="N479" s="185" t="s">
        <v>2183</v>
      </c>
      <c r="O479" s="185" t="s">
        <v>2184</v>
      </c>
      <c r="P479" s="185" t="s">
        <v>1028</v>
      </c>
      <c r="Q479" s="185"/>
      <c r="R479" s="185"/>
      <c r="S479" s="186">
        <v>43373</v>
      </c>
      <c r="T479" s="186">
        <v>43373</v>
      </c>
      <c r="U479" s="185" t="s">
        <v>1252</v>
      </c>
      <c r="V479" s="185">
        <v>500</v>
      </c>
      <c r="W479" s="185">
        <v>14040</v>
      </c>
      <c r="X479" s="187">
        <v>796.28</v>
      </c>
      <c r="Y479" s="185">
        <v>14046</v>
      </c>
      <c r="Z479" s="187">
        <v>796.28</v>
      </c>
      <c r="AA479" s="187">
        <v>0</v>
      </c>
      <c r="AB479" s="187">
        <v>0</v>
      </c>
      <c r="AC479" s="187">
        <v>0</v>
      </c>
      <c r="AD479" s="185">
        <v>51260</v>
      </c>
      <c r="AE479" s="187">
        <v>0</v>
      </c>
      <c r="AF479" s="187">
        <v>0</v>
      </c>
      <c r="AG479" s="187">
        <v>0</v>
      </c>
      <c r="AH479" s="185" t="s">
        <v>989</v>
      </c>
      <c r="AI479" s="185"/>
      <c r="AJ479" s="185"/>
      <c r="AK479" s="185" t="s">
        <v>45</v>
      </c>
      <c r="AL479" s="185" t="s">
        <v>2267</v>
      </c>
      <c r="AM479" s="185" t="s">
        <v>2269</v>
      </c>
      <c r="AN479" s="196"/>
      <c r="AO479" s="196"/>
      <c r="AP479" s="195"/>
      <c r="AQ479" s="194"/>
      <c r="AR479" s="193"/>
      <c r="AS479" s="192"/>
      <c r="AT479" s="192"/>
      <c r="AU479" s="192"/>
      <c r="AV479" s="192"/>
      <c r="AW479" s="191"/>
      <c r="AX479" s="190" t="s">
        <v>72</v>
      </c>
      <c r="AY479" s="184"/>
    </row>
    <row r="480" spans="2:51" hidden="1">
      <c r="B480" s="185">
        <v>2183</v>
      </c>
      <c r="C480" s="189">
        <v>205639</v>
      </c>
      <c r="D480" s="185">
        <v>207237</v>
      </c>
      <c r="E480" s="185" t="s">
        <v>2003</v>
      </c>
      <c r="F480" s="185" t="s">
        <v>731</v>
      </c>
      <c r="G480" s="185"/>
      <c r="H480" s="185"/>
      <c r="I480" s="188">
        <v>1</v>
      </c>
      <c r="J480" s="185"/>
      <c r="K480" s="188">
        <v>0</v>
      </c>
      <c r="L480" s="185" t="s">
        <v>1037</v>
      </c>
      <c r="M480" s="185"/>
      <c r="N480" s="185" t="s">
        <v>2183</v>
      </c>
      <c r="O480" s="185" t="s">
        <v>2184</v>
      </c>
      <c r="P480" s="185" t="s">
        <v>1028</v>
      </c>
      <c r="Q480" s="185"/>
      <c r="R480" s="185"/>
      <c r="S480" s="186">
        <v>43430</v>
      </c>
      <c r="T480" s="186">
        <v>43430</v>
      </c>
      <c r="U480" s="185" t="s">
        <v>1240</v>
      </c>
      <c r="V480" s="185">
        <v>500</v>
      </c>
      <c r="W480" s="185">
        <v>14040</v>
      </c>
      <c r="X480" s="187">
        <v>796.28</v>
      </c>
      <c r="Y480" s="185">
        <v>14046</v>
      </c>
      <c r="Z480" s="187">
        <v>796.28</v>
      </c>
      <c r="AA480" s="187">
        <v>0</v>
      </c>
      <c r="AB480" s="187">
        <v>0</v>
      </c>
      <c r="AC480" s="187">
        <v>0</v>
      </c>
      <c r="AD480" s="185">
        <v>51260</v>
      </c>
      <c r="AE480" s="187">
        <v>0</v>
      </c>
      <c r="AF480" s="187">
        <v>0</v>
      </c>
      <c r="AG480" s="187">
        <v>0</v>
      </c>
      <c r="AH480" s="185" t="s">
        <v>989</v>
      </c>
      <c r="AI480" s="185"/>
      <c r="AJ480" s="185"/>
      <c r="AK480" s="185" t="s">
        <v>45</v>
      </c>
      <c r="AL480" s="185" t="s">
        <v>2267</v>
      </c>
      <c r="AM480" s="185" t="s">
        <v>2269</v>
      </c>
      <c r="AN480" s="196"/>
      <c r="AO480" s="196"/>
      <c r="AP480" s="195"/>
      <c r="AQ480" s="194"/>
      <c r="AR480" s="193"/>
      <c r="AS480" s="192"/>
      <c r="AT480" s="192"/>
      <c r="AU480" s="192"/>
      <c r="AV480" s="192"/>
      <c r="AW480" s="191"/>
      <c r="AX480" s="190" t="s">
        <v>72</v>
      </c>
      <c r="AY480" s="184"/>
    </row>
    <row r="481" spans="2:51" hidden="1">
      <c r="B481" s="185">
        <v>2183</v>
      </c>
      <c r="C481" s="189">
        <v>205638</v>
      </c>
      <c r="D481" s="185">
        <v>202838</v>
      </c>
      <c r="E481" s="185" t="s">
        <v>2003</v>
      </c>
      <c r="F481" s="185" t="s">
        <v>731</v>
      </c>
      <c r="G481" s="185"/>
      <c r="H481" s="185"/>
      <c r="I481" s="188">
        <v>1</v>
      </c>
      <c r="J481" s="185"/>
      <c r="K481" s="188">
        <v>0</v>
      </c>
      <c r="L481" s="185" t="s">
        <v>1037</v>
      </c>
      <c r="M481" s="185"/>
      <c r="N481" s="185" t="s">
        <v>2183</v>
      </c>
      <c r="O481" s="185" t="s">
        <v>2184</v>
      </c>
      <c r="P481" s="185" t="s">
        <v>1028</v>
      </c>
      <c r="Q481" s="185"/>
      <c r="R481" s="185"/>
      <c r="S481" s="186">
        <v>43430</v>
      </c>
      <c r="T481" s="186">
        <v>43430</v>
      </c>
      <c r="U481" s="185" t="s">
        <v>1253</v>
      </c>
      <c r="V481" s="185">
        <v>500</v>
      </c>
      <c r="W481" s="185">
        <v>14040</v>
      </c>
      <c r="X481" s="187">
        <v>796.28</v>
      </c>
      <c r="Y481" s="185">
        <v>14046</v>
      </c>
      <c r="Z481" s="187">
        <v>796.28</v>
      </c>
      <c r="AA481" s="187">
        <v>0</v>
      </c>
      <c r="AB481" s="187">
        <v>0</v>
      </c>
      <c r="AC481" s="187">
        <v>0</v>
      </c>
      <c r="AD481" s="185">
        <v>51260</v>
      </c>
      <c r="AE481" s="187">
        <v>0</v>
      </c>
      <c r="AF481" s="187">
        <v>0</v>
      </c>
      <c r="AG481" s="187">
        <v>0</v>
      </c>
      <c r="AH481" s="185" t="s">
        <v>989</v>
      </c>
      <c r="AI481" s="185"/>
      <c r="AJ481" s="185"/>
      <c r="AK481" s="185" t="s">
        <v>45</v>
      </c>
      <c r="AL481" s="185" t="s">
        <v>2267</v>
      </c>
      <c r="AM481" s="185" t="s">
        <v>2269</v>
      </c>
      <c r="AN481" s="196"/>
      <c r="AO481" s="196"/>
      <c r="AP481" s="195"/>
      <c r="AQ481" s="194"/>
      <c r="AR481" s="193"/>
      <c r="AS481" s="192"/>
      <c r="AT481" s="192"/>
      <c r="AU481" s="192"/>
      <c r="AV481" s="192"/>
      <c r="AW481" s="191"/>
      <c r="AX481" s="190" t="s">
        <v>72</v>
      </c>
      <c r="AY481" s="184"/>
    </row>
    <row r="482" spans="2:51" hidden="1">
      <c r="B482" s="185">
        <v>2183</v>
      </c>
      <c r="C482" s="189">
        <v>205637</v>
      </c>
      <c r="D482" s="185">
        <v>205327</v>
      </c>
      <c r="E482" s="185" t="s">
        <v>2003</v>
      </c>
      <c r="F482" s="185" t="s">
        <v>731</v>
      </c>
      <c r="G482" s="185"/>
      <c r="H482" s="185"/>
      <c r="I482" s="188">
        <v>1</v>
      </c>
      <c r="J482" s="185"/>
      <c r="K482" s="188">
        <v>0</v>
      </c>
      <c r="L482" s="185" t="s">
        <v>1037</v>
      </c>
      <c r="M482" s="185"/>
      <c r="N482" s="185" t="s">
        <v>2183</v>
      </c>
      <c r="O482" s="185" t="s">
        <v>2184</v>
      </c>
      <c r="P482" s="185" t="s">
        <v>1028</v>
      </c>
      <c r="Q482" s="185"/>
      <c r="R482" s="185"/>
      <c r="S482" s="186">
        <v>43423</v>
      </c>
      <c r="T482" s="186">
        <v>43423</v>
      </c>
      <c r="U482" s="185" t="s">
        <v>1249</v>
      </c>
      <c r="V482" s="185">
        <v>500</v>
      </c>
      <c r="W482" s="185">
        <v>14040</v>
      </c>
      <c r="X482" s="187">
        <v>796.28</v>
      </c>
      <c r="Y482" s="185">
        <v>14046</v>
      </c>
      <c r="Z482" s="187">
        <v>796.28</v>
      </c>
      <c r="AA482" s="187">
        <v>0</v>
      </c>
      <c r="AB482" s="187">
        <v>0</v>
      </c>
      <c r="AC482" s="187">
        <v>0</v>
      </c>
      <c r="AD482" s="185">
        <v>51260</v>
      </c>
      <c r="AE482" s="187">
        <v>0</v>
      </c>
      <c r="AF482" s="187">
        <v>0</v>
      </c>
      <c r="AG482" s="187">
        <v>0</v>
      </c>
      <c r="AH482" s="185" t="s">
        <v>989</v>
      </c>
      <c r="AI482" s="185"/>
      <c r="AJ482" s="185"/>
      <c r="AK482" s="185" t="s">
        <v>45</v>
      </c>
      <c r="AL482" s="185" t="s">
        <v>2267</v>
      </c>
      <c r="AM482" s="185" t="s">
        <v>2269</v>
      </c>
      <c r="AN482" s="196"/>
      <c r="AO482" s="196"/>
      <c r="AP482" s="195"/>
      <c r="AQ482" s="194"/>
      <c r="AR482" s="193"/>
      <c r="AS482" s="192"/>
      <c r="AT482" s="192"/>
      <c r="AU482" s="192"/>
      <c r="AV482" s="192"/>
      <c r="AW482" s="191"/>
      <c r="AX482" s="190" t="s">
        <v>72</v>
      </c>
      <c r="AY482" s="184"/>
    </row>
    <row r="483" spans="2:51">
      <c r="B483" s="185">
        <v>2183</v>
      </c>
      <c r="C483" s="189">
        <v>205327</v>
      </c>
      <c r="D483" s="185" t="s">
        <v>989</v>
      </c>
      <c r="E483" s="185" t="s">
        <v>2003</v>
      </c>
      <c r="F483" s="185" t="s">
        <v>762</v>
      </c>
      <c r="G483" s="185"/>
      <c r="H483" s="185"/>
      <c r="I483" s="188">
        <v>1</v>
      </c>
      <c r="J483" s="185" t="s">
        <v>1254</v>
      </c>
      <c r="K483" s="188">
        <v>2019</v>
      </c>
      <c r="L483" s="185" t="s">
        <v>1097</v>
      </c>
      <c r="M483" s="185" t="s">
        <v>1110</v>
      </c>
      <c r="N483" s="185" t="s">
        <v>2183</v>
      </c>
      <c r="O483" s="185" t="s">
        <v>2184</v>
      </c>
      <c r="P483" s="185" t="s">
        <v>2187</v>
      </c>
      <c r="Q483" s="185"/>
      <c r="R483" s="185"/>
      <c r="S483" s="186">
        <v>43423</v>
      </c>
      <c r="T483" s="186">
        <v>43423</v>
      </c>
      <c r="U483" s="185" t="s">
        <v>1249</v>
      </c>
      <c r="V483" s="185">
        <v>1000</v>
      </c>
      <c r="W483" s="185">
        <v>14040</v>
      </c>
      <c r="X483" s="187">
        <v>340374.63</v>
      </c>
      <c r="Y483" s="185">
        <v>14046</v>
      </c>
      <c r="Z483" s="187">
        <v>184369.6</v>
      </c>
      <c r="AA483" s="187">
        <v>0</v>
      </c>
      <c r="AB483" s="187">
        <v>156005.03</v>
      </c>
      <c r="AC483" s="187">
        <v>11345.84</v>
      </c>
      <c r="AD483" s="185">
        <v>51260</v>
      </c>
      <c r="AE483" s="187">
        <v>2836.46</v>
      </c>
      <c r="AF483" s="187">
        <v>0</v>
      </c>
      <c r="AG483" s="187">
        <v>2836.46</v>
      </c>
      <c r="AH483" s="185" t="s">
        <v>989</v>
      </c>
      <c r="AI483" s="185"/>
      <c r="AJ483" s="185">
        <v>3687</v>
      </c>
      <c r="AK483" s="185" t="s">
        <v>45</v>
      </c>
      <c r="AL483" s="185" t="s">
        <v>2267</v>
      </c>
      <c r="AM483" s="185" t="s">
        <v>2269</v>
      </c>
      <c r="AN483" s="196"/>
      <c r="AO483" s="196"/>
      <c r="AP483" s="195"/>
      <c r="AQ483" s="194"/>
      <c r="AR483" s="193"/>
      <c r="AS483" s="192"/>
      <c r="AT483" s="192"/>
      <c r="AU483" s="192"/>
      <c r="AV483" s="192"/>
      <c r="AW483" s="191"/>
      <c r="AX483" s="190" t="s">
        <v>72</v>
      </c>
      <c r="AY483" s="184"/>
    </row>
    <row r="484" spans="2:51" hidden="1">
      <c r="B484" s="185">
        <v>2183</v>
      </c>
      <c r="C484" s="189">
        <v>204944</v>
      </c>
      <c r="D484" s="185">
        <v>202090</v>
      </c>
      <c r="E484" s="185" t="s">
        <v>2003</v>
      </c>
      <c r="F484" s="185" t="s">
        <v>1255</v>
      </c>
      <c r="G484" s="185"/>
      <c r="H484" s="185"/>
      <c r="I484" s="188">
        <v>1</v>
      </c>
      <c r="J484" s="185"/>
      <c r="K484" s="188">
        <v>0</v>
      </c>
      <c r="L484" s="185" t="s">
        <v>1093</v>
      </c>
      <c r="M484" s="185"/>
      <c r="N484" s="185" t="s">
        <v>2183</v>
      </c>
      <c r="O484" s="185" t="s">
        <v>2184</v>
      </c>
      <c r="P484" s="185" t="s">
        <v>1028</v>
      </c>
      <c r="Q484" s="185"/>
      <c r="R484" s="185"/>
      <c r="S484" s="186">
        <v>43343</v>
      </c>
      <c r="T484" s="186">
        <v>43343</v>
      </c>
      <c r="U484" s="185" t="s">
        <v>1256</v>
      </c>
      <c r="V484" s="185">
        <v>500</v>
      </c>
      <c r="W484" s="185">
        <v>14040</v>
      </c>
      <c r="X484" s="187">
        <v>519.47</v>
      </c>
      <c r="Y484" s="185">
        <v>14046</v>
      </c>
      <c r="Z484" s="187">
        <v>519.47</v>
      </c>
      <c r="AA484" s="187">
        <v>0</v>
      </c>
      <c r="AB484" s="187">
        <v>0</v>
      </c>
      <c r="AC484" s="187">
        <v>0</v>
      </c>
      <c r="AD484" s="185">
        <v>51260</v>
      </c>
      <c r="AE484" s="187">
        <v>0</v>
      </c>
      <c r="AF484" s="187">
        <v>0</v>
      </c>
      <c r="AG484" s="187">
        <v>0</v>
      </c>
      <c r="AH484" s="185" t="s">
        <v>989</v>
      </c>
      <c r="AI484" s="185"/>
      <c r="AJ484" s="185"/>
      <c r="AK484" s="185" t="s">
        <v>45</v>
      </c>
      <c r="AL484" s="185" t="s">
        <v>2267</v>
      </c>
      <c r="AM484" s="185" t="s">
        <v>2269</v>
      </c>
      <c r="AN484" s="196"/>
      <c r="AO484" s="196"/>
      <c r="AP484" s="195"/>
      <c r="AQ484" s="194"/>
      <c r="AR484" s="193"/>
      <c r="AS484" s="192"/>
      <c r="AT484" s="192"/>
      <c r="AU484" s="192"/>
      <c r="AV484" s="192"/>
      <c r="AW484" s="191"/>
      <c r="AX484" s="190" t="s">
        <v>72</v>
      </c>
      <c r="AY484" s="184"/>
    </row>
    <row r="485" spans="2:51" hidden="1">
      <c r="B485" s="185">
        <v>2183</v>
      </c>
      <c r="C485" s="189">
        <v>204943</v>
      </c>
      <c r="D485" s="185">
        <v>205327</v>
      </c>
      <c r="E485" s="185" t="s">
        <v>2003</v>
      </c>
      <c r="F485" s="185" t="s">
        <v>1255</v>
      </c>
      <c r="G485" s="185"/>
      <c r="H485" s="185"/>
      <c r="I485" s="188">
        <v>1</v>
      </c>
      <c r="J485" s="185"/>
      <c r="K485" s="188">
        <v>0</v>
      </c>
      <c r="L485" s="185" t="s">
        <v>1093</v>
      </c>
      <c r="M485" s="185"/>
      <c r="N485" s="185" t="s">
        <v>2183</v>
      </c>
      <c r="O485" s="185" t="s">
        <v>2184</v>
      </c>
      <c r="P485" s="185" t="s">
        <v>1028</v>
      </c>
      <c r="Q485" s="185"/>
      <c r="R485" s="185"/>
      <c r="S485" s="186">
        <v>43404</v>
      </c>
      <c r="T485" s="186">
        <v>43404</v>
      </c>
      <c r="U485" s="185" t="s">
        <v>1249</v>
      </c>
      <c r="V485" s="185">
        <v>500</v>
      </c>
      <c r="W485" s="185">
        <v>14040</v>
      </c>
      <c r="X485" s="187">
        <v>519.47</v>
      </c>
      <c r="Y485" s="185">
        <v>14046</v>
      </c>
      <c r="Z485" s="187">
        <v>519.47</v>
      </c>
      <c r="AA485" s="187">
        <v>0</v>
      </c>
      <c r="AB485" s="187">
        <v>0</v>
      </c>
      <c r="AC485" s="187">
        <v>0</v>
      </c>
      <c r="AD485" s="185">
        <v>51260</v>
      </c>
      <c r="AE485" s="187">
        <v>0</v>
      </c>
      <c r="AF485" s="187">
        <v>0</v>
      </c>
      <c r="AG485" s="187">
        <v>0</v>
      </c>
      <c r="AH485" s="185" t="s">
        <v>989</v>
      </c>
      <c r="AI485" s="185"/>
      <c r="AJ485" s="185"/>
      <c r="AK485" s="185" t="s">
        <v>45</v>
      </c>
      <c r="AL485" s="185" t="s">
        <v>2267</v>
      </c>
      <c r="AM485" s="185" t="s">
        <v>2269</v>
      </c>
      <c r="AN485" s="196"/>
      <c r="AO485" s="196"/>
      <c r="AP485" s="195"/>
      <c r="AQ485" s="194"/>
      <c r="AR485" s="193"/>
      <c r="AS485" s="192"/>
      <c r="AT485" s="192"/>
      <c r="AU485" s="192"/>
      <c r="AV485" s="192"/>
      <c r="AW485" s="191"/>
      <c r="AX485" s="190" t="s">
        <v>72</v>
      </c>
      <c r="AY485" s="184"/>
    </row>
    <row r="486" spans="2:51" hidden="1">
      <c r="B486" s="185">
        <v>2183</v>
      </c>
      <c r="C486" s="189">
        <v>204942</v>
      </c>
      <c r="D486" s="185">
        <v>203829</v>
      </c>
      <c r="E486" s="185" t="s">
        <v>2003</v>
      </c>
      <c r="F486" s="185" t="s">
        <v>1255</v>
      </c>
      <c r="G486" s="185"/>
      <c r="H486" s="185"/>
      <c r="I486" s="188">
        <v>1</v>
      </c>
      <c r="J486" s="185"/>
      <c r="K486" s="188">
        <v>0</v>
      </c>
      <c r="L486" s="185" t="s">
        <v>1097</v>
      </c>
      <c r="M486" s="185"/>
      <c r="N486" s="185" t="s">
        <v>2183</v>
      </c>
      <c r="O486" s="185" t="s">
        <v>2184</v>
      </c>
      <c r="P486" s="185" t="s">
        <v>1028</v>
      </c>
      <c r="Q486" s="185"/>
      <c r="R486" s="185"/>
      <c r="S486" s="186">
        <v>43385</v>
      </c>
      <c r="T486" s="186">
        <v>43385</v>
      </c>
      <c r="U486" s="185" t="s">
        <v>1251</v>
      </c>
      <c r="V486" s="185">
        <v>500</v>
      </c>
      <c r="W486" s="185">
        <v>14040</v>
      </c>
      <c r="X486" s="187">
        <v>519.47</v>
      </c>
      <c r="Y486" s="185">
        <v>14046</v>
      </c>
      <c r="Z486" s="187">
        <v>519.47</v>
      </c>
      <c r="AA486" s="187">
        <v>0</v>
      </c>
      <c r="AB486" s="187">
        <v>0</v>
      </c>
      <c r="AC486" s="187">
        <v>0</v>
      </c>
      <c r="AD486" s="185">
        <v>51260</v>
      </c>
      <c r="AE486" s="187">
        <v>0</v>
      </c>
      <c r="AF486" s="187">
        <v>0</v>
      </c>
      <c r="AG486" s="187">
        <v>0</v>
      </c>
      <c r="AH486" s="185" t="s">
        <v>989</v>
      </c>
      <c r="AI486" s="185"/>
      <c r="AJ486" s="185"/>
      <c r="AK486" s="185" t="s">
        <v>45</v>
      </c>
      <c r="AL486" s="185" t="s">
        <v>2267</v>
      </c>
      <c r="AM486" s="185" t="s">
        <v>2269</v>
      </c>
      <c r="AN486" s="196"/>
      <c r="AO486" s="196"/>
      <c r="AP486" s="195"/>
      <c r="AQ486" s="194"/>
      <c r="AR486" s="193"/>
      <c r="AS486" s="192"/>
      <c r="AT486" s="192"/>
      <c r="AU486" s="192"/>
      <c r="AV486" s="192"/>
      <c r="AW486" s="191"/>
      <c r="AX486" s="190" t="s">
        <v>72</v>
      </c>
      <c r="AY486" s="184"/>
    </row>
    <row r="487" spans="2:51" hidden="1">
      <c r="B487" s="185">
        <v>2183</v>
      </c>
      <c r="C487" s="189">
        <v>204941</v>
      </c>
      <c r="D487" s="185">
        <v>207237</v>
      </c>
      <c r="E487" s="185" t="s">
        <v>2003</v>
      </c>
      <c r="F487" s="185" t="s">
        <v>1255</v>
      </c>
      <c r="G487" s="185"/>
      <c r="H487" s="185"/>
      <c r="I487" s="188">
        <v>1</v>
      </c>
      <c r="J487" s="185"/>
      <c r="K487" s="188">
        <v>0</v>
      </c>
      <c r="L487" s="185" t="s">
        <v>1093</v>
      </c>
      <c r="M487" s="185"/>
      <c r="N487" s="185" t="s">
        <v>2183</v>
      </c>
      <c r="O487" s="185" t="s">
        <v>2184</v>
      </c>
      <c r="P487" s="185" t="s">
        <v>1028</v>
      </c>
      <c r="Q487" s="185"/>
      <c r="R487" s="185"/>
      <c r="S487" s="186">
        <v>43404</v>
      </c>
      <c r="T487" s="186">
        <v>43404</v>
      </c>
      <c r="U487" s="185" t="s">
        <v>1240</v>
      </c>
      <c r="V487" s="185">
        <v>500</v>
      </c>
      <c r="W487" s="185">
        <v>14040</v>
      </c>
      <c r="X487" s="187">
        <v>519.47</v>
      </c>
      <c r="Y487" s="185">
        <v>14046</v>
      </c>
      <c r="Z487" s="187">
        <v>519.47</v>
      </c>
      <c r="AA487" s="187">
        <v>0</v>
      </c>
      <c r="AB487" s="187">
        <v>0</v>
      </c>
      <c r="AC487" s="187">
        <v>0</v>
      </c>
      <c r="AD487" s="185">
        <v>51260</v>
      </c>
      <c r="AE487" s="187">
        <v>0</v>
      </c>
      <c r="AF487" s="187">
        <v>0</v>
      </c>
      <c r="AG487" s="187">
        <v>0</v>
      </c>
      <c r="AH487" s="185" t="s">
        <v>989</v>
      </c>
      <c r="AI487" s="185"/>
      <c r="AJ487" s="185"/>
      <c r="AK487" s="185" t="s">
        <v>45</v>
      </c>
      <c r="AL487" s="185" t="s">
        <v>2267</v>
      </c>
      <c r="AM487" s="185" t="s">
        <v>2269</v>
      </c>
      <c r="AN487" s="196"/>
      <c r="AO487" s="196"/>
      <c r="AP487" s="195"/>
      <c r="AQ487" s="194"/>
      <c r="AR487" s="193"/>
      <c r="AS487" s="192"/>
      <c r="AT487" s="192"/>
      <c r="AU487" s="192"/>
      <c r="AV487" s="192"/>
      <c r="AW487" s="191"/>
      <c r="AX487" s="190" t="s">
        <v>72</v>
      </c>
      <c r="AY487" s="184"/>
    </row>
    <row r="488" spans="2:51" hidden="1">
      <c r="B488" s="185">
        <v>2183</v>
      </c>
      <c r="C488" s="189">
        <v>204940</v>
      </c>
      <c r="D488" s="185">
        <v>202838</v>
      </c>
      <c r="E488" s="185" t="s">
        <v>2003</v>
      </c>
      <c r="F488" s="185" t="s">
        <v>1255</v>
      </c>
      <c r="G488" s="185"/>
      <c r="H488" s="185"/>
      <c r="I488" s="188">
        <v>1</v>
      </c>
      <c r="J488" s="185"/>
      <c r="K488" s="188">
        <v>0</v>
      </c>
      <c r="L488" s="185" t="s">
        <v>1207</v>
      </c>
      <c r="M488" s="185"/>
      <c r="N488" s="185" t="s">
        <v>2183</v>
      </c>
      <c r="O488" s="185" t="s">
        <v>2184</v>
      </c>
      <c r="P488" s="185" t="s">
        <v>1028</v>
      </c>
      <c r="Q488" s="185"/>
      <c r="R488" s="185"/>
      <c r="S488" s="186">
        <v>43373</v>
      </c>
      <c r="T488" s="186">
        <v>43373</v>
      </c>
      <c r="U488" s="185" t="s">
        <v>1253</v>
      </c>
      <c r="V488" s="185">
        <v>500</v>
      </c>
      <c r="W488" s="185">
        <v>14040</v>
      </c>
      <c r="X488" s="187">
        <v>519.47</v>
      </c>
      <c r="Y488" s="185">
        <v>14046</v>
      </c>
      <c r="Z488" s="187">
        <v>519.47</v>
      </c>
      <c r="AA488" s="187">
        <v>0</v>
      </c>
      <c r="AB488" s="187">
        <v>0</v>
      </c>
      <c r="AC488" s="187">
        <v>0</v>
      </c>
      <c r="AD488" s="185">
        <v>51260</v>
      </c>
      <c r="AE488" s="187">
        <v>0</v>
      </c>
      <c r="AF488" s="187">
        <v>0</v>
      </c>
      <c r="AG488" s="187">
        <v>0</v>
      </c>
      <c r="AH488" s="185" t="s">
        <v>989</v>
      </c>
      <c r="AI488" s="185"/>
      <c r="AJ488" s="185"/>
      <c r="AK488" s="185" t="s">
        <v>45</v>
      </c>
      <c r="AL488" s="185" t="s">
        <v>2267</v>
      </c>
      <c r="AM488" s="185" t="s">
        <v>2269</v>
      </c>
      <c r="AN488" s="196"/>
      <c r="AO488" s="196"/>
      <c r="AP488" s="195"/>
      <c r="AQ488" s="194"/>
      <c r="AR488" s="193"/>
      <c r="AS488" s="192"/>
      <c r="AT488" s="192"/>
      <c r="AU488" s="192"/>
      <c r="AV488" s="192"/>
      <c r="AW488" s="191"/>
      <c r="AX488" s="190" t="s">
        <v>72</v>
      </c>
      <c r="AY488" s="184"/>
    </row>
    <row r="489" spans="2:51" hidden="1">
      <c r="B489" s="185">
        <v>2183</v>
      </c>
      <c r="C489" s="189">
        <v>204939</v>
      </c>
      <c r="D489" s="185">
        <v>202091</v>
      </c>
      <c r="E489" s="185" t="s">
        <v>2003</v>
      </c>
      <c r="F489" s="185" t="s">
        <v>1255</v>
      </c>
      <c r="G489" s="185"/>
      <c r="H489" s="185"/>
      <c r="I489" s="188">
        <v>1</v>
      </c>
      <c r="J489" s="185"/>
      <c r="K489" s="188">
        <v>0</v>
      </c>
      <c r="L489" s="185" t="s">
        <v>1207</v>
      </c>
      <c r="M489" s="185"/>
      <c r="N489" s="185" t="s">
        <v>2183</v>
      </c>
      <c r="O489" s="185" t="s">
        <v>2184</v>
      </c>
      <c r="P489" s="185" t="s">
        <v>1028</v>
      </c>
      <c r="Q489" s="185"/>
      <c r="R489" s="185"/>
      <c r="S489" s="186">
        <v>43343</v>
      </c>
      <c r="T489" s="186">
        <v>43343</v>
      </c>
      <c r="U489" s="185" t="s">
        <v>1257</v>
      </c>
      <c r="V489" s="185">
        <v>500</v>
      </c>
      <c r="W489" s="185">
        <v>14040</v>
      </c>
      <c r="X489" s="187">
        <v>519.47</v>
      </c>
      <c r="Y489" s="185">
        <v>14046</v>
      </c>
      <c r="Z489" s="187">
        <v>519.47</v>
      </c>
      <c r="AA489" s="187">
        <v>0</v>
      </c>
      <c r="AB489" s="187">
        <v>0</v>
      </c>
      <c r="AC489" s="187">
        <v>0</v>
      </c>
      <c r="AD489" s="185">
        <v>51260</v>
      </c>
      <c r="AE489" s="187">
        <v>0</v>
      </c>
      <c r="AF489" s="187">
        <v>0</v>
      </c>
      <c r="AG489" s="187">
        <v>0</v>
      </c>
      <c r="AH489" s="185" t="s">
        <v>989</v>
      </c>
      <c r="AI489" s="185"/>
      <c r="AJ489" s="185"/>
      <c r="AK489" s="185" t="s">
        <v>45</v>
      </c>
      <c r="AL489" s="185" t="s">
        <v>2267</v>
      </c>
      <c r="AM489" s="185" t="s">
        <v>2269</v>
      </c>
      <c r="AN489" s="196"/>
      <c r="AO489" s="196"/>
      <c r="AP489" s="195"/>
      <c r="AQ489" s="194"/>
      <c r="AR489" s="193"/>
      <c r="AS489" s="192"/>
      <c r="AT489" s="192"/>
      <c r="AU489" s="192"/>
      <c r="AV489" s="192"/>
      <c r="AW489" s="191"/>
      <c r="AX489" s="190" t="s">
        <v>72</v>
      </c>
      <c r="AY489" s="184"/>
    </row>
    <row r="490" spans="2:51" hidden="1">
      <c r="B490" s="185">
        <v>2183</v>
      </c>
      <c r="C490" s="189">
        <v>204911</v>
      </c>
      <c r="D490" s="185">
        <v>203760</v>
      </c>
      <c r="E490" s="185" t="s">
        <v>2003</v>
      </c>
      <c r="F490" s="185" t="s">
        <v>1258</v>
      </c>
      <c r="G490" s="185"/>
      <c r="H490" s="185"/>
      <c r="I490" s="188">
        <v>1</v>
      </c>
      <c r="J490" s="185"/>
      <c r="K490" s="188">
        <v>0</v>
      </c>
      <c r="L490" s="185" t="s">
        <v>1158</v>
      </c>
      <c r="M490" s="185"/>
      <c r="N490" s="185" t="s">
        <v>2183</v>
      </c>
      <c r="O490" s="185" t="s">
        <v>2184</v>
      </c>
      <c r="P490" s="185" t="s">
        <v>1028</v>
      </c>
      <c r="Q490" s="185"/>
      <c r="R490" s="185"/>
      <c r="S490" s="186">
        <v>43378</v>
      </c>
      <c r="T490" s="186">
        <v>43378</v>
      </c>
      <c r="U490" s="185" t="s">
        <v>1259</v>
      </c>
      <c r="V490" s="185">
        <v>500</v>
      </c>
      <c r="W490" s="185">
        <v>14040</v>
      </c>
      <c r="X490" s="187">
        <v>2798.55</v>
      </c>
      <c r="Y490" s="185">
        <v>14046</v>
      </c>
      <c r="Z490" s="187">
        <v>2798.55</v>
      </c>
      <c r="AA490" s="187">
        <v>0</v>
      </c>
      <c r="AB490" s="187">
        <v>0</v>
      </c>
      <c r="AC490" s="187">
        <v>0</v>
      </c>
      <c r="AD490" s="185">
        <v>51260</v>
      </c>
      <c r="AE490" s="187">
        <v>0</v>
      </c>
      <c r="AF490" s="187">
        <v>0</v>
      </c>
      <c r="AG490" s="187">
        <v>0</v>
      </c>
      <c r="AH490" s="185" t="s">
        <v>989</v>
      </c>
      <c r="AI490" s="185"/>
      <c r="AJ490" s="185"/>
      <c r="AK490" s="185" t="s">
        <v>45</v>
      </c>
      <c r="AL490" s="185" t="s">
        <v>2267</v>
      </c>
      <c r="AM490" s="185" t="s">
        <v>2269</v>
      </c>
      <c r="AN490" s="196"/>
      <c r="AO490" s="196"/>
      <c r="AP490" s="195"/>
      <c r="AQ490" s="194"/>
      <c r="AR490" s="193"/>
      <c r="AS490" s="192"/>
      <c r="AT490" s="192"/>
      <c r="AU490" s="192"/>
      <c r="AV490" s="192"/>
      <c r="AW490" s="191"/>
      <c r="AX490" s="190" t="s">
        <v>72</v>
      </c>
      <c r="AY490" s="184"/>
    </row>
    <row r="491" spans="2:51" hidden="1">
      <c r="B491" s="185">
        <v>2183</v>
      </c>
      <c r="C491" s="189">
        <v>204847</v>
      </c>
      <c r="D491" s="185">
        <v>203829</v>
      </c>
      <c r="E491" s="185" t="s">
        <v>2003</v>
      </c>
      <c r="F491" s="185" t="s">
        <v>1260</v>
      </c>
      <c r="G491" s="185"/>
      <c r="H491" s="185"/>
      <c r="I491" s="188">
        <v>1</v>
      </c>
      <c r="J491" s="185"/>
      <c r="K491" s="188">
        <v>0</v>
      </c>
      <c r="L491" s="185" t="s">
        <v>1097</v>
      </c>
      <c r="M491" s="185"/>
      <c r="N491" s="185" t="s">
        <v>2183</v>
      </c>
      <c r="O491" s="185" t="s">
        <v>2184</v>
      </c>
      <c r="P491" s="185" t="s">
        <v>1028</v>
      </c>
      <c r="Q491" s="185"/>
      <c r="R491" s="185"/>
      <c r="S491" s="186">
        <v>43385</v>
      </c>
      <c r="T491" s="186">
        <v>43385</v>
      </c>
      <c r="U491" s="185" t="s">
        <v>1251</v>
      </c>
      <c r="V491" s="185">
        <v>1000</v>
      </c>
      <c r="W491" s="185">
        <v>14040</v>
      </c>
      <c r="X491" s="187">
        <v>1236</v>
      </c>
      <c r="Y491" s="185">
        <v>14046</v>
      </c>
      <c r="Z491" s="187">
        <v>690.1</v>
      </c>
      <c r="AA491" s="187">
        <v>0</v>
      </c>
      <c r="AB491" s="187">
        <v>545.9</v>
      </c>
      <c r="AC491" s="187">
        <v>41.2</v>
      </c>
      <c r="AD491" s="185">
        <v>51260</v>
      </c>
      <c r="AE491" s="187">
        <v>10.3</v>
      </c>
      <c r="AF491" s="187">
        <v>0</v>
      </c>
      <c r="AG491" s="187">
        <v>10.3</v>
      </c>
      <c r="AH491" s="185" t="s">
        <v>989</v>
      </c>
      <c r="AI491" s="185"/>
      <c r="AJ491" s="185"/>
      <c r="AK491" s="185" t="s">
        <v>45</v>
      </c>
      <c r="AL491" s="185" t="s">
        <v>2267</v>
      </c>
      <c r="AM491" s="185" t="s">
        <v>2269</v>
      </c>
      <c r="AN491" s="196"/>
      <c r="AO491" s="196"/>
      <c r="AP491" s="195"/>
      <c r="AQ491" s="194"/>
      <c r="AR491" s="193"/>
      <c r="AS491" s="192"/>
      <c r="AT491" s="192"/>
      <c r="AU491" s="192"/>
      <c r="AV491" s="192"/>
      <c r="AW491" s="191"/>
      <c r="AX491" s="190" t="s">
        <v>72</v>
      </c>
      <c r="AY491" s="184"/>
    </row>
    <row r="492" spans="2:51" hidden="1">
      <c r="B492" s="185">
        <v>2183</v>
      </c>
      <c r="C492" s="189">
        <v>204846</v>
      </c>
      <c r="D492" s="185">
        <v>202838</v>
      </c>
      <c r="E492" s="185" t="s">
        <v>2003</v>
      </c>
      <c r="F492" s="185" t="s">
        <v>1261</v>
      </c>
      <c r="G492" s="185"/>
      <c r="H492" s="185"/>
      <c r="I492" s="188">
        <v>1</v>
      </c>
      <c r="J492" s="185"/>
      <c r="K492" s="188">
        <v>0</v>
      </c>
      <c r="L492" s="185" t="s">
        <v>1158</v>
      </c>
      <c r="M492" s="185"/>
      <c r="N492" s="185" t="s">
        <v>2183</v>
      </c>
      <c r="O492" s="185" t="s">
        <v>2184</v>
      </c>
      <c r="P492" s="185" t="s">
        <v>1028</v>
      </c>
      <c r="Q492" s="185"/>
      <c r="R492" s="185"/>
      <c r="S492" s="186">
        <v>43373</v>
      </c>
      <c r="T492" s="186">
        <v>43373</v>
      </c>
      <c r="U492" s="185" t="s">
        <v>1253</v>
      </c>
      <c r="V492" s="185">
        <v>1000</v>
      </c>
      <c r="W492" s="185">
        <v>14040</v>
      </c>
      <c r="X492" s="187">
        <v>243</v>
      </c>
      <c r="Y492" s="185">
        <v>14046</v>
      </c>
      <c r="Z492" s="187">
        <v>135.69999999999999</v>
      </c>
      <c r="AA492" s="187">
        <v>0</v>
      </c>
      <c r="AB492" s="187">
        <v>107.30000000000001</v>
      </c>
      <c r="AC492" s="187">
        <v>8.1199999999999992</v>
      </c>
      <c r="AD492" s="185">
        <v>51260</v>
      </c>
      <c r="AE492" s="187">
        <v>2.0299999999999998</v>
      </c>
      <c r="AF492" s="187">
        <v>0</v>
      </c>
      <c r="AG492" s="187">
        <v>2.0299999999999998</v>
      </c>
      <c r="AH492" s="185" t="s">
        <v>989</v>
      </c>
      <c r="AI492" s="185"/>
      <c r="AJ492" s="185"/>
      <c r="AK492" s="185" t="s">
        <v>45</v>
      </c>
      <c r="AL492" s="185" t="s">
        <v>2267</v>
      </c>
      <c r="AM492" s="185" t="s">
        <v>2269</v>
      </c>
      <c r="AN492" s="196"/>
      <c r="AO492" s="196"/>
      <c r="AP492" s="195"/>
      <c r="AQ492" s="194"/>
      <c r="AR492" s="193"/>
      <c r="AS492" s="192"/>
      <c r="AT492" s="192"/>
      <c r="AU492" s="192"/>
      <c r="AV492" s="192"/>
      <c r="AW492" s="191"/>
      <c r="AX492" s="190" t="s">
        <v>72</v>
      </c>
      <c r="AY492" s="184"/>
    </row>
    <row r="493" spans="2:51" hidden="1">
      <c r="B493" s="185">
        <v>2183</v>
      </c>
      <c r="C493" s="189">
        <v>204845</v>
      </c>
      <c r="D493" s="185">
        <v>202838</v>
      </c>
      <c r="E493" s="185" t="s">
        <v>2003</v>
      </c>
      <c r="F493" s="185" t="s">
        <v>1261</v>
      </c>
      <c r="G493" s="185"/>
      <c r="H493" s="185"/>
      <c r="I493" s="188">
        <v>1</v>
      </c>
      <c r="J493" s="185"/>
      <c r="K493" s="188">
        <v>0</v>
      </c>
      <c r="L493" s="185" t="s">
        <v>1158</v>
      </c>
      <c r="M493" s="185"/>
      <c r="N493" s="185" t="s">
        <v>2183</v>
      </c>
      <c r="O493" s="185" t="s">
        <v>2184</v>
      </c>
      <c r="P493" s="185" t="s">
        <v>1028</v>
      </c>
      <c r="Q493" s="185"/>
      <c r="R493" s="185"/>
      <c r="S493" s="186">
        <v>43373</v>
      </c>
      <c r="T493" s="186">
        <v>43373</v>
      </c>
      <c r="U493" s="185" t="s">
        <v>1253</v>
      </c>
      <c r="V493" s="185">
        <v>1000</v>
      </c>
      <c r="W493" s="185">
        <v>14040</v>
      </c>
      <c r="X493" s="187">
        <v>993</v>
      </c>
      <c r="Y493" s="185">
        <v>14046</v>
      </c>
      <c r="Z493" s="187">
        <v>554.45000000000005</v>
      </c>
      <c r="AA493" s="187">
        <v>0</v>
      </c>
      <c r="AB493" s="187">
        <v>438.54999999999995</v>
      </c>
      <c r="AC493" s="187">
        <v>33.119999999999997</v>
      </c>
      <c r="AD493" s="185">
        <v>51260</v>
      </c>
      <c r="AE493" s="187">
        <v>8.2799999999999994</v>
      </c>
      <c r="AF493" s="187">
        <v>0</v>
      </c>
      <c r="AG493" s="187">
        <v>8.2799999999999994</v>
      </c>
      <c r="AH493" s="185" t="s">
        <v>989</v>
      </c>
      <c r="AI493" s="185"/>
      <c r="AJ493" s="185"/>
      <c r="AK493" s="185" t="s">
        <v>45</v>
      </c>
      <c r="AL493" s="185" t="s">
        <v>2267</v>
      </c>
      <c r="AM493" s="185" t="s">
        <v>2269</v>
      </c>
      <c r="AN493" s="196"/>
      <c r="AO493" s="196"/>
      <c r="AP493" s="195"/>
      <c r="AQ493" s="194"/>
      <c r="AR493" s="193"/>
      <c r="AS493" s="192"/>
      <c r="AT493" s="192"/>
      <c r="AU493" s="192"/>
      <c r="AV493" s="192"/>
      <c r="AW493" s="191"/>
      <c r="AX493" s="190" t="s">
        <v>72</v>
      </c>
      <c r="AY493" s="184"/>
    </row>
    <row r="494" spans="2:51" hidden="1">
      <c r="B494" s="185">
        <v>2183</v>
      </c>
      <c r="C494" s="189">
        <v>204844</v>
      </c>
      <c r="D494" s="185">
        <v>202838</v>
      </c>
      <c r="E494" s="185" t="s">
        <v>2003</v>
      </c>
      <c r="F494" s="185" t="s">
        <v>729</v>
      </c>
      <c r="G494" s="185"/>
      <c r="H494" s="185"/>
      <c r="I494" s="188">
        <v>1</v>
      </c>
      <c r="J494" s="185"/>
      <c r="K494" s="188">
        <v>0</v>
      </c>
      <c r="L494" s="185" t="s">
        <v>1165</v>
      </c>
      <c r="M494" s="185"/>
      <c r="N494" s="185" t="s">
        <v>2183</v>
      </c>
      <c r="O494" s="185" t="s">
        <v>2184</v>
      </c>
      <c r="P494" s="185" t="s">
        <v>1028</v>
      </c>
      <c r="Q494" s="185"/>
      <c r="R494" s="185"/>
      <c r="S494" s="186">
        <v>43373</v>
      </c>
      <c r="T494" s="186">
        <v>43373</v>
      </c>
      <c r="U494" s="185" t="s">
        <v>1253</v>
      </c>
      <c r="V494" s="185">
        <v>1000</v>
      </c>
      <c r="W494" s="185">
        <v>14040</v>
      </c>
      <c r="X494" s="187">
        <v>952.88</v>
      </c>
      <c r="Y494" s="185">
        <v>14046</v>
      </c>
      <c r="Z494" s="187">
        <v>532.03</v>
      </c>
      <c r="AA494" s="187">
        <v>0</v>
      </c>
      <c r="AB494" s="187">
        <v>420.85</v>
      </c>
      <c r="AC494" s="187">
        <v>31.76</v>
      </c>
      <c r="AD494" s="185">
        <v>51260</v>
      </c>
      <c r="AE494" s="187">
        <v>7.94</v>
      </c>
      <c r="AF494" s="187">
        <v>0</v>
      </c>
      <c r="AG494" s="187">
        <v>7.94</v>
      </c>
      <c r="AH494" s="185" t="s">
        <v>989</v>
      </c>
      <c r="AI494" s="185"/>
      <c r="AJ494" s="185"/>
      <c r="AK494" s="185" t="s">
        <v>45</v>
      </c>
      <c r="AL494" s="185" t="s">
        <v>2267</v>
      </c>
      <c r="AM494" s="185" t="s">
        <v>2269</v>
      </c>
      <c r="AN494" s="196"/>
      <c r="AO494" s="196"/>
      <c r="AP494" s="195"/>
      <c r="AQ494" s="194"/>
      <c r="AR494" s="193"/>
      <c r="AS494" s="192"/>
      <c r="AT494" s="192"/>
      <c r="AU494" s="192"/>
      <c r="AV494" s="192"/>
      <c r="AW494" s="191"/>
      <c r="AX494" s="190" t="s">
        <v>72</v>
      </c>
      <c r="AY494" s="184"/>
    </row>
    <row r="495" spans="2:51" hidden="1">
      <c r="B495" s="185">
        <v>2183</v>
      </c>
      <c r="C495" s="189">
        <v>204843</v>
      </c>
      <c r="D495" s="185">
        <v>203124</v>
      </c>
      <c r="E495" s="185" t="s">
        <v>2003</v>
      </c>
      <c r="F495" s="185" t="s">
        <v>729</v>
      </c>
      <c r="G495" s="185"/>
      <c r="H495" s="185"/>
      <c r="I495" s="188">
        <v>1</v>
      </c>
      <c r="J495" s="185"/>
      <c r="K495" s="188">
        <v>0</v>
      </c>
      <c r="L495" s="185" t="s">
        <v>1165</v>
      </c>
      <c r="M495" s="185"/>
      <c r="N495" s="185" t="s">
        <v>2183</v>
      </c>
      <c r="O495" s="185" t="s">
        <v>2184</v>
      </c>
      <c r="P495" s="185" t="s">
        <v>1028</v>
      </c>
      <c r="Q495" s="185"/>
      <c r="R495" s="185"/>
      <c r="S495" s="186">
        <v>43373</v>
      </c>
      <c r="T495" s="186">
        <v>43373</v>
      </c>
      <c r="U495" s="185" t="s">
        <v>1252</v>
      </c>
      <c r="V495" s="185">
        <v>1000</v>
      </c>
      <c r="W495" s="185">
        <v>14040</v>
      </c>
      <c r="X495" s="187">
        <v>920.21</v>
      </c>
      <c r="Y495" s="185">
        <v>14046</v>
      </c>
      <c r="Z495" s="187">
        <v>513.79</v>
      </c>
      <c r="AA495" s="187">
        <v>0</v>
      </c>
      <c r="AB495" s="187">
        <v>406.42000000000007</v>
      </c>
      <c r="AC495" s="187">
        <v>30.68</v>
      </c>
      <c r="AD495" s="185">
        <v>51260</v>
      </c>
      <c r="AE495" s="187">
        <v>7.67</v>
      </c>
      <c r="AF495" s="187">
        <v>0</v>
      </c>
      <c r="AG495" s="187">
        <v>7.67</v>
      </c>
      <c r="AH495" s="185" t="s">
        <v>989</v>
      </c>
      <c r="AI495" s="185"/>
      <c r="AJ495" s="185"/>
      <c r="AK495" s="185" t="s">
        <v>45</v>
      </c>
      <c r="AL495" s="185" t="s">
        <v>2267</v>
      </c>
      <c r="AM495" s="185" t="s">
        <v>2269</v>
      </c>
      <c r="AN495" s="196"/>
      <c r="AO495" s="196"/>
      <c r="AP495" s="195"/>
      <c r="AQ495" s="194"/>
      <c r="AR495" s="193"/>
      <c r="AS495" s="192"/>
      <c r="AT495" s="192"/>
      <c r="AU495" s="192"/>
      <c r="AV495" s="192"/>
      <c r="AW495" s="191"/>
      <c r="AX495" s="190" t="s">
        <v>72</v>
      </c>
      <c r="AY495" s="184"/>
    </row>
    <row r="496" spans="2:51" hidden="1">
      <c r="B496" s="185">
        <v>2183</v>
      </c>
      <c r="C496" s="189">
        <v>204842</v>
      </c>
      <c r="D496" s="185">
        <v>203829</v>
      </c>
      <c r="E496" s="185" t="s">
        <v>2003</v>
      </c>
      <c r="F496" s="185" t="s">
        <v>729</v>
      </c>
      <c r="G496" s="185"/>
      <c r="H496" s="185"/>
      <c r="I496" s="188">
        <v>1</v>
      </c>
      <c r="J496" s="185"/>
      <c r="K496" s="188">
        <v>0</v>
      </c>
      <c r="L496" s="185" t="s">
        <v>1097</v>
      </c>
      <c r="M496" s="185"/>
      <c r="N496" s="185" t="s">
        <v>2183</v>
      </c>
      <c r="O496" s="185" t="s">
        <v>2184</v>
      </c>
      <c r="P496" s="185" t="s">
        <v>1028</v>
      </c>
      <c r="Q496" s="185"/>
      <c r="R496" s="185"/>
      <c r="S496" s="186">
        <v>43385</v>
      </c>
      <c r="T496" s="186">
        <v>43385</v>
      </c>
      <c r="U496" s="185" t="s">
        <v>1251</v>
      </c>
      <c r="V496" s="185">
        <v>1000</v>
      </c>
      <c r="W496" s="185">
        <v>14040</v>
      </c>
      <c r="X496" s="187">
        <v>892.98</v>
      </c>
      <c r="Y496" s="185">
        <v>14046</v>
      </c>
      <c r="Z496" s="187">
        <v>498.59</v>
      </c>
      <c r="AA496" s="187">
        <v>0</v>
      </c>
      <c r="AB496" s="187">
        <v>394.39000000000004</v>
      </c>
      <c r="AC496" s="187">
        <v>29.76</v>
      </c>
      <c r="AD496" s="185">
        <v>51260</v>
      </c>
      <c r="AE496" s="187">
        <v>7.44</v>
      </c>
      <c r="AF496" s="187">
        <v>0</v>
      </c>
      <c r="AG496" s="187">
        <v>7.44</v>
      </c>
      <c r="AH496" s="185" t="s">
        <v>989</v>
      </c>
      <c r="AI496" s="185"/>
      <c r="AJ496" s="185"/>
      <c r="AK496" s="185" t="s">
        <v>45</v>
      </c>
      <c r="AL496" s="185" t="s">
        <v>2267</v>
      </c>
      <c r="AM496" s="185" t="s">
        <v>2269</v>
      </c>
      <c r="AN496" s="196"/>
      <c r="AO496" s="196"/>
      <c r="AP496" s="195"/>
      <c r="AQ496" s="194"/>
      <c r="AR496" s="193"/>
      <c r="AS496" s="192"/>
      <c r="AT496" s="192"/>
      <c r="AU496" s="192"/>
      <c r="AV496" s="192"/>
      <c r="AW496" s="191"/>
      <c r="AX496" s="190" t="s">
        <v>72</v>
      </c>
      <c r="AY496" s="184"/>
    </row>
    <row r="497" spans="2:51" hidden="1">
      <c r="B497" s="185">
        <v>2183</v>
      </c>
      <c r="C497" s="189">
        <v>204841</v>
      </c>
      <c r="D497" s="185">
        <v>203124</v>
      </c>
      <c r="E497" s="185" t="s">
        <v>2003</v>
      </c>
      <c r="F497" s="185" t="s">
        <v>1262</v>
      </c>
      <c r="G497" s="185"/>
      <c r="H497" s="185"/>
      <c r="I497" s="188">
        <v>1</v>
      </c>
      <c r="J497" s="185"/>
      <c r="K497" s="188">
        <v>0</v>
      </c>
      <c r="L497" s="185" t="s">
        <v>1158</v>
      </c>
      <c r="M497" s="185"/>
      <c r="N497" s="185" t="s">
        <v>2183</v>
      </c>
      <c r="O497" s="185" t="s">
        <v>2184</v>
      </c>
      <c r="P497" s="185" t="s">
        <v>1028</v>
      </c>
      <c r="Q497" s="185"/>
      <c r="R497" s="185"/>
      <c r="S497" s="186">
        <v>43373</v>
      </c>
      <c r="T497" s="186">
        <v>43373</v>
      </c>
      <c r="U497" s="185" t="s">
        <v>1252</v>
      </c>
      <c r="V497" s="185">
        <v>1000</v>
      </c>
      <c r="W497" s="185">
        <v>14040</v>
      </c>
      <c r="X497" s="187">
        <v>1295.25</v>
      </c>
      <c r="Y497" s="185">
        <v>14046</v>
      </c>
      <c r="Z497" s="187">
        <v>723.19</v>
      </c>
      <c r="AA497" s="187">
        <v>0</v>
      </c>
      <c r="AB497" s="187">
        <v>572.05999999999995</v>
      </c>
      <c r="AC497" s="187">
        <v>43.16</v>
      </c>
      <c r="AD497" s="185">
        <v>51260</v>
      </c>
      <c r="AE497" s="187">
        <v>10.79</v>
      </c>
      <c r="AF497" s="187">
        <v>0</v>
      </c>
      <c r="AG497" s="187">
        <v>10.79</v>
      </c>
      <c r="AH497" s="185" t="s">
        <v>989</v>
      </c>
      <c r="AI497" s="185"/>
      <c r="AJ497" s="185"/>
      <c r="AK497" s="185" t="s">
        <v>45</v>
      </c>
      <c r="AL497" s="185" t="s">
        <v>2267</v>
      </c>
      <c r="AM497" s="185" t="s">
        <v>2269</v>
      </c>
      <c r="AN497" s="196"/>
      <c r="AO497" s="196"/>
      <c r="AP497" s="195"/>
      <c r="AQ497" s="194"/>
      <c r="AR497" s="193"/>
      <c r="AS497" s="192"/>
      <c r="AT497" s="192"/>
      <c r="AU497" s="192"/>
      <c r="AV497" s="192"/>
      <c r="AW497" s="191"/>
      <c r="AX497" s="190" t="s">
        <v>72</v>
      </c>
      <c r="AY497" s="184"/>
    </row>
    <row r="498" spans="2:51" hidden="1">
      <c r="B498" s="185">
        <v>2183</v>
      </c>
      <c r="C498" s="189">
        <v>204840</v>
      </c>
      <c r="D498" s="185">
        <v>202839</v>
      </c>
      <c r="E498" s="185" t="s">
        <v>2003</v>
      </c>
      <c r="F498" s="185" t="s">
        <v>729</v>
      </c>
      <c r="G498" s="185"/>
      <c r="H498" s="185"/>
      <c r="I498" s="188">
        <v>1</v>
      </c>
      <c r="J498" s="185"/>
      <c r="K498" s="188">
        <v>0</v>
      </c>
      <c r="L498" s="185" t="s">
        <v>1097</v>
      </c>
      <c r="M498" s="185"/>
      <c r="N498" s="185" t="s">
        <v>2183</v>
      </c>
      <c r="O498" s="185" t="s">
        <v>2184</v>
      </c>
      <c r="P498" s="185" t="s">
        <v>1028</v>
      </c>
      <c r="Q498" s="185"/>
      <c r="R498" s="185"/>
      <c r="S498" s="186">
        <v>43373</v>
      </c>
      <c r="T498" s="186">
        <v>43373</v>
      </c>
      <c r="U498" s="185" t="s">
        <v>1250</v>
      </c>
      <c r="V498" s="185">
        <v>1000</v>
      </c>
      <c r="W498" s="185">
        <v>14040</v>
      </c>
      <c r="X498" s="187">
        <v>952.88</v>
      </c>
      <c r="Y498" s="185">
        <v>14046</v>
      </c>
      <c r="Z498" s="187">
        <v>532.03</v>
      </c>
      <c r="AA498" s="187">
        <v>0</v>
      </c>
      <c r="AB498" s="187">
        <v>420.85</v>
      </c>
      <c r="AC498" s="187">
        <v>31.76</v>
      </c>
      <c r="AD498" s="185">
        <v>51260</v>
      </c>
      <c r="AE498" s="187">
        <v>7.94</v>
      </c>
      <c r="AF498" s="187">
        <v>0</v>
      </c>
      <c r="AG498" s="187">
        <v>7.94</v>
      </c>
      <c r="AH498" s="185" t="s">
        <v>989</v>
      </c>
      <c r="AI498" s="185"/>
      <c r="AJ498" s="185"/>
      <c r="AK498" s="185" t="s">
        <v>45</v>
      </c>
      <c r="AL498" s="185" t="s">
        <v>2267</v>
      </c>
      <c r="AM498" s="185" t="s">
        <v>2269</v>
      </c>
      <c r="AN498" s="196"/>
      <c r="AO498" s="196"/>
      <c r="AP498" s="195"/>
      <c r="AQ498" s="194"/>
      <c r="AR498" s="193"/>
      <c r="AS498" s="192"/>
      <c r="AT498" s="192"/>
      <c r="AU498" s="192"/>
      <c r="AV498" s="192"/>
      <c r="AW498" s="191"/>
      <c r="AX498" s="190" t="s">
        <v>72</v>
      </c>
      <c r="AY498" s="184"/>
    </row>
    <row r="499" spans="2:51" hidden="1">
      <c r="B499" s="185">
        <v>2183</v>
      </c>
      <c r="C499" s="189">
        <v>204839</v>
      </c>
      <c r="D499" s="185">
        <v>202839</v>
      </c>
      <c r="E499" s="185" t="s">
        <v>2003</v>
      </c>
      <c r="F499" s="185" t="s">
        <v>1116</v>
      </c>
      <c r="G499" s="185"/>
      <c r="H499" s="185"/>
      <c r="I499" s="188">
        <v>1</v>
      </c>
      <c r="J499" s="185"/>
      <c r="K499" s="188">
        <v>0</v>
      </c>
      <c r="L499" s="185" t="s">
        <v>1097</v>
      </c>
      <c r="M499" s="185"/>
      <c r="N499" s="185" t="s">
        <v>2183</v>
      </c>
      <c r="O499" s="185" t="s">
        <v>2184</v>
      </c>
      <c r="P499" s="185" t="s">
        <v>1028</v>
      </c>
      <c r="Q499" s="185"/>
      <c r="R499" s="185"/>
      <c r="S499" s="186">
        <v>43373</v>
      </c>
      <c r="T499" s="186">
        <v>43373</v>
      </c>
      <c r="U499" s="185" t="s">
        <v>1250</v>
      </c>
      <c r="V499" s="185">
        <v>1000</v>
      </c>
      <c r="W499" s="185">
        <v>14040</v>
      </c>
      <c r="X499" s="187">
        <v>371.67</v>
      </c>
      <c r="Y499" s="185">
        <v>14046</v>
      </c>
      <c r="Z499" s="187">
        <v>207.54</v>
      </c>
      <c r="AA499" s="187">
        <v>0</v>
      </c>
      <c r="AB499" s="187">
        <v>164.13000000000002</v>
      </c>
      <c r="AC499" s="187">
        <v>12.4</v>
      </c>
      <c r="AD499" s="185">
        <v>51260</v>
      </c>
      <c r="AE499" s="187">
        <v>3.1</v>
      </c>
      <c r="AF499" s="187">
        <v>0</v>
      </c>
      <c r="AG499" s="187">
        <v>3.1</v>
      </c>
      <c r="AH499" s="185" t="s">
        <v>989</v>
      </c>
      <c r="AI499" s="185"/>
      <c r="AJ499" s="185"/>
      <c r="AK499" s="185" t="s">
        <v>45</v>
      </c>
      <c r="AL499" s="185" t="s">
        <v>2267</v>
      </c>
      <c r="AM499" s="185" t="s">
        <v>2269</v>
      </c>
      <c r="AN499" s="196"/>
      <c r="AO499" s="196"/>
      <c r="AP499" s="195"/>
      <c r="AQ499" s="194"/>
      <c r="AR499" s="193"/>
      <c r="AS499" s="192"/>
      <c r="AT499" s="192"/>
      <c r="AU499" s="192"/>
      <c r="AV499" s="192"/>
      <c r="AW499" s="191"/>
      <c r="AX499" s="190" t="s">
        <v>72</v>
      </c>
      <c r="AY499" s="184"/>
    </row>
    <row r="500" spans="2:51" hidden="1">
      <c r="B500" s="185">
        <v>2183</v>
      </c>
      <c r="C500" s="189">
        <v>204522</v>
      </c>
      <c r="D500" s="185">
        <v>202839</v>
      </c>
      <c r="E500" s="185" t="s">
        <v>2003</v>
      </c>
      <c r="F500" s="185" t="s">
        <v>1255</v>
      </c>
      <c r="G500" s="185"/>
      <c r="H500" s="185"/>
      <c r="I500" s="188">
        <v>1</v>
      </c>
      <c r="J500" s="185"/>
      <c r="K500" s="188">
        <v>0</v>
      </c>
      <c r="L500" s="185" t="s">
        <v>1097</v>
      </c>
      <c r="M500" s="185"/>
      <c r="N500" s="185" t="s">
        <v>2183</v>
      </c>
      <c r="O500" s="185" t="s">
        <v>2184</v>
      </c>
      <c r="P500" s="185" t="s">
        <v>1028</v>
      </c>
      <c r="Q500" s="185"/>
      <c r="R500" s="185"/>
      <c r="S500" s="186">
        <v>43373</v>
      </c>
      <c r="T500" s="186">
        <v>43373</v>
      </c>
      <c r="U500" s="185" t="s">
        <v>1250</v>
      </c>
      <c r="V500" s="185">
        <v>500</v>
      </c>
      <c r="W500" s="185">
        <v>14040</v>
      </c>
      <c r="X500" s="187">
        <v>519.47</v>
      </c>
      <c r="Y500" s="185">
        <v>14046</v>
      </c>
      <c r="Z500" s="187">
        <v>519.47</v>
      </c>
      <c r="AA500" s="187">
        <v>0</v>
      </c>
      <c r="AB500" s="187">
        <v>0</v>
      </c>
      <c r="AC500" s="187">
        <v>0</v>
      </c>
      <c r="AD500" s="185">
        <v>51260</v>
      </c>
      <c r="AE500" s="187">
        <v>0</v>
      </c>
      <c r="AF500" s="187">
        <v>0</v>
      </c>
      <c r="AG500" s="187">
        <v>0</v>
      </c>
      <c r="AH500" s="185" t="s">
        <v>989</v>
      </c>
      <c r="AI500" s="185"/>
      <c r="AJ500" s="185"/>
      <c r="AK500" s="185" t="s">
        <v>45</v>
      </c>
      <c r="AL500" s="185" t="s">
        <v>2267</v>
      </c>
      <c r="AM500" s="185" t="s">
        <v>2269</v>
      </c>
      <c r="AN500" s="196"/>
      <c r="AO500" s="196"/>
      <c r="AP500" s="195"/>
      <c r="AQ500" s="194"/>
      <c r="AR500" s="193"/>
      <c r="AS500" s="192"/>
      <c r="AT500" s="192"/>
      <c r="AU500" s="192"/>
      <c r="AV500" s="192"/>
      <c r="AW500" s="191"/>
      <c r="AX500" s="190" t="s">
        <v>72</v>
      </c>
      <c r="AY500" s="184"/>
    </row>
    <row r="501" spans="2:51" hidden="1">
      <c r="B501" s="185">
        <v>2183</v>
      </c>
      <c r="C501" s="189">
        <v>204521</v>
      </c>
      <c r="D501" s="185">
        <v>202167</v>
      </c>
      <c r="E501" s="185" t="s">
        <v>2003</v>
      </c>
      <c r="F501" s="185" t="s">
        <v>1255</v>
      </c>
      <c r="G501" s="185"/>
      <c r="H501" s="185"/>
      <c r="I501" s="188">
        <v>1</v>
      </c>
      <c r="J501" s="185"/>
      <c r="K501" s="188">
        <v>0</v>
      </c>
      <c r="L501" s="185" t="s">
        <v>1207</v>
      </c>
      <c r="M501" s="185"/>
      <c r="N501" s="185" t="s">
        <v>2183</v>
      </c>
      <c r="O501" s="185" t="s">
        <v>2184</v>
      </c>
      <c r="P501" s="185" t="s">
        <v>1028</v>
      </c>
      <c r="Q501" s="185"/>
      <c r="R501" s="185"/>
      <c r="S501" s="186">
        <v>43313</v>
      </c>
      <c r="T501" s="186">
        <v>43313</v>
      </c>
      <c r="U501" s="185" t="s">
        <v>1247</v>
      </c>
      <c r="V501" s="185">
        <v>500</v>
      </c>
      <c r="W501" s="185">
        <v>14040</v>
      </c>
      <c r="X501" s="187">
        <v>519.47</v>
      </c>
      <c r="Y501" s="185">
        <v>14046</v>
      </c>
      <c r="Z501" s="187">
        <v>519.47</v>
      </c>
      <c r="AA501" s="187">
        <v>0</v>
      </c>
      <c r="AB501" s="187">
        <v>0</v>
      </c>
      <c r="AC501" s="187">
        <v>0</v>
      </c>
      <c r="AD501" s="185">
        <v>51260</v>
      </c>
      <c r="AE501" s="187">
        <v>0</v>
      </c>
      <c r="AF501" s="187">
        <v>0</v>
      </c>
      <c r="AG501" s="187">
        <v>0</v>
      </c>
      <c r="AH501" s="185" t="s">
        <v>989</v>
      </c>
      <c r="AI501" s="185"/>
      <c r="AJ501" s="185"/>
      <c r="AK501" s="185" t="s">
        <v>45</v>
      </c>
      <c r="AL501" s="185" t="s">
        <v>2267</v>
      </c>
      <c r="AM501" s="185" t="s">
        <v>2269</v>
      </c>
      <c r="AN501" s="196"/>
      <c r="AO501" s="196"/>
      <c r="AP501" s="195"/>
      <c r="AQ501" s="194"/>
      <c r="AR501" s="193"/>
      <c r="AS501" s="192"/>
      <c r="AT501" s="192"/>
      <c r="AU501" s="192"/>
      <c r="AV501" s="192"/>
      <c r="AW501" s="191"/>
      <c r="AX501" s="190" t="s">
        <v>72</v>
      </c>
      <c r="AY501" s="184"/>
    </row>
    <row r="502" spans="2:51" hidden="1">
      <c r="B502" s="185">
        <v>2183</v>
      </c>
      <c r="C502" s="189">
        <v>204520</v>
      </c>
      <c r="D502" s="185">
        <v>203124</v>
      </c>
      <c r="E502" s="185" t="s">
        <v>2003</v>
      </c>
      <c r="F502" s="185" t="s">
        <v>1255</v>
      </c>
      <c r="G502" s="185"/>
      <c r="H502" s="185"/>
      <c r="I502" s="188">
        <v>1</v>
      </c>
      <c r="J502" s="185"/>
      <c r="K502" s="188">
        <v>0</v>
      </c>
      <c r="L502" s="185" t="s">
        <v>1207</v>
      </c>
      <c r="M502" s="185"/>
      <c r="N502" s="185" t="s">
        <v>2183</v>
      </c>
      <c r="O502" s="185" t="s">
        <v>2184</v>
      </c>
      <c r="P502" s="185" t="s">
        <v>1028</v>
      </c>
      <c r="Q502" s="185"/>
      <c r="R502" s="185"/>
      <c r="S502" s="186">
        <v>43373</v>
      </c>
      <c r="T502" s="186">
        <v>43373</v>
      </c>
      <c r="U502" s="185" t="s">
        <v>1252</v>
      </c>
      <c r="V502" s="185">
        <v>500</v>
      </c>
      <c r="W502" s="185">
        <v>14040</v>
      </c>
      <c r="X502" s="187">
        <v>519.47</v>
      </c>
      <c r="Y502" s="185">
        <v>14046</v>
      </c>
      <c r="Z502" s="187">
        <v>519.47</v>
      </c>
      <c r="AA502" s="187">
        <v>0</v>
      </c>
      <c r="AB502" s="187">
        <v>0</v>
      </c>
      <c r="AC502" s="187">
        <v>0</v>
      </c>
      <c r="AD502" s="185">
        <v>51260</v>
      </c>
      <c r="AE502" s="187">
        <v>0</v>
      </c>
      <c r="AF502" s="187">
        <v>0</v>
      </c>
      <c r="AG502" s="187">
        <v>0</v>
      </c>
      <c r="AH502" s="185" t="s">
        <v>989</v>
      </c>
      <c r="AI502" s="185"/>
      <c r="AJ502" s="185"/>
      <c r="AK502" s="185" t="s">
        <v>45</v>
      </c>
      <c r="AL502" s="185" t="s">
        <v>2267</v>
      </c>
      <c r="AM502" s="185" t="s">
        <v>2269</v>
      </c>
      <c r="AN502" s="196"/>
      <c r="AO502" s="196"/>
      <c r="AP502" s="195"/>
      <c r="AQ502" s="194"/>
      <c r="AR502" s="193"/>
      <c r="AS502" s="192"/>
      <c r="AT502" s="192"/>
      <c r="AU502" s="192"/>
      <c r="AV502" s="192"/>
      <c r="AW502" s="191"/>
      <c r="AX502" s="190" t="s">
        <v>72</v>
      </c>
      <c r="AY502" s="184"/>
    </row>
    <row r="503" spans="2:51">
      <c r="B503" s="185">
        <v>2183</v>
      </c>
      <c r="C503" s="189">
        <v>204247</v>
      </c>
      <c r="D503" s="185" t="s">
        <v>989</v>
      </c>
      <c r="E503" s="185" t="s">
        <v>2003</v>
      </c>
      <c r="F503" s="185" t="s">
        <v>1243</v>
      </c>
      <c r="G503" s="185"/>
      <c r="H503" s="185"/>
      <c r="I503" s="188">
        <v>5</v>
      </c>
      <c r="J503" s="185"/>
      <c r="K503" s="188">
        <v>0</v>
      </c>
      <c r="L503" s="185" t="s">
        <v>1149</v>
      </c>
      <c r="M503" s="185"/>
      <c r="N503" s="185" t="s">
        <v>2190</v>
      </c>
      <c r="O503" s="185" t="s">
        <v>2184</v>
      </c>
      <c r="P503" s="185"/>
      <c r="Q503" s="185" t="s">
        <v>2191</v>
      </c>
      <c r="R503" s="185" t="s">
        <v>2192</v>
      </c>
      <c r="S503" s="186">
        <v>43377</v>
      </c>
      <c r="T503" s="186">
        <v>43377</v>
      </c>
      <c r="U503" s="185" t="s">
        <v>1244</v>
      </c>
      <c r="V503" s="185">
        <v>1200</v>
      </c>
      <c r="W503" s="185">
        <v>14050</v>
      </c>
      <c r="X503" s="187">
        <v>33268.620000000003</v>
      </c>
      <c r="Y503" s="185">
        <v>14056</v>
      </c>
      <c r="Z503" s="187">
        <v>15479.17</v>
      </c>
      <c r="AA503" s="187">
        <v>0</v>
      </c>
      <c r="AB503" s="187">
        <v>17789.450000000004</v>
      </c>
      <c r="AC503" s="187">
        <v>924.12</v>
      </c>
      <c r="AD503" s="185">
        <v>54260</v>
      </c>
      <c r="AE503" s="187">
        <v>231.03</v>
      </c>
      <c r="AF503" s="187">
        <v>0</v>
      </c>
      <c r="AG503" s="187">
        <v>231.03</v>
      </c>
      <c r="AH503" s="185" t="s">
        <v>989</v>
      </c>
      <c r="AI503" s="185"/>
      <c r="AJ503" s="185"/>
      <c r="AK503" s="185" t="s">
        <v>45</v>
      </c>
      <c r="AL503" s="185" t="s">
        <v>2267</v>
      </c>
      <c r="AM503" s="185" t="s">
        <v>2269</v>
      </c>
      <c r="AN503" s="196"/>
      <c r="AO503" s="196"/>
      <c r="AP503" s="195"/>
      <c r="AQ503" s="194"/>
      <c r="AR503" s="193"/>
      <c r="AS503" s="192"/>
      <c r="AT503" s="192"/>
      <c r="AU503" s="192"/>
      <c r="AV503" s="192"/>
      <c r="AW503" s="191"/>
      <c r="AX503" s="190" t="s">
        <v>72</v>
      </c>
      <c r="AY503" s="184"/>
    </row>
    <row r="504" spans="2:51">
      <c r="B504" s="185">
        <v>2183</v>
      </c>
      <c r="C504" s="189">
        <v>204246</v>
      </c>
      <c r="D504" s="185" t="s">
        <v>989</v>
      </c>
      <c r="E504" s="185" t="s">
        <v>2003</v>
      </c>
      <c r="F504" s="185" t="s">
        <v>735</v>
      </c>
      <c r="G504" s="185"/>
      <c r="H504" s="185"/>
      <c r="I504" s="188">
        <v>468</v>
      </c>
      <c r="J504" s="185"/>
      <c r="K504" s="188">
        <v>0</v>
      </c>
      <c r="L504" s="185" t="s">
        <v>1129</v>
      </c>
      <c r="M504" s="185"/>
      <c r="N504" s="185" t="s">
        <v>2190</v>
      </c>
      <c r="O504" s="185" t="s">
        <v>2184</v>
      </c>
      <c r="P504" s="185"/>
      <c r="Q504" s="185"/>
      <c r="R504" s="185"/>
      <c r="S504" s="186">
        <v>43325</v>
      </c>
      <c r="T504" s="186">
        <v>43325</v>
      </c>
      <c r="U504" s="185" t="s">
        <v>1263</v>
      </c>
      <c r="V504" s="185">
        <v>700</v>
      </c>
      <c r="W504" s="185">
        <v>14050</v>
      </c>
      <c r="X504" s="187">
        <v>18944.09</v>
      </c>
      <c r="Y504" s="185">
        <v>14056</v>
      </c>
      <c r="Z504" s="187">
        <v>15561.21</v>
      </c>
      <c r="AA504" s="187">
        <v>0</v>
      </c>
      <c r="AB504" s="187">
        <v>3382.880000000001</v>
      </c>
      <c r="AC504" s="187">
        <v>902.08</v>
      </c>
      <c r="AD504" s="185">
        <v>54260</v>
      </c>
      <c r="AE504" s="187">
        <v>225.52</v>
      </c>
      <c r="AF504" s="187">
        <v>0</v>
      </c>
      <c r="AG504" s="187">
        <v>225.52</v>
      </c>
      <c r="AH504" s="185" t="s">
        <v>989</v>
      </c>
      <c r="AI504" s="185"/>
      <c r="AJ504" s="185"/>
      <c r="AK504" s="185" t="s">
        <v>45</v>
      </c>
      <c r="AL504" s="185" t="s">
        <v>2267</v>
      </c>
      <c r="AM504" s="185" t="s">
        <v>2269</v>
      </c>
      <c r="AN504" s="196"/>
      <c r="AO504" s="196"/>
      <c r="AP504" s="195"/>
      <c r="AQ504" s="194"/>
      <c r="AR504" s="193"/>
      <c r="AS504" s="192"/>
      <c r="AT504" s="192"/>
      <c r="AU504" s="192"/>
      <c r="AV504" s="192"/>
      <c r="AW504" s="191"/>
      <c r="AX504" s="190" t="s">
        <v>72</v>
      </c>
      <c r="AY504" s="184"/>
    </row>
    <row r="505" spans="2:51">
      <c r="B505" s="185">
        <v>2183</v>
      </c>
      <c r="C505" s="189">
        <v>204245</v>
      </c>
      <c r="D505" s="185" t="s">
        <v>989</v>
      </c>
      <c r="E505" s="185" t="s">
        <v>2003</v>
      </c>
      <c r="F505" s="185" t="s">
        <v>1264</v>
      </c>
      <c r="G505" s="185"/>
      <c r="H505" s="185"/>
      <c r="I505" s="188">
        <v>312</v>
      </c>
      <c r="J505" s="185"/>
      <c r="K505" s="188">
        <v>0</v>
      </c>
      <c r="L505" s="185" t="s">
        <v>1129</v>
      </c>
      <c r="M505" s="185"/>
      <c r="N505" s="185" t="s">
        <v>2190</v>
      </c>
      <c r="O505" s="185" t="s">
        <v>2184</v>
      </c>
      <c r="P505" s="185"/>
      <c r="Q505" s="185"/>
      <c r="R505" s="185"/>
      <c r="S505" s="186">
        <v>43325</v>
      </c>
      <c r="T505" s="186">
        <v>43325</v>
      </c>
      <c r="U505" s="185" t="s">
        <v>1263</v>
      </c>
      <c r="V505" s="185">
        <v>700</v>
      </c>
      <c r="W505" s="185">
        <v>14050</v>
      </c>
      <c r="X505" s="187">
        <v>16735.59</v>
      </c>
      <c r="Y505" s="185">
        <v>14056</v>
      </c>
      <c r="Z505" s="187">
        <v>13747.09</v>
      </c>
      <c r="AA505" s="187">
        <v>0</v>
      </c>
      <c r="AB505" s="187">
        <v>2988.5</v>
      </c>
      <c r="AC505" s="187">
        <v>796.92</v>
      </c>
      <c r="AD505" s="185">
        <v>54260</v>
      </c>
      <c r="AE505" s="187">
        <v>199.23</v>
      </c>
      <c r="AF505" s="187">
        <v>0</v>
      </c>
      <c r="AG505" s="187">
        <v>199.23</v>
      </c>
      <c r="AH505" s="185" t="s">
        <v>989</v>
      </c>
      <c r="AI505" s="185"/>
      <c r="AJ505" s="185"/>
      <c r="AK505" s="185" t="s">
        <v>45</v>
      </c>
      <c r="AL505" s="185" t="s">
        <v>2267</v>
      </c>
      <c r="AM505" s="185" t="s">
        <v>2269</v>
      </c>
      <c r="AN505" s="196"/>
      <c r="AO505" s="196"/>
      <c r="AP505" s="195"/>
      <c r="AQ505" s="194"/>
      <c r="AR505" s="193"/>
      <c r="AS505" s="192"/>
      <c r="AT505" s="192"/>
      <c r="AU505" s="192"/>
      <c r="AV505" s="192"/>
      <c r="AW505" s="191"/>
      <c r="AX505" s="190" t="s">
        <v>72</v>
      </c>
      <c r="AY505" s="184"/>
    </row>
    <row r="506" spans="2:51">
      <c r="B506" s="185">
        <v>2183</v>
      </c>
      <c r="C506" s="189">
        <v>203829</v>
      </c>
      <c r="D506" s="185" t="s">
        <v>989</v>
      </c>
      <c r="E506" s="185" t="s">
        <v>2003</v>
      </c>
      <c r="F506" s="185" t="s">
        <v>756</v>
      </c>
      <c r="G506" s="185"/>
      <c r="H506" s="185"/>
      <c r="I506" s="188">
        <v>1</v>
      </c>
      <c r="J506" s="185" t="s">
        <v>1265</v>
      </c>
      <c r="K506" s="188">
        <v>2019</v>
      </c>
      <c r="L506" s="185" t="s">
        <v>1097</v>
      </c>
      <c r="M506" s="185" t="s">
        <v>1110</v>
      </c>
      <c r="N506" s="185" t="s">
        <v>2183</v>
      </c>
      <c r="O506" s="185" t="s">
        <v>2184</v>
      </c>
      <c r="P506" s="185" t="s">
        <v>2206</v>
      </c>
      <c r="Q506" s="185"/>
      <c r="R506" s="185"/>
      <c r="S506" s="186">
        <v>43385</v>
      </c>
      <c r="T506" s="186">
        <v>43385</v>
      </c>
      <c r="U506" s="185" t="s">
        <v>1251</v>
      </c>
      <c r="V506" s="185">
        <v>1000</v>
      </c>
      <c r="W506" s="185">
        <v>14040</v>
      </c>
      <c r="X506" s="187">
        <v>319310.68</v>
      </c>
      <c r="Y506" s="185">
        <v>14046</v>
      </c>
      <c r="Z506" s="187">
        <v>178281.8</v>
      </c>
      <c r="AA506" s="187">
        <v>0</v>
      </c>
      <c r="AB506" s="187">
        <v>141028.88</v>
      </c>
      <c r="AC506" s="187">
        <v>10643.68</v>
      </c>
      <c r="AD506" s="185">
        <v>51260</v>
      </c>
      <c r="AE506" s="187">
        <v>2660.92</v>
      </c>
      <c r="AF506" s="187">
        <v>0</v>
      </c>
      <c r="AG506" s="187">
        <v>2660.92</v>
      </c>
      <c r="AH506" s="185" t="s">
        <v>989</v>
      </c>
      <c r="AI506" s="185"/>
      <c r="AJ506" s="185">
        <v>2051</v>
      </c>
      <c r="AK506" s="185" t="s">
        <v>45</v>
      </c>
      <c r="AL506" s="185" t="s">
        <v>2267</v>
      </c>
      <c r="AM506" s="185" t="s">
        <v>2269</v>
      </c>
      <c r="AN506" s="196"/>
      <c r="AO506" s="196"/>
      <c r="AP506" s="195"/>
      <c r="AQ506" s="194"/>
      <c r="AR506" s="193"/>
      <c r="AS506" s="192"/>
      <c r="AT506" s="192"/>
      <c r="AU506" s="192"/>
      <c r="AV506" s="192"/>
      <c r="AW506" s="191"/>
      <c r="AX506" s="190" t="s">
        <v>72</v>
      </c>
      <c r="AY506" s="184"/>
    </row>
    <row r="507" spans="2:51" hidden="1">
      <c r="B507" s="185">
        <v>2183</v>
      </c>
      <c r="C507" s="189">
        <v>203776</v>
      </c>
      <c r="D507" s="185">
        <v>202167</v>
      </c>
      <c r="E507" s="185" t="s">
        <v>2003</v>
      </c>
      <c r="F507" s="185" t="s">
        <v>1266</v>
      </c>
      <c r="G507" s="185"/>
      <c r="H507" s="185"/>
      <c r="I507" s="188">
        <v>1</v>
      </c>
      <c r="J507" s="185"/>
      <c r="K507" s="188">
        <v>0</v>
      </c>
      <c r="L507" s="185" t="s">
        <v>1267</v>
      </c>
      <c r="M507" s="185"/>
      <c r="N507" s="185" t="s">
        <v>2183</v>
      </c>
      <c r="O507" s="185" t="s">
        <v>2184</v>
      </c>
      <c r="P507" s="185" t="s">
        <v>1028</v>
      </c>
      <c r="Q507" s="185"/>
      <c r="R507" s="185"/>
      <c r="S507" s="186">
        <v>43313</v>
      </c>
      <c r="T507" s="186">
        <v>43313</v>
      </c>
      <c r="U507" s="185" t="s">
        <v>1247</v>
      </c>
      <c r="V507" s="185">
        <v>1000</v>
      </c>
      <c r="W507" s="185">
        <v>14040</v>
      </c>
      <c r="X507" s="187">
        <v>1523.41</v>
      </c>
      <c r="Y507" s="185">
        <v>14046</v>
      </c>
      <c r="Z507" s="187">
        <v>875.98</v>
      </c>
      <c r="AA507" s="187">
        <v>0</v>
      </c>
      <c r="AB507" s="187">
        <v>647.43000000000006</v>
      </c>
      <c r="AC507" s="187">
        <v>50.8</v>
      </c>
      <c r="AD507" s="185">
        <v>51260</v>
      </c>
      <c r="AE507" s="187">
        <v>12.7</v>
      </c>
      <c r="AF507" s="187">
        <v>0</v>
      </c>
      <c r="AG507" s="187">
        <v>12.7</v>
      </c>
      <c r="AH507" s="185" t="s">
        <v>989</v>
      </c>
      <c r="AI507" s="185"/>
      <c r="AJ507" s="185"/>
      <c r="AK507" s="185" t="s">
        <v>45</v>
      </c>
      <c r="AL507" s="185" t="s">
        <v>2267</v>
      </c>
      <c r="AM507" s="185" t="s">
        <v>2269</v>
      </c>
      <c r="AN507" s="196"/>
      <c r="AO507" s="196"/>
      <c r="AP507" s="195"/>
      <c r="AQ507" s="194"/>
      <c r="AR507" s="193"/>
      <c r="AS507" s="192"/>
      <c r="AT507" s="192"/>
      <c r="AU507" s="192"/>
      <c r="AV507" s="192"/>
      <c r="AW507" s="191"/>
      <c r="AX507" s="190" t="s">
        <v>72</v>
      </c>
      <c r="AY507" s="184"/>
    </row>
    <row r="508" spans="2:51" hidden="1">
      <c r="B508" s="185">
        <v>2183</v>
      </c>
      <c r="C508" s="189">
        <v>203775</v>
      </c>
      <c r="D508" s="185">
        <v>202091</v>
      </c>
      <c r="E508" s="185" t="s">
        <v>2003</v>
      </c>
      <c r="F508" s="185" t="s">
        <v>1266</v>
      </c>
      <c r="G508" s="185"/>
      <c r="H508" s="185"/>
      <c r="I508" s="188">
        <v>1</v>
      </c>
      <c r="J508" s="185"/>
      <c r="K508" s="188">
        <v>0</v>
      </c>
      <c r="L508" s="185" t="s">
        <v>1267</v>
      </c>
      <c r="M508" s="185"/>
      <c r="N508" s="185" t="s">
        <v>2183</v>
      </c>
      <c r="O508" s="185" t="s">
        <v>2184</v>
      </c>
      <c r="P508" s="185" t="s">
        <v>1028</v>
      </c>
      <c r="Q508" s="185"/>
      <c r="R508" s="185"/>
      <c r="S508" s="186">
        <v>43343</v>
      </c>
      <c r="T508" s="186">
        <v>43343</v>
      </c>
      <c r="U508" s="185" t="s">
        <v>1257</v>
      </c>
      <c r="V508" s="185">
        <v>1000</v>
      </c>
      <c r="W508" s="185">
        <v>14040</v>
      </c>
      <c r="X508" s="187">
        <v>811.22</v>
      </c>
      <c r="Y508" s="185">
        <v>14046</v>
      </c>
      <c r="Z508" s="187">
        <v>459.68</v>
      </c>
      <c r="AA508" s="187">
        <v>0</v>
      </c>
      <c r="AB508" s="187">
        <v>351.54</v>
      </c>
      <c r="AC508" s="187">
        <v>27.04</v>
      </c>
      <c r="AD508" s="185">
        <v>51260</v>
      </c>
      <c r="AE508" s="187">
        <v>6.76</v>
      </c>
      <c r="AF508" s="187">
        <v>0</v>
      </c>
      <c r="AG508" s="187">
        <v>6.76</v>
      </c>
      <c r="AH508" s="185" t="s">
        <v>989</v>
      </c>
      <c r="AI508" s="185"/>
      <c r="AJ508" s="185"/>
      <c r="AK508" s="185" t="s">
        <v>45</v>
      </c>
      <c r="AL508" s="185" t="s">
        <v>2267</v>
      </c>
      <c r="AM508" s="185" t="s">
        <v>2269</v>
      </c>
      <c r="AN508" s="196"/>
      <c r="AO508" s="196"/>
      <c r="AP508" s="195"/>
      <c r="AQ508" s="194"/>
      <c r="AR508" s="193"/>
      <c r="AS508" s="192"/>
      <c r="AT508" s="192"/>
      <c r="AU508" s="192"/>
      <c r="AV508" s="192"/>
      <c r="AW508" s="191"/>
      <c r="AX508" s="190" t="s">
        <v>72</v>
      </c>
      <c r="AY508" s="184"/>
    </row>
    <row r="509" spans="2:51" hidden="1">
      <c r="B509" s="185">
        <v>2183</v>
      </c>
      <c r="C509" s="189">
        <v>203774</v>
      </c>
      <c r="D509" s="185">
        <v>202090</v>
      </c>
      <c r="E509" s="185" t="s">
        <v>2003</v>
      </c>
      <c r="F509" s="185" t="s">
        <v>1266</v>
      </c>
      <c r="G509" s="185"/>
      <c r="H509" s="185"/>
      <c r="I509" s="188">
        <v>1</v>
      </c>
      <c r="J509" s="185"/>
      <c r="K509" s="188">
        <v>0</v>
      </c>
      <c r="L509" s="185" t="s">
        <v>1267</v>
      </c>
      <c r="M509" s="185"/>
      <c r="N509" s="185" t="s">
        <v>2183</v>
      </c>
      <c r="O509" s="185" t="s">
        <v>2184</v>
      </c>
      <c r="P509" s="185" t="s">
        <v>1028</v>
      </c>
      <c r="Q509" s="185"/>
      <c r="R509" s="185"/>
      <c r="S509" s="186">
        <v>43343</v>
      </c>
      <c r="T509" s="186">
        <v>43343</v>
      </c>
      <c r="U509" s="185" t="s">
        <v>1256</v>
      </c>
      <c r="V509" s="185">
        <v>1000</v>
      </c>
      <c r="W509" s="185">
        <v>14040</v>
      </c>
      <c r="X509" s="187">
        <v>1274.53</v>
      </c>
      <c r="Y509" s="185">
        <v>14046</v>
      </c>
      <c r="Z509" s="187">
        <v>722.22</v>
      </c>
      <c r="AA509" s="187">
        <v>0</v>
      </c>
      <c r="AB509" s="187">
        <v>552.30999999999995</v>
      </c>
      <c r="AC509" s="187">
        <v>42.48</v>
      </c>
      <c r="AD509" s="185">
        <v>51260</v>
      </c>
      <c r="AE509" s="187">
        <v>10.62</v>
      </c>
      <c r="AF509" s="187">
        <v>0</v>
      </c>
      <c r="AG509" s="187">
        <v>10.62</v>
      </c>
      <c r="AH509" s="185" t="s">
        <v>989</v>
      </c>
      <c r="AI509" s="185"/>
      <c r="AJ509" s="185"/>
      <c r="AK509" s="185" t="s">
        <v>45</v>
      </c>
      <c r="AL509" s="185" t="s">
        <v>2267</v>
      </c>
      <c r="AM509" s="185" t="s">
        <v>2269</v>
      </c>
      <c r="AN509" s="196"/>
      <c r="AO509" s="196"/>
      <c r="AP509" s="195"/>
      <c r="AQ509" s="194"/>
      <c r="AR509" s="193"/>
      <c r="AS509" s="192"/>
      <c r="AT509" s="192"/>
      <c r="AU509" s="192"/>
      <c r="AV509" s="192"/>
      <c r="AW509" s="191"/>
      <c r="AX509" s="190" t="s">
        <v>72</v>
      </c>
      <c r="AY509" s="184"/>
    </row>
    <row r="510" spans="2:51" hidden="1">
      <c r="B510" s="185">
        <v>2183</v>
      </c>
      <c r="C510" s="189">
        <v>203765</v>
      </c>
      <c r="D510" s="185">
        <v>202090</v>
      </c>
      <c r="E510" s="185" t="s">
        <v>2003</v>
      </c>
      <c r="F510" s="185" t="s">
        <v>731</v>
      </c>
      <c r="G510" s="185"/>
      <c r="H510" s="185"/>
      <c r="I510" s="188">
        <v>1</v>
      </c>
      <c r="J510" s="185"/>
      <c r="K510" s="188">
        <v>0</v>
      </c>
      <c r="L510" s="185" t="s">
        <v>1037</v>
      </c>
      <c r="M510" s="185"/>
      <c r="N510" s="185" t="s">
        <v>2183</v>
      </c>
      <c r="O510" s="185" t="s">
        <v>2184</v>
      </c>
      <c r="P510" s="185" t="s">
        <v>1028</v>
      </c>
      <c r="Q510" s="185"/>
      <c r="R510" s="185"/>
      <c r="S510" s="186">
        <v>43343</v>
      </c>
      <c r="T510" s="186">
        <v>43343</v>
      </c>
      <c r="U510" s="185" t="s">
        <v>1256</v>
      </c>
      <c r="V510" s="185">
        <v>500</v>
      </c>
      <c r="W510" s="185">
        <v>14040</v>
      </c>
      <c r="X510" s="187">
        <v>731.05</v>
      </c>
      <c r="Y510" s="185">
        <v>14046</v>
      </c>
      <c r="Z510" s="187">
        <v>731.05</v>
      </c>
      <c r="AA510" s="187">
        <v>0</v>
      </c>
      <c r="AB510" s="187">
        <v>0</v>
      </c>
      <c r="AC510" s="187">
        <v>0</v>
      </c>
      <c r="AD510" s="185">
        <v>51260</v>
      </c>
      <c r="AE510" s="187">
        <v>0</v>
      </c>
      <c r="AF510" s="187">
        <v>0</v>
      </c>
      <c r="AG510" s="187">
        <v>0</v>
      </c>
      <c r="AH510" s="185" t="s">
        <v>989</v>
      </c>
      <c r="AI510" s="185"/>
      <c r="AJ510" s="185"/>
      <c r="AK510" s="185" t="s">
        <v>45</v>
      </c>
      <c r="AL510" s="185" t="s">
        <v>2267</v>
      </c>
      <c r="AM510" s="185" t="s">
        <v>2269</v>
      </c>
      <c r="AN510" s="196"/>
      <c r="AO510" s="196"/>
      <c r="AP510" s="195"/>
      <c r="AQ510" s="194"/>
      <c r="AR510" s="193"/>
      <c r="AS510" s="192"/>
      <c r="AT510" s="192"/>
      <c r="AU510" s="192"/>
      <c r="AV510" s="192"/>
      <c r="AW510" s="191"/>
      <c r="AX510" s="190" t="s">
        <v>72</v>
      </c>
      <c r="AY510" s="184"/>
    </row>
    <row r="511" spans="2:51" hidden="1">
      <c r="B511" s="185">
        <v>2183</v>
      </c>
      <c r="C511" s="189">
        <v>203764</v>
      </c>
      <c r="D511" s="185">
        <v>202091</v>
      </c>
      <c r="E511" s="185" t="s">
        <v>2003</v>
      </c>
      <c r="F511" s="185" t="s">
        <v>731</v>
      </c>
      <c r="G511" s="185"/>
      <c r="H511" s="185"/>
      <c r="I511" s="188">
        <v>1</v>
      </c>
      <c r="J511" s="185"/>
      <c r="K511" s="188">
        <v>0</v>
      </c>
      <c r="L511" s="185" t="s">
        <v>1037</v>
      </c>
      <c r="M511" s="185"/>
      <c r="N511" s="185" t="s">
        <v>2183</v>
      </c>
      <c r="O511" s="185" t="s">
        <v>2184</v>
      </c>
      <c r="P511" s="185" t="s">
        <v>1028</v>
      </c>
      <c r="Q511" s="185"/>
      <c r="R511" s="185"/>
      <c r="S511" s="186">
        <v>43343</v>
      </c>
      <c r="T511" s="186">
        <v>43343</v>
      </c>
      <c r="U511" s="185" t="s">
        <v>1257</v>
      </c>
      <c r="V511" s="185">
        <v>500</v>
      </c>
      <c r="W511" s="185">
        <v>14040</v>
      </c>
      <c r="X511" s="187">
        <v>731.05</v>
      </c>
      <c r="Y511" s="185">
        <v>14046</v>
      </c>
      <c r="Z511" s="187">
        <v>731.05</v>
      </c>
      <c r="AA511" s="187">
        <v>0</v>
      </c>
      <c r="AB511" s="187">
        <v>0</v>
      </c>
      <c r="AC511" s="187">
        <v>0</v>
      </c>
      <c r="AD511" s="185">
        <v>51260</v>
      </c>
      <c r="AE511" s="187">
        <v>0</v>
      </c>
      <c r="AF511" s="187">
        <v>0</v>
      </c>
      <c r="AG511" s="187">
        <v>0</v>
      </c>
      <c r="AH511" s="185" t="s">
        <v>989</v>
      </c>
      <c r="AI511" s="185"/>
      <c r="AJ511" s="185"/>
      <c r="AK511" s="185" t="s">
        <v>45</v>
      </c>
      <c r="AL511" s="185" t="s">
        <v>2267</v>
      </c>
      <c r="AM511" s="185" t="s">
        <v>2269</v>
      </c>
      <c r="AN511" s="196"/>
      <c r="AO511" s="196"/>
      <c r="AP511" s="195"/>
      <c r="AQ511" s="194"/>
      <c r="AR511" s="193"/>
      <c r="AS511" s="192"/>
      <c r="AT511" s="192"/>
      <c r="AU511" s="192"/>
      <c r="AV511" s="192"/>
      <c r="AW511" s="191"/>
      <c r="AX511" s="190" t="s">
        <v>72</v>
      </c>
      <c r="AY511" s="184"/>
    </row>
    <row r="512" spans="2:51">
      <c r="B512" s="185">
        <v>2183</v>
      </c>
      <c r="C512" s="189">
        <v>203760</v>
      </c>
      <c r="D512" s="185" t="s">
        <v>989</v>
      </c>
      <c r="E512" s="185" t="s">
        <v>2003</v>
      </c>
      <c r="F512" s="185" t="s">
        <v>1268</v>
      </c>
      <c r="G512" s="185"/>
      <c r="H512" s="185"/>
      <c r="I512" s="188">
        <v>1</v>
      </c>
      <c r="J512" s="185" t="s">
        <v>1269</v>
      </c>
      <c r="K512" s="188">
        <v>2018</v>
      </c>
      <c r="L512" s="185" t="s">
        <v>1139</v>
      </c>
      <c r="M512" s="185"/>
      <c r="N512" s="185" t="s">
        <v>2183</v>
      </c>
      <c r="O512" s="185" t="s">
        <v>2184</v>
      </c>
      <c r="P512" s="185" t="s">
        <v>2185</v>
      </c>
      <c r="Q512" s="185"/>
      <c r="R512" s="185"/>
      <c r="S512" s="186">
        <v>43378</v>
      </c>
      <c r="T512" s="186">
        <v>43378</v>
      </c>
      <c r="U512" s="185" t="s">
        <v>1259</v>
      </c>
      <c r="V512" s="185">
        <v>500</v>
      </c>
      <c r="W512" s="185">
        <v>14040</v>
      </c>
      <c r="X512" s="187">
        <v>30633.03</v>
      </c>
      <c r="Y512" s="185">
        <v>14046</v>
      </c>
      <c r="Z512" s="187">
        <v>30633.03</v>
      </c>
      <c r="AA512" s="187">
        <v>0</v>
      </c>
      <c r="AB512" s="187">
        <v>0</v>
      </c>
      <c r="AC512" s="187">
        <v>0</v>
      </c>
      <c r="AD512" s="185">
        <v>51260</v>
      </c>
      <c r="AE512" s="187">
        <v>0</v>
      </c>
      <c r="AF512" s="187">
        <v>0</v>
      </c>
      <c r="AG512" s="187">
        <v>0</v>
      </c>
      <c r="AH512" s="185" t="s">
        <v>989</v>
      </c>
      <c r="AI512" s="185"/>
      <c r="AJ512" s="185">
        <v>6058</v>
      </c>
      <c r="AK512" s="185" t="s">
        <v>45</v>
      </c>
      <c r="AL512" s="185" t="s">
        <v>2267</v>
      </c>
      <c r="AM512" s="185" t="s">
        <v>2269</v>
      </c>
      <c r="AN512" s="196"/>
      <c r="AO512" s="196"/>
      <c r="AP512" s="195"/>
      <c r="AQ512" s="194"/>
      <c r="AR512" s="193"/>
      <c r="AS512" s="192"/>
      <c r="AT512" s="192"/>
      <c r="AU512" s="192"/>
      <c r="AV512" s="192"/>
      <c r="AW512" s="191"/>
      <c r="AX512" s="190" t="s">
        <v>72</v>
      </c>
      <c r="AY512" s="184"/>
    </row>
    <row r="513" spans="2:51" hidden="1">
      <c r="B513" s="185">
        <v>2183</v>
      </c>
      <c r="C513" s="189">
        <v>203437</v>
      </c>
      <c r="D513" s="185">
        <v>202090</v>
      </c>
      <c r="E513" s="185" t="s">
        <v>2003</v>
      </c>
      <c r="F513" s="185" t="s">
        <v>733</v>
      </c>
      <c r="G513" s="185"/>
      <c r="H513" s="185"/>
      <c r="I513" s="188">
        <v>1</v>
      </c>
      <c r="J513" s="185"/>
      <c r="K513" s="188">
        <v>0</v>
      </c>
      <c r="L513" s="185" t="s">
        <v>1270</v>
      </c>
      <c r="M513" s="185"/>
      <c r="N513" s="185" t="s">
        <v>2183</v>
      </c>
      <c r="O513" s="185" t="s">
        <v>2184</v>
      </c>
      <c r="P513" s="185" t="s">
        <v>1028</v>
      </c>
      <c r="Q513" s="185"/>
      <c r="R513" s="185"/>
      <c r="S513" s="186">
        <v>43343</v>
      </c>
      <c r="T513" s="186">
        <v>43343</v>
      </c>
      <c r="U513" s="185" t="s">
        <v>1256</v>
      </c>
      <c r="V513" s="185">
        <v>1000</v>
      </c>
      <c r="W513" s="185">
        <v>14040</v>
      </c>
      <c r="X513" s="187">
        <v>336</v>
      </c>
      <c r="Y513" s="185">
        <v>14046</v>
      </c>
      <c r="Z513" s="187">
        <v>190.4</v>
      </c>
      <c r="AA513" s="187">
        <v>0</v>
      </c>
      <c r="AB513" s="187">
        <v>145.6</v>
      </c>
      <c r="AC513" s="187">
        <v>11.2</v>
      </c>
      <c r="AD513" s="185">
        <v>51260</v>
      </c>
      <c r="AE513" s="187">
        <v>2.8</v>
      </c>
      <c r="AF513" s="187">
        <v>0</v>
      </c>
      <c r="AG513" s="187">
        <v>2.8</v>
      </c>
      <c r="AH513" s="185" t="s">
        <v>989</v>
      </c>
      <c r="AI513" s="185"/>
      <c r="AJ513" s="185"/>
      <c r="AK513" s="185" t="s">
        <v>45</v>
      </c>
      <c r="AL513" s="185" t="s">
        <v>2267</v>
      </c>
      <c r="AM513" s="185" t="s">
        <v>2269</v>
      </c>
      <c r="AN513" s="196"/>
      <c r="AO513" s="196"/>
      <c r="AP513" s="195"/>
      <c r="AQ513" s="194"/>
      <c r="AR513" s="193"/>
      <c r="AS513" s="192"/>
      <c r="AT513" s="192"/>
      <c r="AU513" s="192"/>
      <c r="AV513" s="192"/>
      <c r="AW513" s="191"/>
      <c r="AX513" s="190" t="s">
        <v>72</v>
      </c>
      <c r="AY513" s="184"/>
    </row>
    <row r="514" spans="2:51">
      <c r="B514" s="185">
        <v>2183</v>
      </c>
      <c r="C514" s="189">
        <v>203124</v>
      </c>
      <c r="D514" s="185" t="s">
        <v>989</v>
      </c>
      <c r="E514" s="185" t="s">
        <v>2003</v>
      </c>
      <c r="F514" s="185" t="s">
        <v>756</v>
      </c>
      <c r="G514" s="185"/>
      <c r="H514" s="185"/>
      <c r="I514" s="188">
        <v>1</v>
      </c>
      <c r="J514" s="185" t="s">
        <v>1271</v>
      </c>
      <c r="K514" s="188">
        <v>2019</v>
      </c>
      <c r="L514" s="185" t="s">
        <v>1097</v>
      </c>
      <c r="M514" s="185" t="s">
        <v>1110</v>
      </c>
      <c r="N514" s="185" t="s">
        <v>2183</v>
      </c>
      <c r="O514" s="185" t="s">
        <v>2184</v>
      </c>
      <c r="P514" s="185" t="s">
        <v>2206</v>
      </c>
      <c r="Q514" s="185"/>
      <c r="R514" s="185"/>
      <c r="S514" s="186">
        <v>43373</v>
      </c>
      <c r="T514" s="186">
        <v>43373</v>
      </c>
      <c r="U514" s="185" t="s">
        <v>1252</v>
      </c>
      <c r="V514" s="185">
        <v>1000</v>
      </c>
      <c r="W514" s="185">
        <v>14040</v>
      </c>
      <c r="X514" s="187">
        <v>317780.56</v>
      </c>
      <c r="Y514" s="185">
        <v>14046</v>
      </c>
      <c r="Z514" s="187">
        <v>177427.49</v>
      </c>
      <c r="AA514" s="187">
        <v>0</v>
      </c>
      <c r="AB514" s="187">
        <v>140353.07</v>
      </c>
      <c r="AC514" s="187">
        <v>10592.68</v>
      </c>
      <c r="AD514" s="185">
        <v>51260</v>
      </c>
      <c r="AE514" s="187">
        <v>2648.17</v>
      </c>
      <c r="AF514" s="187">
        <v>0</v>
      </c>
      <c r="AG514" s="187">
        <v>2648.17</v>
      </c>
      <c r="AH514" s="185" t="s">
        <v>989</v>
      </c>
      <c r="AI514" s="185"/>
      <c r="AJ514" s="185">
        <v>2050</v>
      </c>
      <c r="AK514" s="185" t="s">
        <v>45</v>
      </c>
      <c r="AL514" s="185" t="s">
        <v>2267</v>
      </c>
      <c r="AM514" s="185" t="s">
        <v>2269</v>
      </c>
      <c r="AN514" s="196"/>
      <c r="AO514" s="196"/>
      <c r="AP514" s="195"/>
      <c r="AQ514" s="194"/>
      <c r="AR514" s="193"/>
      <c r="AS514" s="192"/>
      <c r="AT514" s="192"/>
      <c r="AU514" s="192"/>
      <c r="AV514" s="192"/>
      <c r="AW514" s="191"/>
      <c r="AX514" s="190" t="s">
        <v>72</v>
      </c>
      <c r="AY514" s="184"/>
    </row>
    <row r="515" spans="2:51">
      <c r="B515" s="185">
        <v>2183</v>
      </c>
      <c r="C515" s="189">
        <v>202839</v>
      </c>
      <c r="D515" s="185" t="s">
        <v>989</v>
      </c>
      <c r="E515" s="185" t="s">
        <v>2003</v>
      </c>
      <c r="F515" s="185" t="s">
        <v>762</v>
      </c>
      <c r="G515" s="185"/>
      <c r="H515" s="185"/>
      <c r="I515" s="188">
        <v>1</v>
      </c>
      <c r="J515" s="185" t="s">
        <v>1272</v>
      </c>
      <c r="K515" s="188">
        <v>2019</v>
      </c>
      <c r="L515" s="185" t="s">
        <v>1097</v>
      </c>
      <c r="M515" s="185" t="s">
        <v>1110</v>
      </c>
      <c r="N515" s="185" t="s">
        <v>2183</v>
      </c>
      <c r="O515" s="185" t="s">
        <v>2184</v>
      </c>
      <c r="P515" s="185" t="s">
        <v>2187</v>
      </c>
      <c r="Q515" s="185"/>
      <c r="R515" s="185"/>
      <c r="S515" s="186">
        <v>43373</v>
      </c>
      <c r="T515" s="186">
        <v>43373</v>
      </c>
      <c r="U515" s="185" t="s">
        <v>1250</v>
      </c>
      <c r="V515" s="185">
        <v>1000</v>
      </c>
      <c r="W515" s="185">
        <v>14040</v>
      </c>
      <c r="X515" s="187">
        <v>338957.39</v>
      </c>
      <c r="Y515" s="185">
        <v>14046</v>
      </c>
      <c r="Z515" s="187">
        <v>189251.20000000001</v>
      </c>
      <c r="AA515" s="187">
        <v>0</v>
      </c>
      <c r="AB515" s="187">
        <v>149706.19</v>
      </c>
      <c r="AC515" s="187">
        <v>11298.56</v>
      </c>
      <c r="AD515" s="185">
        <v>51260</v>
      </c>
      <c r="AE515" s="187">
        <v>2824.64</v>
      </c>
      <c r="AF515" s="187">
        <v>0</v>
      </c>
      <c r="AG515" s="187">
        <v>2824.64</v>
      </c>
      <c r="AH515" s="185" t="s">
        <v>989</v>
      </c>
      <c r="AI515" s="185"/>
      <c r="AJ515" s="185">
        <v>3685</v>
      </c>
      <c r="AK515" s="185" t="s">
        <v>45</v>
      </c>
      <c r="AL515" s="185" t="s">
        <v>2267</v>
      </c>
      <c r="AM515" s="185" t="s">
        <v>2269</v>
      </c>
      <c r="AN515" s="196"/>
      <c r="AO515" s="196"/>
      <c r="AP515" s="195"/>
      <c r="AQ515" s="194"/>
      <c r="AR515" s="193"/>
      <c r="AS515" s="192"/>
      <c r="AT515" s="192"/>
      <c r="AU515" s="192"/>
      <c r="AV515" s="192"/>
      <c r="AW515" s="191"/>
      <c r="AX515" s="190" t="s">
        <v>72</v>
      </c>
      <c r="AY515" s="184"/>
    </row>
    <row r="516" spans="2:51">
      <c r="B516" s="185">
        <v>2183</v>
      </c>
      <c r="C516" s="189">
        <v>202838</v>
      </c>
      <c r="D516" s="185" t="s">
        <v>989</v>
      </c>
      <c r="E516" s="185" t="s">
        <v>2003</v>
      </c>
      <c r="F516" s="185" t="s">
        <v>762</v>
      </c>
      <c r="G516" s="185"/>
      <c r="H516" s="185"/>
      <c r="I516" s="188">
        <v>1</v>
      </c>
      <c r="J516" s="185" t="s">
        <v>1273</v>
      </c>
      <c r="K516" s="188">
        <v>2019</v>
      </c>
      <c r="L516" s="185" t="s">
        <v>1097</v>
      </c>
      <c r="M516" s="185" t="s">
        <v>1110</v>
      </c>
      <c r="N516" s="185" t="s">
        <v>2183</v>
      </c>
      <c r="O516" s="185" t="s">
        <v>2184</v>
      </c>
      <c r="P516" s="185" t="s">
        <v>2187</v>
      </c>
      <c r="Q516" s="185"/>
      <c r="R516" s="185"/>
      <c r="S516" s="186">
        <v>43373</v>
      </c>
      <c r="T516" s="186">
        <v>43373</v>
      </c>
      <c r="U516" s="185" t="s">
        <v>1253</v>
      </c>
      <c r="V516" s="185">
        <v>1000</v>
      </c>
      <c r="W516" s="185">
        <v>14040</v>
      </c>
      <c r="X516" s="187">
        <v>339421.75</v>
      </c>
      <c r="Y516" s="185">
        <v>14046</v>
      </c>
      <c r="Z516" s="187">
        <v>189510.48</v>
      </c>
      <c r="AA516" s="187">
        <v>0</v>
      </c>
      <c r="AB516" s="187">
        <v>149911.26999999999</v>
      </c>
      <c r="AC516" s="187">
        <v>11314.04</v>
      </c>
      <c r="AD516" s="185">
        <v>51260</v>
      </c>
      <c r="AE516" s="187">
        <v>2828.51</v>
      </c>
      <c r="AF516" s="187">
        <v>0</v>
      </c>
      <c r="AG516" s="187">
        <v>2828.51</v>
      </c>
      <c r="AH516" s="185" t="s">
        <v>989</v>
      </c>
      <c r="AI516" s="185"/>
      <c r="AJ516" s="185">
        <v>3686</v>
      </c>
      <c r="AK516" s="185" t="s">
        <v>45</v>
      </c>
      <c r="AL516" s="185" t="s">
        <v>2267</v>
      </c>
      <c r="AM516" s="185" t="s">
        <v>2269</v>
      </c>
      <c r="AN516" s="196"/>
      <c r="AO516" s="196"/>
      <c r="AP516" s="195"/>
      <c r="AQ516" s="194"/>
      <c r="AR516" s="193"/>
      <c r="AS516" s="192"/>
      <c r="AT516" s="192"/>
      <c r="AU516" s="192"/>
      <c r="AV516" s="192"/>
      <c r="AW516" s="191"/>
      <c r="AX516" s="190" t="s">
        <v>72</v>
      </c>
      <c r="AY516" s="184"/>
    </row>
    <row r="517" spans="2:51">
      <c r="B517" s="185">
        <v>2183</v>
      </c>
      <c r="C517" s="189">
        <v>202195</v>
      </c>
      <c r="D517" s="185" t="s">
        <v>989</v>
      </c>
      <c r="E517" s="185" t="s">
        <v>2003</v>
      </c>
      <c r="F517" s="185" t="s">
        <v>1147</v>
      </c>
      <c r="G517" s="185"/>
      <c r="H517" s="185"/>
      <c r="I517" s="188">
        <v>624</v>
      </c>
      <c r="J517" s="185"/>
      <c r="K517" s="188">
        <v>0</v>
      </c>
      <c r="L517" s="185" t="s">
        <v>1129</v>
      </c>
      <c r="M517" s="185"/>
      <c r="N517" s="185" t="s">
        <v>2190</v>
      </c>
      <c r="O517" s="185" t="s">
        <v>2184</v>
      </c>
      <c r="P517" s="185"/>
      <c r="Q517" s="185"/>
      <c r="R517" s="185"/>
      <c r="S517" s="186">
        <v>43281</v>
      </c>
      <c r="T517" s="186">
        <v>43281</v>
      </c>
      <c r="U517" s="185" t="s">
        <v>1274</v>
      </c>
      <c r="V517" s="185">
        <v>700</v>
      </c>
      <c r="W517" s="185">
        <v>14050</v>
      </c>
      <c r="X517" s="187">
        <v>33336.99</v>
      </c>
      <c r="Y517" s="185">
        <v>14056</v>
      </c>
      <c r="Z517" s="187">
        <v>27780.84</v>
      </c>
      <c r="AA517" s="187">
        <v>0</v>
      </c>
      <c r="AB517" s="187">
        <v>5556.1499999999978</v>
      </c>
      <c r="AC517" s="187">
        <v>1587.48</v>
      </c>
      <c r="AD517" s="185">
        <v>54260</v>
      </c>
      <c r="AE517" s="187">
        <v>396.87</v>
      </c>
      <c r="AF517" s="187">
        <v>0</v>
      </c>
      <c r="AG517" s="187">
        <v>396.87</v>
      </c>
      <c r="AH517" s="185" t="s">
        <v>989</v>
      </c>
      <c r="AI517" s="185"/>
      <c r="AJ517" s="185"/>
      <c r="AK517" s="185" t="s">
        <v>45</v>
      </c>
      <c r="AL517" s="185" t="s">
        <v>2267</v>
      </c>
      <c r="AM517" s="185" t="s">
        <v>2269</v>
      </c>
      <c r="AN517" s="196"/>
      <c r="AO517" s="196"/>
      <c r="AP517" s="195"/>
      <c r="AQ517" s="194"/>
      <c r="AR517" s="193"/>
      <c r="AS517" s="192"/>
      <c r="AT517" s="192"/>
      <c r="AU517" s="192"/>
      <c r="AV517" s="192"/>
      <c r="AW517" s="191"/>
      <c r="AX517" s="190" t="s">
        <v>72</v>
      </c>
      <c r="AY517" s="184"/>
    </row>
    <row r="518" spans="2:51">
      <c r="B518" s="185">
        <v>2183</v>
      </c>
      <c r="C518" s="189">
        <v>202194</v>
      </c>
      <c r="D518" s="185" t="s">
        <v>989</v>
      </c>
      <c r="E518" s="185" t="s">
        <v>2003</v>
      </c>
      <c r="F518" s="185" t="s">
        <v>622</v>
      </c>
      <c r="G518" s="185"/>
      <c r="H518" s="185"/>
      <c r="I518" s="188">
        <v>624</v>
      </c>
      <c r="J518" s="185"/>
      <c r="K518" s="188">
        <v>0</v>
      </c>
      <c r="L518" s="185" t="s">
        <v>1129</v>
      </c>
      <c r="M518" s="185"/>
      <c r="N518" s="185" t="s">
        <v>2190</v>
      </c>
      <c r="O518" s="185" t="s">
        <v>2184</v>
      </c>
      <c r="P518" s="185"/>
      <c r="Q518" s="185"/>
      <c r="R518" s="185"/>
      <c r="S518" s="186">
        <v>43325</v>
      </c>
      <c r="T518" s="186">
        <v>43325</v>
      </c>
      <c r="U518" s="185" t="s">
        <v>1263</v>
      </c>
      <c r="V518" s="185">
        <v>700</v>
      </c>
      <c r="W518" s="185">
        <v>14050</v>
      </c>
      <c r="X518" s="187">
        <v>33435.82</v>
      </c>
      <c r="Y518" s="185">
        <v>14056</v>
      </c>
      <c r="Z518" s="187">
        <v>27465.18</v>
      </c>
      <c r="AA518" s="187">
        <v>0</v>
      </c>
      <c r="AB518" s="187">
        <v>5970.6399999999994</v>
      </c>
      <c r="AC518" s="187">
        <v>1592.2</v>
      </c>
      <c r="AD518" s="185">
        <v>54260</v>
      </c>
      <c r="AE518" s="187">
        <v>398.05</v>
      </c>
      <c r="AF518" s="187">
        <v>0</v>
      </c>
      <c r="AG518" s="187">
        <v>398.05</v>
      </c>
      <c r="AH518" s="185" t="s">
        <v>989</v>
      </c>
      <c r="AI518" s="185"/>
      <c r="AJ518" s="185"/>
      <c r="AK518" s="185" t="s">
        <v>45</v>
      </c>
      <c r="AL518" s="185" t="s">
        <v>2267</v>
      </c>
      <c r="AM518" s="185" t="s">
        <v>2269</v>
      </c>
      <c r="AN518" s="196"/>
      <c r="AO518" s="196"/>
      <c r="AP518" s="195"/>
      <c r="AQ518" s="194"/>
      <c r="AR518" s="193"/>
      <c r="AS518" s="192"/>
      <c r="AT518" s="192"/>
      <c r="AU518" s="192"/>
      <c r="AV518" s="192"/>
      <c r="AW518" s="191"/>
      <c r="AX518" s="190" t="s">
        <v>72</v>
      </c>
      <c r="AY518" s="184"/>
    </row>
    <row r="519" spans="2:51">
      <c r="B519" s="185">
        <v>2183</v>
      </c>
      <c r="C519" s="189">
        <v>202193</v>
      </c>
      <c r="D519" s="185" t="s">
        <v>989</v>
      </c>
      <c r="E519" s="185" t="s">
        <v>2003</v>
      </c>
      <c r="F519" s="185" t="s">
        <v>737</v>
      </c>
      <c r="G519" s="185"/>
      <c r="H519" s="185"/>
      <c r="I519" s="188">
        <v>864</v>
      </c>
      <c r="J519" s="185"/>
      <c r="K519" s="188">
        <v>0</v>
      </c>
      <c r="L519" s="185" t="s">
        <v>1129</v>
      </c>
      <c r="M519" s="185"/>
      <c r="N519" s="185" t="s">
        <v>2190</v>
      </c>
      <c r="O519" s="185" t="s">
        <v>2184</v>
      </c>
      <c r="P519" s="185"/>
      <c r="Q519" s="185"/>
      <c r="R519" s="185"/>
      <c r="S519" s="186">
        <v>43309</v>
      </c>
      <c r="T519" s="186">
        <v>43309</v>
      </c>
      <c r="U519" s="185" t="s">
        <v>1263</v>
      </c>
      <c r="V519" s="185">
        <v>700</v>
      </c>
      <c r="W519" s="185">
        <v>14050</v>
      </c>
      <c r="X519" s="187">
        <v>39852.21</v>
      </c>
      <c r="Y519" s="185">
        <v>14056</v>
      </c>
      <c r="Z519" s="187">
        <v>32735.68</v>
      </c>
      <c r="AA519" s="187">
        <v>0</v>
      </c>
      <c r="AB519" s="187">
        <v>7116.5299999999988</v>
      </c>
      <c r="AC519" s="187">
        <v>1897.72</v>
      </c>
      <c r="AD519" s="185">
        <v>54260</v>
      </c>
      <c r="AE519" s="187">
        <v>474.43</v>
      </c>
      <c r="AF519" s="187">
        <v>0</v>
      </c>
      <c r="AG519" s="187">
        <v>474.43</v>
      </c>
      <c r="AH519" s="185" t="s">
        <v>989</v>
      </c>
      <c r="AI519" s="185"/>
      <c r="AJ519" s="185"/>
      <c r="AK519" s="185" t="s">
        <v>45</v>
      </c>
      <c r="AL519" s="185" t="s">
        <v>2267</v>
      </c>
      <c r="AM519" s="185" t="s">
        <v>2269</v>
      </c>
      <c r="AN519" s="196"/>
      <c r="AO519" s="196"/>
      <c r="AP519" s="195"/>
      <c r="AQ519" s="194"/>
      <c r="AR519" s="193"/>
      <c r="AS519" s="192"/>
      <c r="AT519" s="192"/>
      <c r="AU519" s="192"/>
      <c r="AV519" s="192"/>
      <c r="AW519" s="191"/>
      <c r="AX519" s="190" t="s">
        <v>72</v>
      </c>
      <c r="AY519" s="184"/>
    </row>
    <row r="520" spans="2:51">
      <c r="B520" s="185">
        <v>2183</v>
      </c>
      <c r="C520" s="189">
        <v>202192</v>
      </c>
      <c r="D520" s="185" t="s">
        <v>989</v>
      </c>
      <c r="E520" s="185" t="s">
        <v>2003</v>
      </c>
      <c r="F520" s="185" t="s">
        <v>739</v>
      </c>
      <c r="G520" s="185"/>
      <c r="H520" s="185"/>
      <c r="I520" s="188">
        <v>624</v>
      </c>
      <c r="J520" s="185"/>
      <c r="K520" s="188">
        <v>0</v>
      </c>
      <c r="L520" s="185" t="s">
        <v>1129</v>
      </c>
      <c r="M520" s="185"/>
      <c r="N520" s="185" t="s">
        <v>2190</v>
      </c>
      <c r="O520" s="185" t="s">
        <v>2184</v>
      </c>
      <c r="P520" s="185"/>
      <c r="Q520" s="185"/>
      <c r="R520" s="185"/>
      <c r="S520" s="186">
        <v>43320</v>
      </c>
      <c r="T520" s="186">
        <v>43320</v>
      </c>
      <c r="U520" s="185" t="s">
        <v>1263</v>
      </c>
      <c r="V520" s="185">
        <v>700</v>
      </c>
      <c r="W520" s="185">
        <v>14050</v>
      </c>
      <c r="X520" s="187">
        <v>33435.82</v>
      </c>
      <c r="Y520" s="185">
        <v>14056</v>
      </c>
      <c r="Z520" s="187">
        <v>27465.18</v>
      </c>
      <c r="AA520" s="187">
        <v>0</v>
      </c>
      <c r="AB520" s="187">
        <v>5970.6399999999994</v>
      </c>
      <c r="AC520" s="187">
        <v>1592.2</v>
      </c>
      <c r="AD520" s="185">
        <v>54260</v>
      </c>
      <c r="AE520" s="187">
        <v>398.05</v>
      </c>
      <c r="AF520" s="187">
        <v>0</v>
      </c>
      <c r="AG520" s="187">
        <v>398.05</v>
      </c>
      <c r="AH520" s="185" t="s">
        <v>989</v>
      </c>
      <c r="AI520" s="185"/>
      <c r="AJ520" s="185"/>
      <c r="AK520" s="185" t="s">
        <v>45</v>
      </c>
      <c r="AL520" s="185" t="s">
        <v>2267</v>
      </c>
      <c r="AM520" s="185" t="s">
        <v>2269</v>
      </c>
      <c r="AN520" s="196"/>
      <c r="AO520" s="196"/>
      <c r="AP520" s="195"/>
      <c r="AQ520" s="194"/>
      <c r="AR520" s="193"/>
      <c r="AS520" s="192"/>
      <c r="AT520" s="192"/>
      <c r="AU520" s="192"/>
      <c r="AV520" s="192"/>
      <c r="AW520" s="191"/>
      <c r="AX520" s="190" t="s">
        <v>72</v>
      </c>
      <c r="AY520" s="184"/>
    </row>
    <row r="521" spans="2:51">
      <c r="B521" s="185">
        <v>2183</v>
      </c>
      <c r="C521" s="189">
        <v>202191</v>
      </c>
      <c r="D521" s="185" t="s">
        <v>989</v>
      </c>
      <c r="E521" s="185" t="s">
        <v>2003</v>
      </c>
      <c r="F521" s="185" t="s">
        <v>736</v>
      </c>
      <c r="G521" s="185"/>
      <c r="H521" s="185"/>
      <c r="I521" s="188">
        <v>624</v>
      </c>
      <c r="J521" s="185"/>
      <c r="K521" s="188">
        <v>0</v>
      </c>
      <c r="L521" s="185" t="s">
        <v>1129</v>
      </c>
      <c r="M521" s="185"/>
      <c r="N521" s="185" t="s">
        <v>2190</v>
      </c>
      <c r="O521" s="185" t="s">
        <v>2184</v>
      </c>
      <c r="P521" s="185"/>
      <c r="Q521" s="185"/>
      <c r="R521" s="185"/>
      <c r="S521" s="186">
        <v>43320</v>
      </c>
      <c r="T521" s="186">
        <v>43320</v>
      </c>
      <c r="U521" s="185" t="s">
        <v>1263</v>
      </c>
      <c r="V521" s="185">
        <v>700</v>
      </c>
      <c r="W521" s="185">
        <v>14050</v>
      </c>
      <c r="X521" s="187">
        <v>33435.82</v>
      </c>
      <c r="Y521" s="185">
        <v>14056</v>
      </c>
      <c r="Z521" s="187">
        <v>27465.18</v>
      </c>
      <c r="AA521" s="187">
        <v>0</v>
      </c>
      <c r="AB521" s="187">
        <v>5970.6399999999994</v>
      </c>
      <c r="AC521" s="187">
        <v>1592.2</v>
      </c>
      <c r="AD521" s="185">
        <v>54260</v>
      </c>
      <c r="AE521" s="187">
        <v>398.05</v>
      </c>
      <c r="AF521" s="187">
        <v>0</v>
      </c>
      <c r="AG521" s="187">
        <v>398.05</v>
      </c>
      <c r="AH521" s="185" t="s">
        <v>989</v>
      </c>
      <c r="AI521" s="185"/>
      <c r="AJ521" s="185"/>
      <c r="AK521" s="185" t="s">
        <v>45</v>
      </c>
      <c r="AL521" s="185" t="s">
        <v>2267</v>
      </c>
      <c r="AM521" s="185" t="s">
        <v>2269</v>
      </c>
      <c r="AN521" s="196"/>
      <c r="AO521" s="196"/>
      <c r="AP521" s="195"/>
      <c r="AQ521" s="194"/>
      <c r="AR521" s="193"/>
      <c r="AS521" s="192"/>
      <c r="AT521" s="192"/>
      <c r="AU521" s="192"/>
      <c r="AV521" s="192"/>
      <c r="AW521" s="191"/>
      <c r="AX521" s="190" t="s">
        <v>72</v>
      </c>
      <c r="AY521" s="184"/>
    </row>
    <row r="522" spans="2:51">
      <c r="B522" s="185">
        <v>2183</v>
      </c>
      <c r="C522" s="189">
        <v>202167</v>
      </c>
      <c r="D522" s="185" t="s">
        <v>989</v>
      </c>
      <c r="E522" s="185" t="s">
        <v>2003</v>
      </c>
      <c r="F522" s="185" t="s">
        <v>762</v>
      </c>
      <c r="G522" s="185"/>
      <c r="H522" s="185"/>
      <c r="I522" s="188">
        <v>1</v>
      </c>
      <c r="J522" s="185" t="s">
        <v>1275</v>
      </c>
      <c r="K522" s="188">
        <v>2019</v>
      </c>
      <c r="L522" s="185" t="s">
        <v>1097</v>
      </c>
      <c r="M522" s="185" t="s">
        <v>1110</v>
      </c>
      <c r="N522" s="185" t="s">
        <v>2183</v>
      </c>
      <c r="O522" s="185" t="s">
        <v>2184</v>
      </c>
      <c r="P522" s="185" t="s">
        <v>2187</v>
      </c>
      <c r="Q522" s="185"/>
      <c r="R522" s="185"/>
      <c r="S522" s="186">
        <v>43313</v>
      </c>
      <c r="T522" s="186">
        <v>43313</v>
      </c>
      <c r="U522" s="185" t="s">
        <v>1247</v>
      </c>
      <c r="V522" s="185">
        <v>1000</v>
      </c>
      <c r="W522" s="185">
        <v>14040</v>
      </c>
      <c r="X522" s="187">
        <v>339272.41</v>
      </c>
      <c r="Y522" s="185">
        <v>14046</v>
      </c>
      <c r="Z522" s="187">
        <v>195081.63</v>
      </c>
      <c r="AA522" s="187">
        <v>0</v>
      </c>
      <c r="AB522" s="187">
        <v>144190.77999999997</v>
      </c>
      <c r="AC522" s="187">
        <v>11309.08</v>
      </c>
      <c r="AD522" s="185">
        <v>51260</v>
      </c>
      <c r="AE522" s="187">
        <v>2827.27</v>
      </c>
      <c r="AF522" s="187">
        <v>0</v>
      </c>
      <c r="AG522" s="187">
        <v>2827.27</v>
      </c>
      <c r="AH522" s="185" t="s">
        <v>989</v>
      </c>
      <c r="AI522" s="185"/>
      <c r="AJ522" s="185">
        <v>3674</v>
      </c>
      <c r="AK522" s="185" t="s">
        <v>45</v>
      </c>
      <c r="AL522" s="185" t="s">
        <v>2267</v>
      </c>
      <c r="AM522" s="185" t="s">
        <v>2269</v>
      </c>
      <c r="AN522" s="196"/>
      <c r="AO522" s="196"/>
      <c r="AP522" s="195"/>
      <c r="AQ522" s="194"/>
      <c r="AR522" s="193"/>
      <c r="AS522" s="192"/>
      <c r="AT522" s="192"/>
      <c r="AU522" s="192"/>
      <c r="AV522" s="192"/>
      <c r="AW522" s="191"/>
      <c r="AX522" s="190" t="s">
        <v>72</v>
      </c>
      <c r="AY522" s="184"/>
    </row>
    <row r="523" spans="2:51">
      <c r="B523" s="185">
        <v>2183</v>
      </c>
      <c r="C523" s="189">
        <v>202091</v>
      </c>
      <c r="D523" s="185" t="s">
        <v>989</v>
      </c>
      <c r="E523" s="185" t="s">
        <v>2003</v>
      </c>
      <c r="F523" s="185" t="s">
        <v>1276</v>
      </c>
      <c r="G523" s="185"/>
      <c r="H523" s="185"/>
      <c r="I523" s="188">
        <v>1</v>
      </c>
      <c r="J523" s="185" t="s">
        <v>1277</v>
      </c>
      <c r="K523" s="188">
        <v>2019</v>
      </c>
      <c r="L523" s="185" t="s">
        <v>1097</v>
      </c>
      <c r="M523" s="185" t="s">
        <v>1104</v>
      </c>
      <c r="N523" s="185" t="s">
        <v>2183</v>
      </c>
      <c r="O523" s="185" t="s">
        <v>2184</v>
      </c>
      <c r="P523" s="185" t="s">
        <v>1105</v>
      </c>
      <c r="Q523" s="185"/>
      <c r="R523" s="185"/>
      <c r="S523" s="186">
        <v>43343</v>
      </c>
      <c r="T523" s="186">
        <v>43343</v>
      </c>
      <c r="U523" s="185" t="s">
        <v>1257</v>
      </c>
      <c r="V523" s="185">
        <v>1000</v>
      </c>
      <c r="W523" s="185">
        <v>14040</v>
      </c>
      <c r="X523" s="187">
        <v>235481.69</v>
      </c>
      <c r="Y523" s="185">
        <v>14046</v>
      </c>
      <c r="Z523" s="187">
        <v>133439.64000000001</v>
      </c>
      <c r="AA523" s="187">
        <v>0</v>
      </c>
      <c r="AB523" s="187">
        <v>102042.04999999999</v>
      </c>
      <c r="AC523" s="187">
        <v>7849.4</v>
      </c>
      <c r="AD523" s="185">
        <v>51260</v>
      </c>
      <c r="AE523" s="187">
        <v>1962.35</v>
      </c>
      <c r="AF523" s="187">
        <v>0</v>
      </c>
      <c r="AG523" s="187">
        <v>1962.35</v>
      </c>
      <c r="AH523" s="185" t="s">
        <v>989</v>
      </c>
      <c r="AI523" s="185"/>
      <c r="AJ523" s="185">
        <v>5050</v>
      </c>
      <c r="AK523" s="185" t="s">
        <v>45</v>
      </c>
      <c r="AL523" s="185" t="s">
        <v>2267</v>
      </c>
      <c r="AM523" s="185" t="s">
        <v>2269</v>
      </c>
      <c r="AN523" s="196"/>
      <c r="AO523" s="196"/>
      <c r="AP523" s="195"/>
      <c r="AQ523" s="194"/>
      <c r="AR523" s="193"/>
      <c r="AS523" s="192"/>
      <c r="AT523" s="192"/>
      <c r="AU523" s="192"/>
      <c r="AV523" s="192"/>
      <c r="AW523" s="191"/>
      <c r="AX523" s="190" t="s">
        <v>72</v>
      </c>
      <c r="AY523" s="184"/>
    </row>
    <row r="524" spans="2:51">
      <c r="B524" s="185">
        <v>2183</v>
      </c>
      <c r="C524" s="189">
        <v>202090</v>
      </c>
      <c r="D524" s="185" t="s">
        <v>989</v>
      </c>
      <c r="E524" s="185" t="s">
        <v>2003</v>
      </c>
      <c r="F524" s="185" t="s">
        <v>762</v>
      </c>
      <c r="G524" s="185"/>
      <c r="H524" s="185"/>
      <c r="I524" s="188">
        <v>1</v>
      </c>
      <c r="J524" s="185" t="s">
        <v>1278</v>
      </c>
      <c r="K524" s="188">
        <v>2019</v>
      </c>
      <c r="L524" s="185" t="s">
        <v>1097</v>
      </c>
      <c r="M524" s="185" t="s">
        <v>1110</v>
      </c>
      <c r="N524" s="185" t="s">
        <v>2183</v>
      </c>
      <c r="O524" s="185" t="s">
        <v>2184</v>
      </c>
      <c r="P524" s="185" t="s">
        <v>2187</v>
      </c>
      <c r="Q524" s="185"/>
      <c r="R524" s="185"/>
      <c r="S524" s="186">
        <v>43343</v>
      </c>
      <c r="T524" s="186">
        <v>43343</v>
      </c>
      <c r="U524" s="185" t="s">
        <v>1256</v>
      </c>
      <c r="V524" s="185">
        <v>1000</v>
      </c>
      <c r="W524" s="185">
        <v>14040</v>
      </c>
      <c r="X524" s="187">
        <v>339421.75</v>
      </c>
      <c r="Y524" s="185">
        <v>14046</v>
      </c>
      <c r="Z524" s="187">
        <v>192339</v>
      </c>
      <c r="AA524" s="187">
        <v>0</v>
      </c>
      <c r="AB524" s="187">
        <v>147082.75</v>
      </c>
      <c r="AC524" s="187">
        <v>11314.04</v>
      </c>
      <c r="AD524" s="185">
        <v>51260</v>
      </c>
      <c r="AE524" s="187">
        <v>2828.51</v>
      </c>
      <c r="AF524" s="187">
        <v>0</v>
      </c>
      <c r="AG524" s="187">
        <v>2828.51</v>
      </c>
      <c r="AH524" s="185" t="s">
        <v>989</v>
      </c>
      <c r="AI524" s="185"/>
      <c r="AJ524" s="185">
        <v>3672</v>
      </c>
      <c r="AK524" s="185" t="s">
        <v>45</v>
      </c>
      <c r="AL524" s="185" t="s">
        <v>2267</v>
      </c>
      <c r="AM524" s="185" t="s">
        <v>2269</v>
      </c>
      <c r="AN524" s="196"/>
      <c r="AO524" s="196"/>
      <c r="AP524" s="195"/>
      <c r="AQ524" s="194"/>
      <c r="AR524" s="193"/>
      <c r="AS524" s="192"/>
      <c r="AT524" s="192"/>
      <c r="AU524" s="192"/>
      <c r="AV524" s="192"/>
      <c r="AW524" s="191"/>
      <c r="AX524" s="190" t="s">
        <v>72</v>
      </c>
      <c r="AY524" s="184"/>
    </row>
    <row r="525" spans="2:51" hidden="1">
      <c r="B525" s="185">
        <v>2183</v>
      </c>
      <c r="C525" s="189">
        <v>200989</v>
      </c>
      <c r="D525" s="185">
        <v>199117</v>
      </c>
      <c r="E525" s="185" t="s">
        <v>2003</v>
      </c>
      <c r="F525" s="185" t="s">
        <v>1279</v>
      </c>
      <c r="G525" s="185"/>
      <c r="H525" s="185"/>
      <c r="I525" s="188">
        <v>1</v>
      </c>
      <c r="J525" s="185"/>
      <c r="K525" s="188">
        <v>0</v>
      </c>
      <c r="L525" s="185" t="s">
        <v>1112</v>
      </c>
      <c r="M525" s="185"/>
      <c r="N525" s="185" t="s">
        <v>2183</v>
      </c>
      <c r="O525" s="185" t="s">
        <v>2184</v>
      </c>
      <c r="P525" s="185" t="s">
        <v>1028</v>
      </c>
      <c r="Q525" s="185"/>
      <c r="R525" s="185"/>
      <c r="S525" s="186">
        <v>43281</v>
      </c>
      <c r="T525" s="186">
        <v>43281</v>
      </c>
      <c r="U525" s="185" t="s">
        <v>1280</v>
      </c>
      <c r="V525" s="185">
        <v>1000</v>
      </c>
      <c r="W525" s="185">
        <v>14040</v>
      </c>
      <c r="X525" s="187">
        <v>950.67</v>
      </c>
      <c r="Y525" s="185">
        <v>14046</v>
      </c>
      <c r="Z525" s="187">
        <v>554.51</v>
      </c>
      <c r="AA525" s="187">
        <v>0</v>
      </c>
      <c r="AB525" s="187">
        <v>396.15999999999997</v>
      </c>
      <c r="AC525" s="187">
        <v>31.68</v>
      </c>
      <c r="AD525" s="185">
        <v>51260</v>
      </c>
      <c r="AE525" s="187">
        <v>7.92</v>
      </c>
      <c r="AF525" s="187">
        <v>0</v>
      </c>
      <c r="AG525" s="187">
        <v>7.92</v>
      </c>
      <c r="AH525" s="185" t="s">
        <v>989</v>
      </c>
      <c r="AI525" s="185"/>
      <c r="AJ525" s="185"/>
      <c r="AK525" s="185" t="s">
        <v>45</v>
      </c>
      <c r="AL525" s="185" t="s">
        <v>2267</v>
      </c>
      <c r="AM525" s="185" t="s">
        <v>2269</v>
      </c>
      <c r="AN525" s="196"/>
      <c r="AO525" s="196"/>
      <c r="AP525" s="195"/>
      <c r="AQ525" s="194"/>
      <c r="AR525" s="193"/>
      <c r="AS525" s="192"/>
      <c r="AT525" s="192"/>
      <c r="AU525" s="192"/>
      <c r="AV525" s="192"/>
      <c r="AW525" s="191"/>
      <c r="AX525" s="190" t="s">
        <v>72</v>
      </c>
      <c r="AY525" s="184"/>
    </row>
    <row r="526" spans="2:51" hidden="1">
      <c r="B526" s="185">
        <v>2183</v>
      </c>
      <c r="C526" s="189">
        <v>200622</v>
      </c>
      <c r="D526" s="185">
        <v>199117</v>
      </c>
      <c r="E526" s="185" t="s">
        <v>2003</v>
      </c>
      <c r="F526" s="185" t="s">
        <v>731</v>
      </c>
      <c r="G526" s="185"/>
      <c r="H526" s="185"/>
      <c r="I526" s="188">
        <v>1</v>
      </c>
      <c r="J526" s="185"/>
      <c r="K526" s="188">
        <v>0</v>
      </c>
      <c r="L526" s="185" t="s">
        <v>1037</v>
      </c>
      <c r="M526" s="185"/>
      <c r="N526" s="185" t="s">
        <v>2183</v>
      </c>
      <c r="O526" s="185" t="s">
        <v>2184</v>
      </c>
      <c r="P526" s="185" t="s">
        <v>1028</v>
      </c>
      <c r="Q526" s="185"/>
      <c r="R526" s="185"/>
      <c r="S526" s="186">
        <v>43281</v>
      </c>
      <c r="T526" s="186">
        <v>43281</v>
      </c>
      <c r="U526" s="185" t="s">
        <v>1280</v>
      </c>
      <c r="V526" s="185">
        <v>500</v>
      </c>
      <c r="W526" s="185">
        <v>14040</v>
      </c>
      <c r="X526" s="187">
        <v>722.88</v>
      </c>
      <c r="Y526" s="185">
        <v>14046</v>
      </c>
      <c r="Z526" s="187">
        <v>722.88</v>
      </c>
      <c r="AA526" s="187">
        <v>0</v>
      </c>
      <c r="AB526" s="187">
        <v>0</v>
      </c>
      <c r="AC526" s="187">
        <v>0</v>
      </c>
      <c r="AD526" s="185">
        <v>51260</v>
      </c>
      <c r="AE526" s="187">
        <v>0</v>
      </c>
      <c r="AF526" s="187">
        <v>0</v>
      </c>
      <c r="AG526" s="187">
        <v>0</v>
      </c>
      <c r="AH526" s="185" t="s">
        <v>989</v>
      </c>
      <c r="AI526" s="185"/>
      <c r="AJ526" s="185"/>
      <c r="AK526" s="185" t="s">
        <v>45</v>
      </c>
      <c r="AL526" s="185" t="s">
        <v>2267</v>
      </c>
      <c r="AM526" s="185" t="s">
        <v>2269</v>
      </c>
      <c r="AN526" s="196"/>
      <c r="AO526" s="196"/>
      <c r="AP526" s="195"/>
      <c r="AQ526" s="194"/>
      <c r="AR526" s="193"/>
      <c r="AS526" s="192"/>
      <c r="AT526" s="192"/>
      <c r="AU526" s="192"/>
      <c r="AV526" s="192"/>
      <c r="AW526" s="191"/>
      <c r="AX526" s="190" t="s">
        <v>72</v>
      </c>
      <c r="AY526" s="184"/>
    </row>
    <row r="527" spans="2:51">
      <c r="B527" s="185">
        <v>2183</v>
      </c>
      <c r="C527" s="189">
        <v>200600</v>
      </c>
      <c r="D527" s="185" t="s">
        <v>989</v>
      </c>
      <c r="E527" s="185" t="s">
        <v>2003</v>
      </c>
      <c r="F527" s="185" t="s">
        <v>904</v>
      </c>
      <c r="G527" s="185"/>
      <c r="H527" s="185"/>
      <c r="I527" s="188">
        <v>56</v>
      </c>
      <c r="J527" s="185"/>
      <c r="K527" s="188">
        <v>0</v>
      </c>
      <c r="L527" s="185"/>
      <c r="M527" s="185"/>
      <c r="N527" s="185" t="s">
        <v>2190</v>
      </c>
      <c r="O527" s="185" t="s">
        <v>2184</v>
      </c>
      <c r="P527" s="185"/>
      <c r="Q527" s="185" t="s">
        <v>2191</v>
      </c>
      <c r="R527" s="185" t="s">
        <v>2192</v>
      </c>
      <c r="S527" s="186">
        <v>39755</v>
      </c>
      <c r="T527" s="186">
        <v>39755</v>
      </c>
      <c r="U527" s="185"/>
      <c r="V527" s="185">
        <v>700</v>
      </c>
      <c r="W527" s="185">
        <v>14050</v>
      </c>
      <c r="X527" s="187">
        <v>72596.160000000003</v>
      </c>
      <c r="Y527" s="185">
        <v>14056</v>
      </c>
      <c r="Z527" s="187">
        <v>72596.160000000003</v>
      </c>
      <c r="AA527" s="187">
        <v>0</v>
      </c>
      <c r="AB527" s="187">
        <v>0</v>
      </c>
      <c r="AC527" s="187">
        <v>0</v>
      </c>
      <c r="AD527" s="185">
        <v>54260</v>
      </c>
      <c r="AE527" s="187">
        <v>0</v>
      </c>
      <c r="AF527" s="187">
        <v>0</v>
      </c>
      <c r="AG527" s="187">
        <v>0</v>
      </c>
      <c r="AH527" s="185" t="s">
        <v>994</v>
      </c>
      <c r="AI527" s="185" t="s">
        <v>1050</v>
      </c>
      <c r="AJ527" s="185" t="s">
        <v>1296</v>
      </c>
      <c r="AK527" s="185" t="s">
        <v>45</v>
      </c>
      <c r="AL527" s="185" t="s">
        <v>2267</v>
      </c>
      <c r="AM527" s="185" t="s">
        <v>2269</v>
      </c>
      <c r="AN527" s="196"/>
      <c r="AO527" s="196"/>
      <c r="AP527" s="195"/>
      <c r="AQ527" s="194"/>
      <c r="AR527" s="193"/>
      <c r="AS527" s="192"/>
      <c r="AT527" s="192"/>
      <c r="AU527" s="192"/>
      <c r="AV527" s="192"/>
      <c r="AW527" s="191"/>
      <c r="AX527" s="190" t="s">
        <v>72</v>
      </c>
      <c r="AY527" s="184"/>
    </row>
    <row r="528" spans="2:51">
      <c r="B528" s="185">
        <v>2183</v>
      </c>
      <c r="C528" s="189">
        <v>200593</v>
      </c>
      <c r="D528" s="185" t="s">
        <v>989</v>
      </c>
      <c r="E528" s="185" t="s">
        <v>2003</v>
      </c>
      <c r="F528" s="185" t="s">
        <v>1281</v>
      </c>
      <c r="G528" s="185"/>
      <c r="H528" s="185"/>
      <c r="I528" s="188">
        <v>85</v>
      </c>
      <c r="J528" s="185"/>
      <c r="K528" s="188">
        <v>0</v>
      </c>
      <c r="L528" s="185"/>
      <c r="M528" s="185"/>
      <c r="N528" s="185" t="s">
        <v>2190</v>
      </c>
      <c r="O528" s="185" t="s">
        <v>2184</v>
      </c>
      <c r="P528" s="185"/>
      <c r="Q528" s="185" t="s">
        <v>2218</v>
      </c>
      <c r="R528" s="185" t="s">
        <v>2192</v>
      </c>
      <c r="S528" s="186">
        <v>39755</v>
      </c>
      <c r="T528" s="186">
        <v>39755</v>
      </c>
      <c r="U528" s="185"/>
      <c r="V528" s="185">
        <v>700</v>
      </c>
      <c r="W528" s="185">
        <v>14050</v>
      </c>
      <c r="X528" s="187">
        <v>110190.6</v>
      </c>
      <c r="Y528" s="185">
        <v>14056</v>
      </c>
      <c r="Z528" s="187">
        <v>110190.6</v>
      </c>
      <c r="AA528" s="187">
        <v>0</v>
      </c>
      <c r="AB528" s="187">
        <v>0</v>
      </c>
      <c r="AC528" s="187">
        <v>0</v>
      </c>
      <c r="AD528" s="185">
        <v>54260</v>
      </c>
      <c r="AE528" s="187">
        <v>0</v>
      </c>
      <c r="AF528" s="187">
        <v>0</v>
      </c>
      <c r="AG528" s="187">
        <v>0</v>
      </c>
      <c r="AH528" s="185" t="s">
        <v>994</v>
      </c>
      <c r="AI528" s="185" t="s">
        <v>1050</v>
      </c>
      <c r="AJ528" s="185" t="s">
        <v>1296</v>
      </c>
      <c r="AK528" s="185" t="s">
        <v>45</v>
      </c>
      <c r="AL528" s="185" t="s">
        <v>2267</v>
      </c>
      <c r="AM528" s="185" t="s">
        <v>2269</v>
      </c>
      <c r="AN528" s="196"/>
      <c r="AO528" s="196"/>
      <c r="AP528" s="195"/>
      <c r="AQ528" s="194"/>
      <c r="AR528" s="193"/>
      <c r="AS528" s="192"/>
      <c r="AT528" s="192"/>
      <c r="AU528" s="192"/>
      <c r="AV528" s="192"/>
      <c r="AW528" s="191"/>
      <c r="AX528" s="190" t="s">
        <v>72</v>
      </c>
      <c r="AY528" s="184"/>
    </row>
    <row r="529" spans="2:51">
      <c r="B529" s="185">
        <v>2183</v>
      </c>
      <c r="C529" s="189">
        <v>200586</v>
      </c>
      <c r="D529" s="185" t="s">
        <v>989</v>
      </c>
      <c r="E529" s="185" t="s">
        <v>2003</v>
      </c>
      <c r="F529" s="185" t="s">
        <v>1282</v>
      </c>
      <c r="G529" s="185"/>
      <c r="H529" s="185"/>
      <c r="I529" s="188">
        <v>77</v>
      </c>
      <c r="J529" s="185"/>
      <c r="K529" s="188">
        <v>0</v>
      </c>
      <c r="L529" s="185"/>
      <c r="M529" s="185"/>
      <c r="N529" s="185" t="s">
        <v>2190</v>
      </c>
      <c r="O529" s="185" t="s">
        <v>2184</v>
      </c>
      <c r="P529" s="185"/>
      <c r="Q529" s="185" t="s">
        <v>2219</v>
      </c>
      <c r="R529" s="185" t="s">
        <v>2192</v>
      </c>
      <c r="S529" s="186">
        <v>39755</v>
      </c>
      <c r="T529" s="186">
        <v>39755</v>
      </c>
      <c r="U529" s="185"/>
      <c r="V529" s="185">
        <v>700</v>
      </c>
      <c r="W529" s="185">
        <v>14050</v>
      </c>
      <c r="X529" s="187">
        <v>99820.49</v>
      </c>
      <c r="Y529" s="185">
        <v>14056</v>
      </c>
      <c r="Z529" s="187">
        <v>99820.49</v>
      </c>
      <c r="AA529" s="187">
        <v>0</v>
      </c>
      <c r="AB529" s="187">
        <v>0</v>
      </c>
      <c r="AC529" s="187">
        <v>0</v>
      </c>
      <c r="AD529" s="185">
        <v>54260</v>
      </c>
      <c r="AE529" s="187">
        <v>0</v>
      </c>
      <c r="AF529" s="187">
        <v>0</v>
      </c>
      <c r="AG529" s="187">
        <v>0</v>
      </c>
      <c r="AH529" s="185" t="s">
        <v>994</v>
      </c>
      <c r="AI529" s="185" t="s">
        <v>1050</v>
      </c>
      <c r="AJ529" s="185" t="s">
        <v>1296</v>
      </c>
      <c r="AK529" s="185" t="s">
        <v>45</v>
      </c>
      <c r="AL529" s="185" t="s">
        <v>2267</v>
      </c>
      <c r="AM529" s="185" t="s">
        <v>2269</v>
      </c>
      <c r="AN529" s="196"/>
      <c r="AO529" s="196"/>
      <c r="AP529" s="195"/>
      <c r="AQ529" s="194"/>
      <c r="AR529" s="193"/>
      <c r="AS529" s="192"/>
      <c r="AT529" s="192"/>
      <c r="AU529" s="192"/>
      <c r="AV529" s="192"/>
      <c r="AW529" s="191"/>
      <c r="AX529" s="190" t="s">
        <v>72</v>
      </c>
      <c r="AY529" s="184"/>
    </row>
    <row r="530" spans="2:51">
      <c r="B530" s="185">
        <v>2183</v>
      </c>
      <c r="C530" s="189">
        <v>200583</v>
      </c>
      <c r="D530" s="185" t="s">
        <v>989</v>
      </c>
      <c r="E530" s="185" t="s">
        <v>2003</v>
      </c>
      <c r="F530" s="185" t="s">
        <v>1173</v>
      </c>
      <c r="G530" s="185"/>
      <c r="H530" s="185"/>
      <c r="I530" s="188">
        <v>192</v>
      </c>
      <c r="J530" s="185"/>
      <c r="K530" s="188">
        <v>0</v>
      </c>
      <c r="L530" s="185"/>
      <c r="M530" s="185"/>
      <c r="N530" s="185" t="s">
        <v>2190</v>
      </c>
      <c r="O530" s="185" t="s">
        <v>2184</v>
      </c>
      <c r="P530" s="185"/>
      <c r="Q530" s="185" t="s">
        <v>2208</v>
      </c>
      <c r="R530" s="185" t="s">
        <v>2195</v>
      </c>
      <c r="S530" s="186">
        <v>39755</v>
      </c>
      <c r="T530" s="186">
        <v>39755</v>
      </c>
      <c r="U530" s="185"/>
      <c r="V530" s="185">
        <v>1200</v>
      </c>
      <c r="W530" s="185">
        <v>14050</v>
      </c>
      <c r="X530" s="187">
        <v>26812.799999999999</v>
      </c>
      <c r="Y530" s="185">
        <v>14056</v>
      </c>
      <c r="Z530" s="187">
        <v>26812.799999999999</v>
      </c>
      <c r="AA530" s="187">
        <v>0</v>
      </c>
      <c r="AB530" s="187">
        <v>0</v>
      </c>
      <c r="AC530" s="187">
        <v>0</v>
      </c>
      <c r="AD530" s="185">
        <v>54260</v>
      </c>
      <c r="AE530" s="187">
        <v>0</v>
      </c>
      <c r="AF530" s="187">
        <v>0</v>
      </c>
      <c r="AG530" s="187">
        <v>0</v>
      </c>
      <c r="AH530" s="185" t="s">
        <v>994</v>
      </c>
      <c r="AI530" s="185" t="s">
        <v>1050</v>
      </c>
      <c r="AJ530" s="185" t="s">
        <v>1296</v>
      </c>
      <c r="AK530" s="185" t="s">
        <v>45</v>
      </c>
      <c r="AL530" s="185" t="s">
        <v>2267</v>
      </c>
      <c r="AM530" s="185" t="s">
        <v>2269</v>
      </c>
      <c r="AN530" s="196"/>
      <c r="AO530" s="196"/>
      <c r="AP530" s="195"/>
      <c r="AQ530" s="194"/>
      <c r="AR530" s="193"/>
      <c r="AS530" s="192"/>
      <c r="AT530" s="192"/>
      <c r="AU530" s="192"/>
      <c r="AV530" s="192"/>
      <c r="AW530" s="191"/>
      <c r="AX530" s="190" t="s">
        <v>72</v>
      </c>
      <c r="AY530" s="184"/>
    </row>
    <row r="531" spans="2:51">
      <c r="B531" s="185">
        <v>2183</v>
      </c>
      <c r="C531" s="189">
        <v>200581</v>
      </c>
      <c r="D531" s="185" t="s">
        <v>989</v>
      </c>
      <c r="E531" s="185" t="s">
        <v>2003</v>
      </c>
      <c r="F531" s="185" t="s">
        <v>1283</v>
      </c>
      <c r="G531" s="185"/>
      <c r="H531" s="185"/>
      <c r="I531" s="188">
        <v>86</v>
      </c>
      <c r="J531" s="185"/>
      <c r="K531" s="188">
        <v>0</v>
      </c>
      <c r="L531" s="185"/>
      <c r="M531" s="185"/>
      <c r="N531" s="185" t="s">
        <v>2190</v>
      </c>
      <c r="O531" s="185" t="s">
        <v>2184</v>
      </c>
      <c r="P531" s="185"/>
      <c r="Q531" s="185" t="s">
        <v>2218</v>
      </c>
      <c r="R531" s="185" t="s">
        <v>2192</v>
      </c>
      <c r="S531" s="186">
        <v>39755</v>
      </c>
      <c r="T531" s="186">
        <v>39755</v>
      </c>
      <c r="U531" s="185"/>
      <c r="V531" s="185">
        <v>700</v>
      </c>
      <c r="W531" s="185">
        <v>14050</v>
      </c>
      <c r="X531" s="187">
        <v>129148.78</v>
      </c>
      <c r="Y531" s="185">
        <v>14056</v>
      </c>
      <c r="Z531" s="187">
        <v>129148.78</v>
      </c>
      <c r="AA531" s="187">
        <v>0</v>
      </c>
      <c r="AB531" s="187">
        <v>0</v>
      </c>
      <c r="AC531" s="187">
        <v>0</v>
      </c>
      <c r="AD531" s="185">
        <v>54260</v>
      </c>
      <c r="AE531" s="187">
        <v>0</v>
      </c>
      <c r="AF531" s="187">
        <v>0</v>
      </c>
      <c r="AG531" s="187">
        <v>0</v>
      </c>
      <c r="AH531" s="185" t="s">
        <v>994</v>
      </c>
      <c r="AI531" s="185" t="s">
        <v>1050</v>
      </c>
      <c r="AJ531" s="185" t="s">
        <v>1296</v>
      </c>
      <c r="AK531" s="185" t="s">
        <v>45</v>
      </c>
      <c r="AL531" s="185" t="s">
        <v>2267</v>
      </c>
      <c r="AM531" s="185" t="s">
        <v>2269</v>
      </c>
      <c r="AN531" s="196"/>
      <c r="AO531" s="196"/>
      <c r="AP531" s="195"/>
      <c r="AQ531" s="194"/>
      <c r="AR531" s="193"/>
      <c r="AS531" s="192"/>
      <c r="AT531" s="192"/>
      <c r="AU531" s="192"/>
      <c r="AV531" s="192"/>
      <c r="AW531" s="191"/>
      <c r="AX531" s="190" t="s">
        <v>72</v>
      </c>
      <c r="AY531" s="184"/>
    </row>
    <row r="532" spans="2:51">
      <c r="B532" s="185">
        <v>2183</v>
      </c>
      <c r="C532" s="189">
        <v>200572</v>
      </c>
      <c r="D532" s="185" t="s">
        <v>989</v>
      </c>
      <c r="E532" s="185" t="s">
        <v>2003</v>
      </c>
      <c r="F532" s="185" t="s">
        <v>613</v>
      </c>
      <c r="G532" s="185"/>
      <c r="H532" s="185"/>
      <c r="I532" s="188">
        <v>72</v>
      </c>
      <c r="J532" s="185"/>
      <c r="K532" s="188">
        <v>0</v>
      </c>
      <c r="L532" s="185"/>
      <c r="M532" s="185"/>
      <c r="N532" s="185" t="s">
        <v>2190</v>
      </c>
      <c r="O532" s="185" t="s">
        <v>2184</v>
      </c>
      <c r="P532" s="185"/>
      <c r="Q532" s="185" t="s">
        <v>2209</v>
      </c>
      <c r="R532" s="185" t="s">
        <v>2195</v>
      </c>
      <c r="S532" s="186">
        <v>39755</v>
      </c>
      <c r="T532" s="186">
        <v>39755</v>
      </c>
      <c r="U532" s="185"/>
      <c r="V532" s="185">
        <v>1200</v>
      </c>
      <c r="W532" s="185">
        <v>14050</v>
      </c>
      <c r="X532" s="187">
        <v>10054.799999999999</v>
      </c>
      <c r="Y532" s="185">
        <v>14056</v>
      </c>
      <c r="Z532" s="187">
        <v>10054.799999999999</v>
      </c>
      <c r="AA532" s="187">
        <v>0</v>
      </c>
      <c r="AB532" s="187">
        <v>0</v>
      </c>
      <c r="AC532" s="187">
        <v>0</v>
      </c>
      <c r="AD532" s="185">
        <v>54260</v>
      </c>
      <c r="AE532" s="187">
        <v>0</v>
      </c>
      <c r="AF532" s="187">
        <v>0</v>
      </c>
      <c r="AG532" s="187">
        <v>0</v>
      </c>
      <c r="AH532" s="185" t="s">
        <v>994</v>
      </c>
      <c r="AI532" s="185" t="s">
        <v>1050</v>
      </c>
      <c r="AJ532" s="185" t="s">
        <v>1296</v>
      </c>
      <c r="AK532" s="185" t="s">
        <v>45</v>
      </c>
      <c r="AL532" s="185" t="s">
        <v>2267</v>
      </c>
      <c r="AM532" s="185" t="s">
        <v>2269</v>
      </c>
      <c r="AN532" s="196"/>
      <c r="AO532" s="196"/>
      <c r="AP532" s="195"/>
      <c r="AQ532" s="194"/>
      <c r="AR532" s="193"/>
      <c r="AS532" s="192"/>
      <c r="AT532" s="192"/>
      <c r="AU532" s="192"/>
      <c r="AV532" s="192"/>
      <c r="AW532" s="191"/>
      <c r="AX532" s="190" t="s">
        <v>72</v>
      </c>
      <c r="AY532" s="184"/>
    </row>
    <row r="533" spans="2:51">
      <c r="B533" s="185">
        <v>2183</v>
      </c>
      <c r="C533" s="189">
        <v>200571</v>
      </c>
      <c r="D533" s="185" t="s">
        <v>989</v>
      </c>
      <c r="E533" s="185" t="s">
        <v>2003</v>
      </c>
      <c r="F533" s="185" t="s">
        <v>1284</v>
      </c>
      <c r="G533" s="185"/>
      <c r="H533" s="185"/>
      <c r="I533" s="188">
        <v>12</v>
      </c>
      <c r="J533" s="185"/>
      <c r="K533" s="188">
        <v>0</v>
      </c>
      <c r="L533" s="185"/>
      <c r="M533" s="185"/>
      <c r="N533" s="185" t="s">
        <v>2190</v>
      </c>
      <c r="O533" s="185" t="s">
        <v>2184</v>
      </c>
      <c r="P533" s="185"/>
      <c r="Q533" s="185" t="s">
        <v>2202</v>
      </c>
      <c r="R533" s="185" t="s">
        <v>2192</v>
      </c>
      <c r="S533" s="186">
        <v>39755</v>
      </c>
      <c r="T533" s="186">
        <v>39755</v>
      </c>
      <c r="U533" s="185"/>
      <c r="V533" s="185">
        <v>700</v>
      </c>
      <c r="W533" s="185">
        <v>14050</v>
      </c>
      <c r="X533" s="187">
        <v>1567.56</v>
      </c>
      <c r="Y533" s="185">
        <v>14056</v>
      </c>
      <c r="Z533" s="187">
        <v>1567.56</v>
      </c>
      <c r="AA533" s="187">
        <v>0</v>
      </c>
      <c r="AB533" s="187">
        <v>0</v>
      </c>
      <c r="AC533" s="187">
        <v>0</v>
      </c>
      <c r="AD533" s="185">
        <v>54260</v>
      </c>
      <c r="AE533" s="187">
        <v>0</v>
      </c>
      <c r="AF533" s="187">
        <v>0</v>
      </c>
      <c r="AG533" s="187">
        <v>0</v>
      </c>
      <c r="AH533" s="185" t="s">
        <v>994</v>
      </c>
      <c r="AI533" s="185" t="s">
        <v>1050</v>
      </c>
      <c r="AJ533" s="185" t="s">
        <v>1296</v>
      </c>
      <c r="AK533" s="185" t="s">
        <v>45</v>
      </c>
      <c r="AL533" s="185" t="s">
        <v>2267</v>
      </c>
      <c r="AM533" s="185" t="s">
        <v>2269</v>
      </c>
      <c r="AN533" s="196"/>
      <c r="AO533" s="196"/>
      <c r="AP533" s="195"/>
      <c r="AQ533" s="194"/>
      <c r="AR533" s="193"/>
      <c r="AS533" s="192"/>
      <c r="AT533" s="192"/>
      <c r="AU533" s="192"/>
      <c r="AV533" s="192"/>
      <c r="AW533" s="191"/>
      <c r="AX533" s="190" t="s">
        <v>72</v>
      </c>
      <c r="AY533" s="184"/>
    </row>
    <row r="534" spans="2:51">
      <c r="B534" s="185">
        <v>2183</v>
      </c>
      <c r="C534" s="189">
        <v>199449</v>
      </c>
      <c r="D534" s="185" t="s">
        <v>989</v>
      </c>
      <c r="E534" s="185" t="s">
        <v>2003</v>
      </c>
      <c r="F534" s="185" t="s">
        <v>738</v>
      </c>
      <c r="G534" s="185"/>
      <c r="H534" s="185"/>
      <c r="I534" s="188">
        <v>864</v>
      </c>
      <c r="J534" s="185"/>
      <c r="K534" s="188">
        <v>0</v>
      </c>
      <c r="L534" s="185" t="s">
        <v>1285</v>
      </c>
      <c r="M534" s="185"/>
      <c r="N534" s="185" t="s">
        <v>2190</v>
      </c>
      <c r="O534" s="185" t="s">
        <v>2184</v>
      </c>
      <c r="P534" s="185"/>
      <c r="Q534" s="185"/>
      <c r="R534" s="185"/>
      <c r="S534" s="186">
        <v>43190</v>
      </c>
      <c r="T534" s="186">
        <v>43190</v>
      </c>
      <c r="U534" s="185" t="s">
        <v>1274</v>
      </c>
      <c r="V534" s="185">
        <v>700</v>
      </c>
      <c r="W534" s="185">
        <v>14050</v>
      </c>
      <c r="X534" s="187">
        <v>39644.51</v>
      </c>
      <c r="Y534" s="185">
        <v>14056</v>
      </c>
      <c r="Z534" s="187">
        <v>34452.97</v>
      </c>
      <c r="AA534" s="187">
        <v>0</v>
      </c>
      <c r="AB534" s="187">
        <v>5191.5400000000009</v>
      </c>
      <c r="AC534" s="187">
        <v>1887.84</v>
      </c>
      <c r="AD534" s="185">
        <v>54260</v>
      </c>
      <c r="AE534" s="187">
        <v>471.96</v>
      </c>
      <c r="AF534" s="187">
        <v>0</v>
      </c>
      <c r="AG534" s="187">
        <v>471.96</v>
      </c>
      <c r="AH534" s="185" t="s">
        <v>989</v>
      </c>
      <c r="AI534" s="185"/>
      <c r="AJ534" s="185"/>
      <c r="AK534" s="185" t="s">
        <v>45</v>
      </c>
      <c r="AL534" s="185" t="s">
        <v>2267</v>
      </c>
      <c r="AM534" s="185" t="s">
        <v>2269</v>
      </c>
      <c r="AN534" s="196"/>
      <c r="AO534" s="196"/>
      <c r="AP534" s="195"/>
      <c r="AQ534" s="194"/>
      <c r="AR534" s="193"/>
      <c r="AS534" s="192"/>
      <c r="AT534" s="192"/>
      <c r="AU534" s="192"/>
      <c r="AV534" s="192"/>
      <c r="AW534" s="191"/>
      <c r="AX534" s="190" t="s">
        <v>72</v>
      </c>
      <c r="AY534" s="184"/>
    </row>
    <row r="535" spans="2:51">
      <c r="B535" s="185">
        <v>2183</v>
      </c>
      <c r="C535" s="189">
        <v>199448</v>
      </c>
      <c r="D535" s="185" t="s">
        <v>989</v>
      </c>
      <c r="E535" s="185" t="s">
        <v>2003</v>
      </c>
      <c r="F535" s="185" t="s">
        <v>1286</v>
      </c>
      <c r="G535" s="185"/>
      <c r="H535" s="185"/>
      <c r="I535" s="188">
        <v>624</v>
      </c>
      <c r="J535" s="185"/>
      <c r="K535" s="188">
        <v>0</v>
      </c>
      <c r="L535" s="185" t="s">
        <v>1285</v>
      </c>
      <c r="M535" s="185"/>
      <c r="N535" s="185" t="s">
        <v>2190</v>
      </c>
      <c r="O535" s="185" t="s">
        <v>2184</v>
      </c>
      <c r="P535" s="185"/>
      <c r="Q535" s="185"/>
      <c r="R535" s="185"/>
      <c r="S535" s="186">
        <v>43216</v>
      </c>
      <c r="T535" s="186">
        <v>43216</v>
      </c>
      <c r="U535" s="185" t="s">
        <v>1287</v>
      </c>
      <c r="V535" s="185">
        <v>700</v>
      </c>
      <c r="W535" s="185">
        <v>14050</v>
      </c>
      <c r="X535" s="187">
        <v>33108.660000000003</v>
      </c>
      <c r="Y535" s="185">
        <v>14056</v>
      </c>
      <c r="Z535" s="187">
        <v>28378.86</v>
      </c>
      <c r="AA535" s="187">
        <v>0</v>
      </c>
      <c r="AB535" s="187">
        <v>4729.8000000000029</v>
      </c>
      <c r="AC535" s="187">
        <v>1576.6</v>
      </c>
      <c r="AD535" s="185">
        <v>54260</v>
      </c>
      <c r="AE535" s="187">
        <v>394.15</v>
      </c>
      <c r="AF535" s="187">
        <v>0</v>
      </c>
      <c r="AG535" s="187">
        <v>394.15</v>
      </c>
      <c r="AH535" s="185" t="s">
        <v>989</v>
      </c>
      <c r="AI535" s="185"/>
      <c r="AJ535" s="185"/>
      <c r="AK535" s="185" t="s">
        <v>45</v>
      </c>
      <c r="AL535" s="185" t="s">
        <v>2267</v>
      </c>
      <c r="AM535" s="185" t="s">
        <v>2269</v>
      </c>
      <c r="AN535" s="196"/>
      <c r="AO535" s="196"/>
      <c r="AP535" s="195"/>
      <c r="AQ535" s="194"/>
      <c r="AR535" s="193"/>
      <c r="AS535" s="192"/>
      <c r="AT535" s="192"/>
      <c r="AU535" s="192"/>
      <c r="AV535" s="192"/>
      <c r="AW535" s="191"/>
      <c r="AX535" s="190" t="s">
        <v>72</v>
      </c>
      <c r="AY535" s="184"/>
    </row>
    <row r="536" spans="2:51">
      <c r="B536" s="185">
        <v>2183</v>
      </c>
      <c r="C536" s="189">
        <v>199447</v>
      </c>
      <c r="D536" s="185" t="s">
        <v>989</v>
      </c>
      <c r="E536" s="185" t="s">
        <v>2003</v>
      </c>
      <c r="F536" s="185" t="s">
        <v>737</v>
      </c>
      <c r="G536" s="185"/>
      <c r="H536" s="185"/>
      <c r="I536" s="188">
        <v>432</v>
      </c>
      <c r="J536" s="185"/>
      <c r="K536" s="188">
        <v>0</v>
      </c>
      <c r="L536" s="185" t="s">
        <v>1285</v>
      </c>
      <c r="M536" s="185"/>
      <c r="N536" s="185" t="s">
        <v>2190</v>
      </c>
      <c r="O536" s="185" t="s">
        <v>2184</v>
      </c>
      <c r="P536" s="185"/>
      <c r="Q536" s="185"/>
      <c r="R536" s="185"/>
      <c r="S536" s="186">
        <v>43208</v>
      </c>
      <c r="T536" s="186">
        <v>43208</v>
      </c>
      <c r="U536" s="185" t="s">
        <v>1274</v>
      </c>
      <c r="V536" s="185">
        <v>700</v>
      </c>
      <c r="W536" s="185">
        <v>14050</v>
      </c>
      <c r="X536" s="187">
        <v>20942.36</v>
      </c>
      <c r="Y536" s="185">
        <v>14056</v>
      </c>
      <c r="Z536" s="187">
        <v>17950.599999999999</v>
      </c>
      <c r="AA536" s="187">
        <v>0</v>
      </c>
      <c r="AB536" s="187">
        <v>2991.760000000002</v>
      </c>
      <c r="AC536" s="187">
        <v>997.24</v>
      </c>
      <c r="AD536" s="185">
        <v>54260</v>
      </c>
      <c r="AE536" s="187">
        <v>249.31</v>
      </c>
      <c r="AF536" s="187">
        <v>0</v>
      </c>
      <c r="AG536" s="187">
        <v>249.31</v>
      </c>
      <c r="AH536" s="185" t="s">
        <v>989</v>
      </c>
      <c r="AI536" s="185"/>
      <c r="AJ536" s="185"/>
      <c r="AK536" s="185" t="s">
        <v>45</v>
      </c>
      <c r="AL536" s="185" t="s">
        <v>2267</v>
      </c>
      <c r="AM536" s="185" t="s">
        <v>2269</v>
      </c>
      <c r="AN536" s="196"/>
      <c r="AO536" s="196"/>
      <c r="AP536" s="195"/>
      <c r="AQ536" s="194"/>
      <c r="AR536" s="193"/>
      <c r="AS536" s="192"/>
      <c r="AT536" s="192"/>
      <c r="AU536" s="192"/>
      <c r="AV536" s="192"/>
      <c r="AW536" s="191"/>
      <c r="AX536" s="190" t="s">
        <v>72</v>
      </c>
      <c r="AY536" s="184"/>
    </row>
    <row r="537" spans="2:51">
      <c r="B537" s="185">
        <v>2183</v>
      </c>
      <c r="C537" s="189">
        <v>199446</v>
      </c>
      <c r="D537" s="185" t="s">
        <v>989</v>
      </c>
      <c r="E537" s="185" t="s">
        <v>2003</v>
      </c>
      <c r="F537" s="185" t="s">
        <v>736</v>
      </c>
      <c r="G537" s="185"/>
      <c r="H537" s="185"/>
      <c r="I537" s="188">
        <v>312</v>
      </c>
      <c r="J537" s="185"/>
      <c r="K537" s="188">
        <v>0</v>
      </c>
      <c r="L537" s="185" t="s">
        <v>1285</v>
      </c>
      <c r="M537" s="185"/>
      <c r="N537" s="185" t="s">
        <v>2190</v>
      </c>
      <c r="O537" s="185" t="s">
        <v>2184</v>
      </c>
      <c r="P537" s="185"/>
      <c r="Q537" s="185"/>
      <c r="R537" s="185"/>
      <c r="S537" s="186">
        <v>43208</v>
      </c>
      <c r="T537" s="186">
        <v>43208</v>
      </c>
      <c r="U537" s="185" t="s">
        <v>1274</v>
      </c>
      <c r="V537" s="185">
        <v>700</v>
      </c>
      <c r="W537" s="185">
        <v>14050</v>
      </c>
      <c r="X537" s="187">
        <v>17734.16</v>
      </c>
      <c r="Y537" s="185">
        <v>14056</v>
      </c>
      <c r="Z537" s="187">
        <v>15200.59</v>
      </c>
      <c r="AA537" s="187">
        <v>0</v>
      </c>
      <c r="AB537" s="187">
        <v>2533.5699999999997</v>
      </c>
      <c r="AC537" s="187">
        <v>844.48</v>
      </c>
      <c r="AD537" s="185">
        <v>54260</v>
      </c>
      <c r="AE537" s="187">
        <v>211.12</v>
      </c>
      <c r="AF537" s="187">
        <v>0</v>
      </c>
      <c r="AG537" s="187">
        <v>211.12</v>
      </c>
      <c r="AH537" s="185" t="s">
        <v>989</v>
      </c>
      <c r="AI537" s="185"/>
      <c r="AJ537" s="185"/>
      <c r="AK537" s="185" t="s">
        <v>45</v>
      </c>
      <c r="AL537" s="185" t="s">
        <v>2267</v>
      </c>
      <c r="AM537" s="185" t="s">
        <v>2269</v>
      </c>
      <c r="AN537" s="196"/>
      <c r="AO537" s="196"/>
      <c r="AP537" s="195"/>
      <c r="AQ537" s="194"/>
      <c r="AR537" s="193"/>
      <c r="AS537" s="192"/>
      <c r="AT537" s="192"/>
      <c r="AU537" s="192"/>
      <c r="AV537" s="192"/>
      <c r="AW537" s="191"/>
      <c r="AX537" s="190" t="s">
        <v>72</v>
      </c>
      <c r="AY537" s="184"/>
    </row>
    <row r="538" spans="2:51">
      <c r="B538" s="185">
        <v>2183</v>
      </c>
      <c r="C538" s="189">
        <v>199445</v>
      </c>
      <c r="D538" s="185" t="s">
        <v>989</v>
      </c>
      <c r="E538" s="185" t="s">
        <v>2003</v>
      </c>
      <c r="F538" s="185" t="s">
        <v>800</v>
      </c>
      <c r="G538" s="185"/>
      <c r="H538" s="185"/>
      <c r="I538" s="188">
        <v>624</v>
      </c>
      <c r="J538" s="185"/>
      <c r="K538" s="188">
        <v>0</v>
      </c>
      <c r="L538" s="185" t="s">
        <v>1285</v>
      </c>
      <c r="M538" s="185"/>
      <c r="N538" s="185" t="s">
        <v>2190</v>
      </c>
      <c r="O538" s="185" t="s">
        <v>2184</v>
      </c>
      <c r="P538" s="185"/>
      <c r="Q538" s="185"/>
      <c r="R538" s="185"/>
      <c r="S538" s="186">
        <v>43208</v>
      </c>
      <c r="T538" s="186">
        <v>43208</v>
      </c>
      <c r="U538" s="185" t="s">
        <v>1274</v>
      </c>
      <c r="V538" s="185">
        <v>700</v>
      </c>
      <c r="W538" s="185">
        <v>14050</v>
      </c>
      <c r="X538" s="187">
        <v>33108.660000000003</v>
      </c>
      <c r="Y538" s="185">
        <v>14056</v>
      </c>
      <c r="Z538" s="187">
        <v>28378.86</v>
      </c>
      <c r="AA538" s="187">
        <v>0</v>
      </c>
      <c r="AB538" s="187">
        <v>4729.8000000000029</v>
      </c>
      <c r="AC538" s="187">
        <v>1576.6</v>
      </c>
      <c r="AD538" s="185">
        <v>54260</v>
      </c>
      <c r="AE538" s="187">
        <v>394.15</v>
      </c>
      <c r="AF538" s="187">
        <v>0</v>
      </c>
      <c r="AG538" s="187">
        <v>394.15</v>
      </c>
      <c r="AH538" s="185" t="s">
        <v>989</v>
      </c>
      <c r="AI538" s="185"/>
      <c r="AJ538" s="185"/>
      <c r="AK538" s="185" t="s">
        <v>45</v>
      </c>
      <c r="AL538" s="185" t="s">
        <v>2267</v>
      </c>
      <c r="AM538" s="185" t="s">
        <v>2269</v>
      </c>
      <c r="AN538" s="196"/>
      <c r="AO538" s="196"/>
      <c r="AP538" s="195"/>
      <c r="AQ538" s="194"/>
      <c r="AR538" s="193"/>
      <c r="AS538" s="192"/>
      <c r="AT538" s="192"/>
      <c r="AU538" s="192"/>
      <c r="AV538" s="192"/>
      <c r="AW538" s="191"/>
      <c r="AX538" s="190" t="s">
        <v>72</v>
      </c>
      <c r="AY538" s="184"/>
    </row>
    <row r="539" spans="2:51">
      <c r="B539" s="185">
        <v>2183</v>
      </c>
      <c r="C539" s="189">
        <v>199444</v>
      </c>
      <c r="D539" s="185" t="s">
        <v>989</v>
      </c>
      <c r="E539" s="185" t="s">
        <v>2003</v>
      </c>
      <c r="F539" s="185" t="s">
        <v>735</v>
      </c>
      <c r="G539" s="185"/>
      <c r="H539" s="185"/>
      <c r="I539" s="188">
        <v>945</v>
      </c>
      <c r="J539" s="185"/>
      <c r="K539" s="188">
        <v>0</v>
      </c>
      <c r="L539" s="185" t="s">
        <v>1285</v>
      </c>
      <c r="M539" s="185"/>
      <c r="N539" s="185" t="s">
        <v>2190</v>
      </c>
      <c r="O539" s="185" t="s">
        <v>2184</v>
      </c>
      <c r="P539" s="185"/>
      <c r="Q539" s="185"/>
      <c r="R539" s="185"/>
      <c r="S539" s="186">
        <v>43208</v>
      </c>
      <c r="T539" s="186">
        <v>43208</v>
      </c>
      <c r="U539" s="185" t="s">
        <v>1274</v>
      </c>
      <c r="V539" s="185">
        <v>700</v>
      </c>
      <c r="W539" s="185">
        <v>14050</v>
      </c>
      <c r="X539" s="187">
        <v>37863.78</v>
      </c>
      <c r="Y539" s="185">
        <v>14056</v>
      </c>
      <c r="Z539" s="187">
        <v>32454.67</v>
      </c>
      <c r="AA539" s="187">
        <v>0</v>
      </c>
      <c r="AB539" s="187">
        <v>5409.1100000000006</v>
      </c>
      <c r="AC539" s="187">
        <v>1803.04</v>
      </c>
      <c r="AD539" s="185">
        <v>54260</v>
      </c>
      <c r="AE539" s="187">
        <v>450.76</v>
      </c>
      <c r="AF539" s="187">
        <v>0</v>
      </c>
      <c r="AG539" s="187">
        <v>450.76</v>
      </c>
      <c r="AH539" s="185" t="s">
        <v>989</v>
      </c>
      <c r="AI539" s="185"/>
      <c r="AJ539" s="185"/>
      <c r="AK539" s="185" t="s">
        <v>45</v>
      </c>
      <c r="AL539" s="185" t="s">
        <v>2267</v>
      </c>
      <c r="AM539" s="185" t="s">
        <v>2269</v>
      </c>
      <c r="AN539" s="196"/>
      <c r="AO539" s="196"/>
      <c r="AP539" s="195"/>
      <c r="AQ539" s="194"/>
      <c r="AR539" s="193"/>
      <c r="AS539" s="192"/>
      <c r="AT539" s="192"/>
      <c r="AU539" s="192"/>
      <c r="AV539" s="192"/>
      <c r="AW539" s="191"/>
      <c r="AX539" s="190" t="s">
        <v>72</v>
      </c>
      <c r="AY539" s="184"/>
    </row>
    <row r="540" spans="2:51" hidden="1">
      <c r="B540" s="185">
        <v>2183</v>
      </c>
      <c r="C540" s="189">
        <v>199421</v>
      </c>
      <c r="D540" s="185">
        <v>199117</v>
      </c>
      <c r="E540" s="185" t="s">
        <v>2003</v>
      </c>
      <c r="F540" s="185" t="s">
        <v>729</v>
      </c>
      <c r="G540" s="185"/>
      <c r="H540" s="185"/>
      <c r="I540" s="188">
        <v>1</v>
      </c>
      <c r="J540" s="185"/>
      <c r="K540" s="188">
        <v>0</v>
      </c>
      <c r="L540" s="185" t="s">
        <v>1288</v>
      </c>
      <c r="M540" s="185"/>
      <c r="N540" s="185" t="s">
        <v>2183</v>
      </c>
      <c r="O540" s="185" t="s">
        <v>2184</v>
      </c>
      <c r="P540" s="185" t="s">
        <v>1028</v>
      </c>
      <c r="Q540" s="185"/>
      <c r="R540" s="185"/>
      <c r="S540" s="186">
        <v>43281</v>
      </c>
      <c r="T540" s="186">
        <v>43281</v>
      </c>
      <c r="U540" s="185" t="s">
        <v>1280</v>
      </c>
      <c r="V540" s="185">
        <v>1000</v>
      </c>
      <c r="W540" s="185">
        <v>14040</v>
      </c>
      <c r="X540" s="187">
        <v>1003.93</v>
      </c>
      <c r="Y540" s="185">
        <v>14046</v>
      </c>
      <c r="Z540" s="187">
        <v>585.63</v>
      </c>
      <c r="AA540" s="187">
        <v>0</v>
      </c>
      <c r="AB540" s="187">
        <v>418.29999999999995</v>
      </c>
      <c r="AC540" s="187">
        <v>33.479999999999997</v>
      </c>
      <c r="AD540" s="185">
        <v>51260</v>
      </c>
      <c r="AE540" s="187">
        <v>8.3699999999999992</v>
      </c>
      <c r="AF540" s="187">
        <v>0</v>
      </c>
      <c r="AG540" s="187">
        <v>8.3699999999999992</v>
      </c>
      <c r="AH540" s="185" t="s">
        <v>989</v>
      </c>
      <c r="AI540" s="185"/>
      <c r="AJ540" s="185"/>
      <c r="AK540" s="185" t="s">
        <v>45</v>
      </c>
      <c r="AL540" s="185" t="s">
        <v>2267</v>
      </c>
      <c r="AM540" s="185" t="s">
        <v>2269</v>
      </c>
      <c r="AN540" s="196"/>
      <c r="AO540" s="196"/>
      <c r="AP540" s="195"/>
      <c r="AQ540" s="194"/>
      <c r="AR540" s="193"/>
      <c r="AS540" s="192"/>
      <c r="AT540" s="192"/>
      <c r="AU540" s="192"/>
      <c r="AV540" s="192"/>
      <c r="AW540" s="191"/>
      <c r="AX540" s="190" t="s">
        <v>72</v>
      </c>
      <c r="AY540" s="184"/>
    </row>
    <row r="541" spans="2:51">
      <c r="B541" s="185">
        <v>2183</v>
      </c>
      <c r="C541" s="189">
        <v>199117</v>
      </c>
      <c r="D541" s="185" t="s">
        <v>989</v>
      </c>
      <c r="E541" s="185" t="s">
        <v>2003</v>
      </c>
      <c r="F541" s="185" t="s">
        <v>1289</v>
      </c>
      <c r="G541" s="185"/>
      <c r="H541" s="185"/>
      <c r="I541" s="188">
        <v>1</v>
      </c>
      <c r="J541" s="185" t="s">
        <v>1290</v>
      </c>
      <c r="K541" s="188">
        <v>2018</v>
      </c>
      <c r="L541" s="185" t="s">
        <v>1097</v>
      </c>
      <c r="M541" s="185" t="s">
        <v>1110</v>
      </c>
      <c r="N541" s="185" t="s">
        <v>2183</v>
      </c>
      <c r="O541" s="185" t="s">
        <v>2184</v>
      </c>
      <c r="P541" s="185" t="s">
        <v>2187</v>
      </c>
      <c r="Q541" s="185"/>
      <c r="R541" s="185"/>
      <c r="S541" s="186">
        <v>43281</v>
      </c>
      <c r="T541" s="186">
        <v>43281</v>
      </c>
      <c r="U541" s="185" t="s">
        <v>1280</v>
      </c>
      <c r="V541" s="185">
        <v>1000</v>
      </c>
      <c r="W541" s="185">
        <v>14040</v>
      </c>
      <c r="X541" s="187">
        <v>339421.75</v>
      </c>
      <c r="Y541" s="185">
        <v>14046</v>
      </c>
      <c r="Z541" s="187">
        <v>197996.03</v>
      </c>
      <c r="AA541" s="187">
        <v>0</v>
      </c>
      <c r="AB541" s="187">
        <v>141425.72</v>
      </c>
      <c r="AC541" s="187">
        <v>11314.04</v>
      </c>
      <c r="AD541" s="185">
        <v>51260</v>
      </c>
      <c r="AE541" s="187">
        <v>2828.51</v>
      </c>
      <c r="AF541" s="187">
        <v>0</v>
      </c>
      <c r="AG541" s="187">
        <v>2828.51</v>
      </c>
      <c r="AH541" s="185" t="s">
        <v>989</v>
      </c>
      <c r="AI541" s="185"/>
      <c r="AJ541" s="185">
        <v>3673</v>
      </c>
      <c r="AK541" s="185" t="s">
        <v>45</v>
      </c>
      <c r="AL541" s="185" t="s">
        <v>2267</v>
      </c>
      <c r="AM541" s="185" t="s">
        <v>2269</v>
      </c>
      <c r="AN541" s="196"/>
      <c r="AO541" s="196"/>
      <c r="AP541" s="195"/>
      <c r="AQ541" s="194"/>
      <c r="AR541" s="193"/>
      <c r="AS541" s="192"/>
      <c r="AT541" s="192"/>
      <c r="AU541" s="192"/>
      <c r="AV541" s="192"/>
      <c r="AW541" s="191"/>
      <c r="AX541" s="190" t="s">
        <v>72</v>
      </c>
      <c r="AY541" s="184"/>
    </row>
    <row r="542" spans="2:51" hidden="1">
      <c r="B542" s="185">
        <v>2183</v>
      </c>
      <c r="C542" s="189">
        <v>197581</v>
      </c>
      <c r="D542" s="185">
        <v>195950</v>
      </c>
      <c r="E542" s="185" t="s">
        <v>2003</v>
      </c>
      <c r="F542" s="185" t="s">
        <v>1291</v>
      </c>
      <c r="G542" s="185"/>
      <c r="H542" s="185"/>
      <c r="I542" s="188">
        <v>1</v>
      </c>
      <c r="J542" s="185"/>
      <c r="K542" s="188">
        <v>0</v>
      </c>
      <c r="L542" s="185" t="s">
        <v>1270</v>
      </c>
      <c r="M542" s="185"/>
      <c r="N542" s="185" t="s">
        <v>2183</v>
      </c>
      <c r="O542" s="185" t="s">
        <v>2184</v>
      </c>
      <c r="P542" s="185" t="s">
        <v>1028</v>
      </c>
      <c r="Q542" s="185"/>
      <c r="R542" s="185"/>
      <c r="S542" s="186">
        <v>43220</v>
      </c>
      <c r="T542" s="186">
        <v>43220</v>
      </c>
      <c r="U542" s="185" t="s">
        <v>1292</v>
      </c>
      <c r="V542" s="185">
        <v>1000</v>
      </c>
      <c r="W542" s="185">
        <v>14040</v>
      </c>
      <c r="X542" s="187">
        <v>336</v>
      </c>
      <c r="Y542" s="185">
        <v>14046</v>
      </c>
      <c r="Z542" s="187">
        <v>201.6</v>
      </c>
      <c r="AA542" s="187">
        <v>0</v>
      </c>
      <c r="AB542" s="187">
        <v>134.4</v>
      </c>
      <c r="AC542" s="187">
        <v>11.2</v>
      </c>
      <c r="AD542" s="185">
        <v>51260</v>
      </c>
      <c r="AE542" s="187">
        <v>2.8</v>
      </c>
      <c r="AF542" s="187">
        <v>0</v>
      </c>
      <c r="AG542" s="187">
        <v>2.8</v>
      </c>
      <c r="AH542" s="185" t="s">
        <v>989</v>
      </c>
      <c r="AI542" s="185"/>
      <c r="AJ542" s="185"/>
      <c r="AK542" s="185" t="s">
        <v>45</v>
      </c>
      <c r="AL542" s="185" t="s">
        <v>2267</v>
      </c>
      <c r="AM542" s="185" t="s">
        <v>2269</v>
      </c>
      <c r="AN542" s="196"/>
      <c r="AO542" s="196"/>
      <c r="AP542" s="195"/>
      <c r="AQ542" s="194"/>
      <c r="AR542" s="193"/>
      <c r="AS542" s="192"/>
      <c r="AT542" s="192"/>
      <c r="AU542" s="192"/>
      <c r="AV542" s="192"/>
      <c r="AW542" s="191"/>
      <c r="AX542" s="190" t="s">
        <v>72</v>
      </c>
      <c r="AY542" s="184"/>
    </row>
    <row r="543" spans="2:51" hidden="1">
      <c r="B543" s="185">
        <v>2183</v>
      </c>
      <c r="C543" s="189">
        <v>197580</v>
      </c>
      <c r="D543" s="185">
        <v>195950</v>
      </c>
      <c r="E543" s="185" t="s">
        <v>2003</v>
      </c>
      <c r="F543" s="185" t="s">
        <v>729</v>
      </c>
      <c r="G543" s="185"/>
      <c r="H543" s="185"/>
      <c r="I543" s="188">
        <v>1</v>
      </c>
      <c r="J543" s="185"/>
      <c r="K543" s="188">
        <v>0</v>
      </c>
      <c r="L543" s="185" t="s">
        <v>1293</v>
      </c>
      <c r="M543" s="185"/>
      <c r="N543" s="185" t="s">
        <v>2183</v>
      </c>
      <c r="O543" s="185" t="s">
        <v>2184</v>
      </c>
      <c r="P543" s="185" t="s">
        <v>1028</v>
      </c>
      <c r="Q543" s="185"/>
      <c r="R543" s="185"/>
      <c r="S543" s="186">
        <v>43220</v>
      </c>
      <c r="T543" s="186">
        <v>43220</v>
      </c>
      <c r="U543" s="185" t="s">
        <v>1292</v>
      </c>
      <c r="V543" s="185">
        <v>1000</v>
      </c>
      <c r="W543" s="185">
        <v>14040</v>
      </c>
      <c r="X543" s="187">
        <v>1003.93</v>
      </c>
      <c r="Y543" s="185">
        <v>14046</v>
      </c>
      <c r="Z543" s="187">
        <v>602.36</v>
      </c>
      <c r="AA543" s="187">
        <v>0</v>
      </c>
      <c r="AB543" s="187">
        <v>401.56999999999994</v>
      </c>
      <c r="AC543" s="187">
        <v>33.479999999999997</v>
      </c>
      <c r="AD543" s="185">
        <v>51260</v>
      </c>
      <c r="AE543" s="187">
        <v>8.3699999999999992</v>
      </c>
      <c r="AF543" s="187">
        <v>0</v>
      </c>
      <c r="AG543" s="187">
        <v>8.3699999999999992</v>
      </c>
      <c r="AH543" s="185" t="s">
        <v>989</v>
      </c>
      <c r="AI543" s="185"/>
      <c r="AJ543" s="185"/>
      <c r="AK543" s="185" t="s">
        <v>45</v>
      </c>
      <c r="AL543" s="185" t="s">
        <v>2267</v>
      </c>
      <c r="AM543" s="185" t="s">
        <v>2269</v>
      </c>
      <c r="AN543" s="196"/>
      <c r="AO543" s="196"/>
      <c r="AP543" s="195"/>
      <c r="AQ543" s="194"/>
      <c r="AR543" s="193"/>
      <c r="AS543" s="192"/>
      <c r="AT543" s="192"/>
      <c r="AU543" s="192"/>
      <c r="AV543" s="192"/>
      <c r="AW543" s="191"/>
      <c r="AX543" s="190" t="s">
        <v>72</v>
      </c>
      <c r="AY543" s="184"/>
    </row>
    <row r="544" spans="2:51" hidden="1">
      <c r="B544" s="185">
        <v>2183</v>
      </c>
      <c r="C544" s="189">
        <v>197493</v>
      </c>
      <c r="D544" s="185">
        <v>195950</v>
      </c>
      <c r="E544" s="185" t="s">
        <v>2003</v>
      </c>
      <c r="F544" s="185" t="s">
        <v>1294</v>
      </c>
      <c r="G544" s="185"/>
      <c r="H544" s="185"/>
      <c r="I544" s="188">
        <v>1</v>
      </c>
      <c r="J544" s="185"/>
      <c r="K544" s="188">
        <v>0</v>
      </c>
      <c r="L544" s="185" t="s">
        <v>1112</v>
      </c>
      <c r="M544" s="185"/>
      <c r="N544" s="185" t="s">
        <v>2183</v>
      </c>
      <c r="O544" s="185" t="s">
        <v>2184</v>
      </c>
      <c r="P544" s="185" t="s">
        <v>1028</v>
      </c>
      <c r="Q544" s="185"/>
      <c r="R544" s="185"/>
      <c r="S544" s="186">
        <v>43220</v>
      </c>
      <c r="T544" s="186">
        <v>43220</v>
      </c>
      <c r="U544" s="185" t="s">
        <v>1292</v>
      </c>
      <c r="V544" s="185">
        <v>1000</v>
      </c>
      <c r="W544" s="185">
        <v>14040</v>
      </c>
      <c r="X544" s="187">
        <v>677.33</v>
      </c>
      <c r="Y544" s="185">
        <v>14046</v>
      </c>
      <c r="Z544" s="187">
        <v>406.37</v>
      </c>
      <c r="AA544" s="187">
        <v>0</v>
      </c>
      <c r="AB544" s="187">
        <v>270.96000000000004</v>
      </c>
      <c r="AC544" s="187">
        <v>22.56</v>
      </c>
      <c r="AD544" s="185">
        <v>51260</v>
      </c>
      <c r="AE544" s="187">
        <v>5.64</v>
      </c>
      <c r="AF544" s="187">
        <v>0</v>
      </c>
      <c r="AG544" s="187">
        <v>5.64</v>
      </c>
      <c r="AH544" s="185" t="s">
        <v>989</v>
      </c>
      <c r="AI544" s="185"/>
      <c r="AJ544" s="185"/>
      <c r="AK544" s="185" t="s">
        <v>45</v>
      </c>
      <c r="AL544" s="185" t="s">
        <v>2267</v>
      </c>
      <c r="AM544" s="185" t="s">
        <v>2269</v>
      </c>
      <c r="AN544" s="196"/>
      <c r="AO544" s="196"/>
      <c r="AP544" s="195"/>
      <c r="AQ544" s="194"/>
      <c r="AR544" s="193"/>
      <c r="AS544" s="192"/>
      <c r="AT544" s="192"/>
      <c r="AU544" s="192"/>
      <c r="AV544" s="192"/>
      <c r="AW544" s="191"/>
      <c r="AX544" s="190" t="s">
        <v>72</v>
      </c>
      <c r="AY544" s="184"/>
    </row>
    <row r="545" spans="2:51" hidden="1">
      <c r="B545" s="185">
        <v>2183</v>
      </c>
      <c r="C545" s="189">
        <v>197437</v>
      </c>
      <c r="D545" s="185">
        <v>195950</v>
      </c>
      <c r="E545" s="185" t="s">
        <v>2003</v>
      </c>
      <c r="F545" s="185" t="s">
        <v>1255</v>
      </c>
      <c r="G545" s="185"/>
      <c r="H545" s="185"/>
      <c r="I545" s="188">
        <v>1</v>
      </c>
      <c r="J545" s="185"/>
      <c r="K545" s="188">
        <v>0</v>
      </c>
      <c r="L545" s="185" t="s">
        <v>1295</v>
      </c>
      <c r="M545" s="185"/>
      <c r="N545" s="185" t="s">
        <v>2183</v>
      </c>
      <c r="O545" s="185" t="s">
        <v>2184</v>
      </c>
      <c r="P545" s="185" t="s">
        <v>1028</v>
      </c>
      <c r="Q545" s="185"/>
      <c r="R545" s="185"/>
      <c r="S545" s="186">
        <v>43220</v>
      </c>
      <c r="T545" s="186">
        <v>43220</v>
      </c>
      <c r="U545" s="185" t="s">
        <v>1292</v>
      </c>
      <c r="V545" s="185">
        <v>500</v>
      </c>
      <c r="W545" s="185">
        <v>14040</v>
      </c>
      <c r="X545" s="187">
        <v>518.38</v>
      </c>
      <c r="Y545" s="185">
        <v>14046</v>
      </c>
      <c r="Z545" s="187">
        <v>518.38</v>
      </c>
      <c r="AA545" s="187">
        <v>0</v>
      </c>
      <c r="AB545" s="187">
        <v>0</v>
      </c>
      <c r="AC545" s="187">
        <v>0</v>
      </c>
      <c r="AD545" s="185">
        <v>51260</v>
      </c>
      <c r="AE545" s="187">
        <v>0</v>
      </c>
      <c r="AF545" s="187">
        <v>0</v>
      </c>
      <c r="AG545" s="187">
        <v>0</v>
      </c>
      <c r="AH545" s="185" t="s">
        <v>989</v>
      </c>
      <c r="AI545" s="185"/>
      <c r="AJ545" s="185"/>
      <c r="AK545" s="185" t="s">
        <v>45</v>
      </c>
      <c r="AL545" s="185" t="s">
        <v>2267</v>
      </c>
      <c r="AM545" s="185" t="s">
        <v>2269</v>
      </c>
      <c r="AN545" s="196"/>
      <c r="AO545" s="196"/>
      <c r="AP545" s="195"/>
      <c r="AQ545" s="194"/>
      <c r="AR545" s="193"/>
      <c r="AS545" s="192"/>
      <c r="AT545" s="192"/>
      <c r="AU545" s="192"/>
      <c r="AV545" s="192"/>
      <c r="AW545" s="191"/>
      <c r="AX545" s="190" t="s">
        <v>72</v>
      </c>
      <c r="AY545" s="184"/>
    </row>
    <row r="546" spans="2:51" hidden="1">
      <c r="B546" s="185">
        <v>2183</v>
      </c>
      <c r="C546" s="189">
        <v>196996</v>
      </c>
      <c r="D546" s="185">
        <v>195950</v>
      </c>
      <c r="E546" s="185" t="s">
        <v>2003</v>
      </c>
      <c r="F546" s="185" t="s">
        <v>888</v>
      </c>
      <c r="G546" s="185"/>
      <c r="H546" s="185"/>
      <c r="I546" s="188">
        <v>1</v>
      </c>
      <c r="J546" s="185"/>
      <c r="K546" s="188">
        <v>0</v>
      </c>
      <c r="L546" s="185"/>
      <c r="M546" s="185"/>
      <c r="N546" s="185" t="s">
        <v>2183</v>
      </c>
      <c r="O546" s="185" t="s">
        <v>2184</v>
      </c>
      <c r="P546" s="185" t="s">
        <v>1028</v>
      </c>
      <c r="Q546" s="185"/>
      <c r="R546" s="185"/>
      <c r="S546" s="186">
        <v>43220</v>
      </c>
      <c r="T546" s="186">
        <v>43220</v>
      </c>
      <c r="U546" s="185" t="s">
        <v>1292</v>
      </c>
      <c r="V546" s="185">
        <v>500</v>
      </c>
      <c r="W546" s="185">
        <v>14040</v>
      </c>
      <c r="X546" s="187">
        <v>722.88</v>
      </c>
      <c r="Y546" s="185">
        <v>14046</v>
      </c>
      <c r="Z546" s="187">
        <v>722.88</v>
      </c>
      <c r="AA546" s="187">
        <v>0</v>
      </c>
      <c r="AB546" s="187">
        <v>0</v>
      </c>
      <c r="AC546" s="187">
        <v>0</v>
      </c>
      <c r="AD546" s="185">
        <v>51260</v>
      </c>
      <c r="AE546" s="187">
        <v>0</v>
      </c>
      <c r="AF546" s="187">
        <v>0</v>
      </c>
      <c r="AG546" s="187">
        <v>0</v>
      </c>
      <c r="AH546" s="185" t="s">
        <v>989</v>
      </c>
      <c r="AI546" s="185"/>
      <c r="AJ546" s="185"/>
      <c r="AK546" s="185" t="s">
        <v>45</v>
      </c>
      <c r="AL546" s="185" t="s">
        <v>2267</v>
      </c>
      <c r="AM546" s="185" t="s">
        <v>2269</v>
      </c>
      <c r="AN546" s="196"/>
      <c r="AO546" s="196"/>
      <c r="AP546" s="195"/>
      <c r="AQ546" s="194"/>
      <c r="AR546" s="193"/>
      <c r="AS546" s="192"/>
      <c r="AT546" s="192"/>
      <c r="AU546" s="192"/>
      <c r="AV546" s="192"/>
      <c r="AW546" s="191"/>
      <c r="AX546" s="190" t="s">
        <v>72</v>
      </c>
      <c r="AY546" s="184"/>
    </row>
    <row r="547" spans="2:51" hidden="1">
      <c r="B547" s="185">
        <v>2183</v>
      </c>
      <c r="C547" s="189">
        <v>196852</v>
      </c>
      <c r="D547" s="185">
        <v>194074</v>
      </c>
      <c r="E547" s="185" t="s">
        <v>2003</v>
      </c>
      <c r="F547" s="185" t="s">
        <v>729</v>
      </c>
      <c r="G547" s="185"/>
      <c r="H547" s="185"/>
      <c r="I547" s="188">
        <v>1</v>
      </c>
      <c r="J547" s="185"/>
      <c r="K547" s="188">
        <v>0</v>
      </c>
      <c r="L547" s="185"/>
      <c r="M547" s="185" t="s">
        <v>1296</v>
      </c>
      <c r="N547" s="185" t="s">
        <v>2183</v>
      </c>
      <c r="O547" s="185" t="s">
        <v>2184</v>
      </c>
      <c r="P547" s="185" t="s">
        <v>1028</v>
      </c>
      <c r="Q547" s="185"/>
      <c r="R547" s="185"/>
      <c r="S547" s="186">
        <v>43190</v>
      </c>
      <c r="T547" s="186">
        <v>43190</v>
      </c>
      <c r="U547" s="185" t="s">
        <v>1297</v>
      </c>
      <c r="V547" s="185">
        <v>1000</v>
      </c>
      <c r="W547" s="185">
        <v>14040</v>
      </c>
      <c r="X547" s="187">
        <v>794.16</v>
      </c>
      <c r="Y547" s="185">
        <v>14046</v>
      </c>
      <c r="Z547" s="187">
        <v>483.14</v>
      </c>
      <c r="AA547" s="187">
        <v>0</v>
      </c>
      <c r="AB547" s="187">
        <v>311.02</v>
      </c>
      <c r="AC547" s="187">
        <v>26.48</v>
      </c>
      <c r="AD547" s="185">
        <v>51260</v>
      </c>
      <c r="AE547" s="187">
        <v>6.62</v>
      </c>
      <c r="AF547" s="187">
        <v>0</v>
      </c>
      <c r="AG547" s="187">
        <v>6.62</v>
      </c>
      <c r="AH547" s="185" t="s">
        <v>989</v>
      </c>
      <c r="AI547" s="185"/>
      <c r="AJ547" s="185"/>
      <c r="AK547" s="185" t="s">
        <v>45</v>
      </c>
      <c r="AL547" s="185" t="s">
        <v>2267</v>
      </c>
      <c r="AM547" s="185" t="s">
        <v>2269</v>
      </c>
      <c r="AN547" s="196"/>
      <c r="AO547" s="196"/>
      <c r="AP547" s="195"/>
      <c r="AQ547" s="194"/>
      <c r="AR547" s="193"/>
      <c r="AS547" s="192"/>
      <c r="AT547" s="192"/>
      <c r="AU547" s="192"/>
      <c r="AV547" s="192"/>
      <c r="AW547" s="191"/>
      <c r="AX547" s="190" t="s">
        <v>72</v>
      </c>
      <c r="AY547" s="184"/>
    </row>
    <row r="548" spans="2:51">
      <c r="B548" s="185">
        <v>2183</v>
      </c>
      <c r="C548" s="189">
        <v>196551</v>
      </c>
      <c r="D548" s="185" t="s">
        <v>989</v>
      </c>
      <c r="E548" s="185" t="s">
        <v>2003</v>
      </c>
      <c r="F548" s="185" t="s">
        <v>1298</v>
      </c>
      <c r="G548" s="185"/>
      <c r="H548" s="185"/>
      <c r="I548" s="188">
        <v>624</v>
      </c>
      <c r="J548" s="185"/>
      <c r="K548" s="188">
        <v>0</v>
      </c>
      <c r="L548" s="185" t="s">
        <v>1299</v>
      </c>
      <c r="M548" s="185"/>
      <c r="N548" s="185" t="s">
        <v>2190</v>
      </c>
      <c r="O548" s="185" t="s">
        <v>2184</v>
      </c>
      <c r="P548" s="185"/>
      <c r="Q548" s="185"/>
      <c r="R548" s="185"/>
      <c r="S548" s="186">
        <v>43187</v>
      </c>
      <c r="T548" s="186">
        <v>43187</v>
      </c>
      <c r="U548" s="185" t="s">
        <v>1287</v>
      </c>
      <c r="V548" s="185">
        <v>700</v>
      </c>
      <c r="W548" s="185">
        <v>14050</v>
      </c>
      <c r="X548" s="187">
        <v>32857.040000000001</v>
      </c>
      <c r="Y548" s="185">
        <v>14056</v>
      </c>
      <c r="Z548" s="187">
        <v>28554.34</v>
      </c>
      <c r="AA548" s="187">
        <v>0</v>
      </c>
      <c r="AB548" s="187">
        <v>4302.7000000000007</v>
      </c>
      <c r="AC548" s="187">
        <v>1564.64</v>
      </c>
      <c r="AD548" s="185">
        <v>54260</v>
      </c>
      <c r="AE548" s="187">
        <v>391.16</v>
      </c>
      <c r="AF548" s="187">
        <v>0</v>
      </c>
      <c r="AG548" s="187">
        <v>391.16</v>
      </c>
      <c r="AH548" s="185" t="s">
        <v>989</v>
      </c>
      <c r="AI548" s="185"/>
      <c r="AJ548" s="185"/>
      <c r="AK548" s="185" t="s">
        <v>45</v>
      </c>
      <c r="AL548" s="185" t="s">
        <v>2267</v>
      </c>
      <c r="AM548" s="185" t="s">
        <v>2269</v>
      </c>
      <c r="AN548" s="196"/>
      <c r="AO548" s="196"/>
      <c r="AP548" s="195"/>
      <c r="AQ548" s="194"/>
      <c r="AR548" s="193"/>
      <c r="AS548" s="192"/>
      <c r="AT548" s="192"/>
      <c r="AU548" s="192"/>
      <c r="AV548" s="192"/>
      <c r="AW548" s="191"/>
      <c r="AX548" s="190" t="s">
        <v>72</v>
      </c>
      <c r="AY548" s="184"/>
    </row>
    <row r="549" spans="2:51">
      <c r="B549" s="185">
        <v>2183</v>
      </c>
      <c r="C549" s="189">
        <v>195950</v>
      </c>
      <c r="D549" s="185" t="s">
        <v>989</v>
      </c>
      <c r="E549" s="185" t="s">
        <v>2003</v>
      </c>
      <c r="F549" s="185" t="s">
        <v>1289</v>
      </c>
      <c r="G549" s="185"/>
      <c r="H549" s="185"/>
      <c r="I549" s="188">
        <v>1</v>
      </c>
      <c r="J549" s="185" t="s">
        <v>1300</v>
      </c>
      <c r="K549" s="188">
        <v>2018</v>
      </c>
      <c r="L549" s="185" t="s">
        <v>1097</v>
      </c>
      <c r="M549" s="185" t="s">
        <v>1110</v>
      </c>
      <c r="N549" s="185" t="s">
        <v>2183</v>
      </c>
      <c r="O549" s="185" t="s">
        <v>2184</v>
      </c>
      <c r="P549" s="185" t="s">
        <v>2187</v>
      </c>
      <c r="Q549" s="185"/>
      <c r="R549" s="185"/>
      <c r="S549" s="186">
        <v>43220</v>
      </c>
      <c r="T549" s="186">
        <v>43220</v>
      </c>
      <c r="U549" s="185" t="s">
        <v>1292</v>
      </c>
      <c r="V549" s="185">
        <v>1000</v>
      </c>
      <c r="W549" s="185">
        <v>14040</v>
      </c>
      <c r="X549" s="187">
        <v>339677.75</v>
      </c>
      <c r="Y549" s="185">
        <v>14046</v>
      </c>
      <c r="Z549" s="187">
        <v>203806.68</v>
      </c>
      <c r="AA549" s="187">
        <v>0</v>
      </c>
      <c r="AB549" s="187">
        <v>135871.07</v>
      </c>
      <c r="AC549" s="187">
        <v>11322.6</v>
      </c>
      <c r="AD549" s="185">
        <v>51260</v>
      </c>
      <c r="AE549" s="187">
        <v>2830.65</v>
      </c>
      <c r="AF549" s="187">
        <v>0</v>
      </c>
      <c r="AG549" s="187">
        <v>2830.65</v>
      </c>
      <c r="AH549" s="185" t="s">
        <v>989</v>
      </c>
      <c r="AI549" s="185"/>
      <c r="AJ549" s="185">
        <v>3671</v>
      </c>
      <c r="AK549" s="185" t="s">
        <v>45</v>
      </c>
      <c r="AL549" s="185" t="s">
        <v>2267</v>
      </c>
      <c r="AM549" s="185" t="s">
        <v>2269</v>
      </c>
      <c r="AN549" s="196"/>
      <c r="AO549" s="196"/>
      <c r="AP549" s="195"/>
      <c r="AQ549" s="194"/>
      <c r="AR549" s="193"/>
      <c r="AS549" s="192"/>
      <c r="AT549" s="192"/>
      <c r="AU549" s="192"/>
      <c r="AV549" s="192"/>
      <c r="AW549" s="191"/>
      <c r="AX549" s="190" t="s">
        <v>72</v>
      </c>
      <c r="AY549" s="184"/>
    </row>
    <row r="550" spans="2:51" hidden="1">
      <c r="B550" s="185">
        <v>2183</v>
      </c>
      <c r="C550" s="189">
        <v>194075</v>
      </c>
      <c r="D550" s="185">
        <v>194074</v>
      </c>
      <c r="E550" s="185" t="s">
        <v>2003</v>
      </c>
      <c r="F550" s="185" t="s">
        <v>1301</v>
      </c>
      <c r="G550" s="185"/>
      <c r="H550" s="185"/>
      <c r="I550" s="188">
        <v>1</v>
      </c>
      <c r="J550" s="185"/>
      <c r="K550" s="188">
        <v>0</v>
      </c>
      <c r="L550" s="185"/>
      <c r="M550" s="185" t="s">
        <v>1302</v>
      </c>
      <c r="N550" s="185" t="s">
        <v>2183</v>
      </c>
      <c r="O550" s="185" t="s">
        <v>2184</v>
      </c>
      <c r="P550" s="185" t="s">
        <v>1028</v>
      </c>
      <c r="Q550" s="185"/>
      <c r="R550" s="185"/>
      <c r="S550" s="186">
        <v>43190</v>
      </c>
      <c r="T550" s="186">
        <v>43190</v>
      </c>
      <c r="U550" s="185" t="s">
        <v>1297</v>
      </c>
      <c r="V550" s="185">
        <v>1000</v>
      </c>
      <c r="W550" s="185">
        <v>14040</v>
      </c>
      <c r="X550" s="187">
        <v>84963.78</v>
      </c>
      <c r="Y550" s="185">
        <v>14046</v>
      </c>
      <c r="Z550" s="187">
        <v>51686.3</v>
      </c>
      <c r="AA550" s="187">
        <v>0</v>
      </c>
      <c r="AB550" s="187">
        <v>33277.479999999996</v>
      </c>
      <c r="AC550" s="187">
        <v>2832.12</v>
      </c>
      <c r="AD550" s="185">
        <v>51260</v>
      </c>
      <c r="AE550" s="187">
        <v>708.03</v>
      </c>
      <c r="AF550" s="187">
        <v>0</v>
      </c>
      <c r="AG550" s="187">
        <v>708.03</v>
      </c>
      <c r="AH550" s="185" t="s">
        <v>989</v>
      </c>
      <c r="AI550" s="185"/>
      <c r="AJ550" s="185"/>
      <c r="AK550" s="185" t="s">
        <v>45</v>
      </c>
      <c r="AL550" s="185" t="s">
        <v>2267</v>
      </c>
      <c r="AM550" s="185" t="s">
        <v>2269</v>
      </c>
      <c r="AN550" s="196"/>
      <c r="AO550" s="196"/>
      <c r="AP550" s="195"/>
      <c r="AQ550" s="194"/>
      <c r="AR550" s="193"/>
      <c r="AS550" s="192"/>
      <c r="AT550" s="192"/>
      <c r="AU550" s="192"/>
      <c r="AV550" s="192"/>
      <c r="AW550" s="191"/>
      <c r="AX550" s="190" t="s">
        <v>72</v>
      </c>
      <c r="AY550" s="184"/>
    </row>
    <row r="551" spans="2:51">
      <c r="B551" s="185">
        <v>2183</v>
      </c>
      <c r="C551" s="189">
        <v>194074</v>
      </c>
      <c r="D551" s="185" t="s">
        <v>989</v>
      </c>
      <c r="E551" s="185" t="s">
        <v>2003</v>
      </c>
      <c r="F551" s="185" t="s">
        <v>1303</v>
      </c>
      <c r="G551" s="185"/>
      <c r="H551" s="185"/>
      <c r="I551" s="188">
        <v>1</v>
      </c>
      <c r="J551" s="185" t="s">
        <v>1304</v>
      </c>
      <c r="K551" s="188">
        <v>2018</v>
      </c>
      <c r="L551" s="185" t="s">
        <v>1097</v>
      </c>
      <c r="M551" s="185" t="s">
        <v>1305</v>
      </c>
      <c r="N551" s="185" t="s">
        <v>2183</v>
      </c>
      <c r="O551" s="185" t="s">
        <v>2184</v>
      </c>
      <c r="P551" s="185" t="s">
        <v>2186</v>
      </c>
      <c r="Q551" s="185"/>
      <c r="R551" s="185"/>
      <c r="S551" s="186">
        <v>43190</v>
      </c>
      <c r="T551" s="186">
        <v>43190</v>
      </c>
      <c r="U551" s="185" t="s">
        <v>1306</v>
      </c>
      <c r="V551" s="185">
        <v>1000</v>
      </c>
      <c r="W551" s="185">
        <v>14040</v>
      </c>
      <c r="X551" s="187">
        <v>99882.2</v>
      </c>
      <c r="Y551" s="185">
        <v>14046</v>
      </c>
      <c r="Z551" s="187">
        <v>60761.61</v>
      </c>
      <c r="AA551" s="187">
        <v>0</v>
      </c>
      <c r="AB551" s="187">
        <v>39120.589999999997</v>
      </c>
      <c r="AC551" s="187">
        <v>3329.4</v>
      </c>
      <c r="AD551" s="185">
        <v>51260</v>
      </c>
      <c r="AE551" s="187">
        <v>832.35</v>
      </c>
      <c r="AF551" s="187">
        <v>0</v>
      </c>
      <c r="AG551" s="187">
        <v>832.35</v>
      </c>
      <c r="AH551" s="185" t="s">
        <v>989</v>
      </c>
      <c r="AI551" s="185"/>
      <c r="AJ551" s="185">
        <v>1083</v>
      </c>
      <c r="AK551" s="185" t="s">
        <v>45</v>
      </c>
      <c r="AL551" s="185" t="s">
        <v>2267</v>
      </c>
      <c r="AM551" s="185" t="s">
        <v>2269</v>
      </c>
      <c r="AN551" s="196"/>
      <c r="AO551" s="196"/>
      <c r="AP551" s="195"/>
      <c r="AQ551" s="194"/>
      <c r="AR551" s="193"/>
      <c r="AS551" s="192"/>
      <c r="AT551" s="192"/>
      <c r="AU551" s="192"/>
      <c r="AV551" s="192"/>
      <c r="AW551" s="191"/>
      <c r="AX551" s="190" t="s">
        <v>72</v>
      </c>
      <c r="AY551" s="184"/>
    </row>
    <row r="552" spans="2:51">
      <c r="B552" s="185">
        <v>2183</v>
      </c>
      <c r="C552" s="189">
        <v>193628</v>
      </c>
      <c r="D552" s="185" t="s">
        <v>989</v>
      </c>
      <c r="E552" s="185" t="s">
        <v>2003</v>
      </c>
      <c r="F552" s="185" t="s">
        <v>792</v>
      </c>
      <c r="G552" s="185"/>
      <c r="H552" s="185"/>
      <c r="I552" s="188">
        <v>1</v>
      </c>
      <c r="J552" s="185" t="s">
        <v>1307</v>
      </c>
      <c r="K552" s="188">
        <v>1999</v>
      </c>
      <c r="L552" s="185" t="s">
        <v>1308</v>
      </c>
      <c r="M552" s="185" t="s">
        <v>1186</v>
      </c>
      <c r="N552" s="185" t="s">
        <v>2183</v>
      </c>
      <c r="O552" s="185" t="s">
        <v>2184</v>
      </c>
      <c r="P552" s="185" t="s">
        <v>1309</v>
      </c>
      <c r="Q552" s="185"/>
      <c r="R552" s="185"/>
      <c r="S552" s="186">
        <v>39755</v>
      </c>
      <c r="T552" s="186">
        <v>39755</v>
      </c>
      <c r="U552" s="185"/>
      <c r="V552" s="185">
        <v>300</v>
      </c>
      <c r="W552" s="185">
        <v>14040</v>
      </c>
      <c r="X552" s="187">
        <v>5500</v>
      </c>
      <c r="Y552" s="185">
        <v>14046</v>
      </c>
      <c r="Z552" s="187">
        <v>5500</v>
      </c>
      <c r="AA552" s="187">
        <v>0</v>
      </c>
      <c r="AB552" s="187">
        <v>0</v>
      </c>
      <c r="AC552" s="187">
        <v>0</v>
      </c>
      <c r="AD552" s="185">
        <v>51260</v>
      </c>
      <c r="AE552" s="187">
        <v>0</v>
      </c>
      <c r="AF552" s="187">
        <v>0</v>
      </c>
      <c r="AG552" s="187">
        <v>0</v>
      </c>
      <c r="AH552" s="185" t="s">
        <v>994</v>
      </c>
      <c r="AI552" s="185" t="s">
        <v>1050</v>
      </c>
      <c r="AJ552" s="185">
        <v>9576</v>
      </c>
      <c r="AK552" s="185" t="s">
        <v>45</v>
      </c>
      <c r="AL552" s="185" t="s">
        <v>2267</v>
      </c>
      <c r="AM552" s="185" t="s">
        <v>2269</v>
      </c>
      <c r="AN552" s="196"/>
      <c r="AO552" s="196"/>
      <c r="AP552" s="195"/>
      <c r="AQ552" s="194"/>
      <c r="AR552" s="193"/>
      <c r="AS552" s="192"/>
      <c r="AT552" s="192"/>
      <c r="AU552" s="192"/>
      <c r="AV552" s="192"/>
      <c r="AW552" s="191"/>
      <c r="AX552" s="190" t="s">
        <v>72</v>
      </c>
      <c r="AY552" s="184"/>
    </row>
    <row r="553" spans="2:51">
      <c r="B553" s="185">
        <v>2183</v>
      </c>
      <c r="C553" s="189">
        <v>191901</v>
      </c>
      <c r="D553" s="185" t="s">
        <v>989</v>
      </c>
      <c r="E553" s="185" t="s">
        <v>2003</v>
      </c>
      <c r="F553" s="185" t="s">
        <v>646</v>
      </c>
      <c r="G553" s="185"/>
      <c r="H553" s="185"/>
      <c r="I553" s="188">
        <v>1</v>
      </c>
      <c r="J553" s="185"/>
      <c r="K553" s="188">
        <v>0</v>
      </c>
      <c r="L553" s="185" t="s">
        <v>1145</v>
      </c>
      <c r="M553" s="185"/>
      <c r="N553" s="185" t="s">
        <v>2199</v>
      </c>
      <c r="O553" s="185" t="s">
        <v>2184</v>
      </c>
      <c r="P553" s="185"/>
      <c r="Q553" s="185"/>
      <c r="R553" s="185"/>
      <c r="S553" s="186">
        <v>43109</v>
      </c>
      <c r="T553" s="186">
        <v>43109</v>
      </c>
      <c r="U553" s="185" t="s">
        <v>1310</v>
      </c>
      <c r="V553" s="185">
        <v>300</v>
      </c>
      <c r="W553" s="185">
        <v>14110</v>
      </c>
      <c r="X553" s="187">
        <v>1306.96</v>
      </c>
      <c r="Y553" s="185">
        <v>14116</v>
      </c>
      <c r="Z553" s="187">
        <v>1306.96</v>
      </c>
      <c r="AA553" s="187">
        <v>0</v>
      </c>
      <c r="AB553" s="187">
        <v>0</v>
      </c>
      <c r="AC553" s="187">
        <v>0</v>
      </c>
      <c r="AD553" s="185">
        <v>70260</v>
      </c>
      <c r="AE553" s="187">
        <v>0</v>
      </c>
      <c r="AF553" s="187">
        <v>0</v>
      </c>
      <c r="AG553" s="187">
        <v>0</v>
      </c>
      <c r="AH553" s="185" t="s">
        <v>989</v>
      </c>
      <c r="AI553" s="185"/>
      <c r="AJ553" s="185"/>
      <c r="AK553" s="185" t="s">
        <v>45</v>
      </c>
      <c r="AL553" s="185" t="s">
        <v>2267</v>
      </c>
      <c r="AM553" s="185" t="s">
        <v>2269</v>
      </c>
      <c r="AN553" s="196"/>
      <c r="AO553" s="196"/>
      <c r="AP553" s="195"/>
      <c r="AQ553" s="194"/>
      <c r="AR553" s="193"/>
      <c r="AS553" s="192"/>
      <c r="AT553" s="192"/>
      <c r="AU553" s="192"/>
      <c r="AV553" s="192"/>
      <c r="AW553" s="191"/>
      <c r="AX553" s="190" t="s">
        <v>72</v>
      </c>
      <c r="AY553" s="184"/>
    </row>
    <row r="554" spans="2:51" hidden="1">
      <c r="B554" s="185">
        <v>2183</v>
      </c>
      <c r="C554" s="189">
        <v>191852</v>
      </c>
      <c r="D554" s="185">
        <v>191688</v>
      </c>
      <c r="E554" s="185" t="s">
        <v>2003</v>
      </c>
      <c r="F554" s="185" t="s">
        <v>1311</v>
      </c>
      <c r="G554" s="185"/>
      <c r="H554" s="185"/>
      <c r="I554" s="188">
        <v>1</v>
      </c>
      <c r="J554" s="185"/>
      <c r="K554" s="188">
        <v>0</v>
      </c>
      <c r="L554" s="185" t="s">
        <v>1110</v>
      </c>
      <c r="M554" s="185"/>
      <c r="N554" s="185" t="s">
        <v>2183</v>
      </c>
      <c r="O554" s="185" t="s">
        <v>2184</v>
      </c>
      <c r="P554" s="185" t="s">
        <v>1028</v>
      </c>
      <c r="Q554" s="185"/>
      <c r="R554" s="185"/>
      <c r="S554" s="186">
        <v>43101</v>
      </c>
      <c r="T554" s="186">
        <v>43101</v>
      </c>
      <c r="U554" s="185" t="s">
        <v>1312</v>
      </c>
      <c r="V554" s="185">
        <v>1000</v>
      </c>
      <c r="W554" s="185">
        <v>14040</v>
      </c>
      <c r="X554" s="187">
        <v>1003.93</v>
      </c>
      <c r="Y554" s="185">
        <v>14046</v>
      </c>
      <c r="Z554" s="187">
        <v>635.82000000000005</v>
      </c>
      <c r="AA554" s="187">
        <v>0</v>
      </c>
      <c r="AB554" s="187">
        <v>368.1099999999999</v>
      </c>
      <c r="AC554" s="187">
        <v>33.479999999999997</v>
      </c>
      <c r="AD554" s="185">
        <v>51260</v>
      </c>
      <c r="AE554" s="187">
        <v>8.3699999999999992</v>
      </c>
      <c r="AF554" s="187">
        <v>0</v>
      </c>
      <c r="AG554" s="187">
        <v>8.3699999999999992</v>
      </c>
      <c r="AH554" s="185" t="s">
        <v>989</v>
      </c>
      <c r="AI554" s="185"/>
      <c r="AJ554" s="185"/>
      <c r="AK554" s="185" t="s">
        <v>45</v>
      </c>
      <c r="AL554" s="185" t="s">
        <v>2267</v>
      </c>
      <c r="AM554" s="185" t="s">
        <v>2269</v>
      </c>
      <c r="AN554" s="196"/>
      <c r="AO554" s="196"/>
      <c r="AP554" s="195"/>
      <c r="AQ554" s="194"/>
      <c r="AR554" s="193"/>
      <c r="AS554" s="192"/>
      <c r="AT554" s="192"/>
      <c r="AU554" s="192"/>
      <c r="AV554" s="192"/>
      <c r="AW554" s="191"/>
      <c r="AX554" s="190" t="s">
        <v>72</v>
      </c>
      <c r="AY554" s="184"/>
    </row>
    <row r="555" spans="2:51">
      <c r="B555" s="185">
        <v>2183</v>
      </c>
      <c r="C555" s="189">
        <v>191688</v>
      </c>
      <c r="D555" s="185" t="s">
        <v>989</v>
      </c>
      <c r="E555" s="185" t="s">
        <v>2003</v>
      </c>
      <c r="F555" s="185" t="s">
        <v>1289</v>
      </c>
      <c r="G555" s="185"/>
      <c r="H555" s="185"/>
      <c r="I555" s="188">
        <v>1</v>
      </c>
      <c r="J555" s="185" t="s">
        <v>1313</v>
      </c>
      <c r="K555" s="188">
        <v>2018</v>
      </c>
      <c r="L555" s="185" t="s">
        <v>1097</v>
      </c>
      <c r="M555" s="185" t="s">
        <v>1110</v>
      </c>
      <c r="N555" s="185" t="s">
        <v>2183</v>
      </c>
      <c r="O555" s="185" t="s">
        <v>2184</v>
      </c>
      <c r="P555" s="185" t="s">
        <v>2187</v>
      </c>
      <c r="Q555" s="185"/>
      <c r="R555" s="185"/>
      <c r="S555" s="186">
        <v>43101</v>
      </c>
      <c r="T555" s="186">
        <v>43101</v>
      </c>
      <c r="U555" s="185" t="s">
        <v>1312</v>
      </c>
      <c r="V555" s="185">
        <v>1000</v>
      </c>
      <c r="W555" s="185">
        <v>14040</v>
      </c>
      <c r="X555" s="187">
        <v>336750.81</v>
      </c>
      <c r="Y555" s="185">
        <v>14046</v>
      </c>
      <c r="Z555" s="187">
        <v>213275.51999999999</v>
      </c>
      <c r="AA555" s="187">
        <v>0</v>
      </c>
      <c r="AB555" s="187">
        <v>123475.29000000001</v>
      </c>
      <c r="AC555" s="187">
        <v>11225.04</v>
      </c>
      <c r="AD555" s="185">
        <v>51260</v>
      </c>
      <c r="AE555" s="187">
        <v>2806.26</v>
      </c>
      <c r="AF555" s="187">
        <v>0</v>
      </c>
      <c r="AG555" s="187">
        <v>2806.26</v>
      </c>
      <c r="AH555" s="185" t="s">
        <v>989</v>
      </c>
      <c r="AI555" s="185"/>
      <c r="AJ555" s="185">
        <v>3670</v>
      </c>
      <c r="AK555" s="185" t="s">
        <v>45</v>
      </c>
      <c r="AL555" s="185" t="s">
        <v>2267</v>
      </c>
      <c r="AM555" s="185" t="s">
        <v>2269</v>
      </c>
      <c r="AN555" s="196"/>
      <c r="AO555" s="196"/>
      <c r="AP555" s="195"/>
      <c r="AQ555" s="194"/>
      <c r="AR555" s="193"/>
      <c r="AS555" s="192"/>
      <c r="AT555" s="192"/>
      <c r="AU555" s="192"/>
      <c r="AV555" s="192"/>
      <c r="AW555" s="191"/>
      <c r="AX555" s="190" t="s">
        <v>72</v>
      </c>
      <c r="AY555" s="184"/>
    </row>
    <row r="556" spans="2:51" hidden="1">
      <c r="B556" s="185">
        <v>2183</v>
      </c>
      <c r="C556" s="189">
        <v>191687</v>
      </c>
      <c r="D556" s="185">
        <v>114271</v>
      </c>
      <c r="E556" s="185" t="s">
        <v>2003</v>
      </c>
      <c r="F556" s="185" t="s">
        <v>715</v>
      </c>
      <c r="G556" s="185"/>
      <c r="H556" s="185"/>
      <c r="I556" s="188">
        <v>1</v>
      </c>
      <c r="J556" s="185"/>
      <c r="K556" s="188">
        <v>0</v>
      </c>
      <c r="L556" s="185"/>
      <c r="M556" s="185"/>
      <c r="N556" s="185" t="s">
        <v>2183</v>
      </c>
      <c r="O556" s="185" t="s">
        <v>2184</v>
      </c>
      <c r="P556" s="185" t="s">
        <v>1028</v>
      </c>
      <c r="Q556" s="185"/>
      <c r="R556" s="185"/>
      <c r="S556" s="186">
        <v>43101</v>
      </c>
      <c r="T556" s="186">
        <v>43101</v>
      </c>
      <c r="U556" s="185" t="s">
        <v>1314</v>
      </c>
      <c r="V556" s="185">
        <v>300</v>
      </c>
      <c r="W556" s="185">
        <v>14040</v>
      </c>
      <c r="X556" s="187">
        <v>60725.69</v>
      </c>
      <c r="Y556" s="185">
        <v>14046</v>
      </c>
      <c r="Z556" s="187">
        <v>60725.69</v>
      </c>
      <c r="AA556" s="187">
        <v>0</v>
      </c>
      <c r="AB556" s="187">
        <v>0</v>
      </c>
      <c r="AC556" s="187">
        <v>0</v>
      </c>
      <c r="AD556" s="185">
        <v>51260</v>
      </c>
      <c r="AE556" s="187">
        <v>0</v>
      </c>
      <c r="AF556" s="187">
        <v>0</v>
      </c>
      <c r="AG556" s="187">
        <v>0</v>
      </c>
      <c r="AH556" s="185" t="s">
        <v>989</v>
      </c>
      <c r="AI556" s="185"/>
      <c r="AJ556" s="185"/>
      <c r="AK556" s="185" t="s">
        <v>45</v>
      </c>
      <c r="AL556" s="185" t="s">
        <v>2267</v>
      </c>
      <c r="AM556" s="185" t="s">
        <v>2269</v>
      </c>
      <c r="AN556" s="196"/>
      <c r="AO556" s="196"/>
      <c r="AP556" s="195"/>
      <c r="AQ556" s="194"/>
      <c r="AR556" s="193"/>
      <c r="AS556" s="192"/>
      <c r="AT556" s="192"/>
      <c r="AU556" s="192"/>
      <c r="AV556" s="192"/>
      <c r="AW556" s="191"/>
      <c r="AX556" s="190" t="s">
        <v>72</v>
      </c>
      <c r="AY556" s="184"/>
    </row>
    <row r="557" spans="2:51">
      <c r="B557" s="185">
        <v>2183</v>
      </c>
      <c r="C557" s="189">
        <v>191686</v>
      </c>
      <c r="D557" s="185" t="s">
        <v>989</v>
      </c>
      <c r="E557" s="185" t="s">
        <v>2003</v>
      </c>
      <c r="F557" s="185" t="s">
        <v>1315</v>
      </c>
      <c r="G557" s="185"/>
      <c r="H557" s="185"/>
      <c r="I557" s="188">
        <v>1</v>
      </c>
      <c r="J557" s="185" t="s">
        <v>1316</v>
      </c>
      <c r="K557" s="188">
        <v>2018</v>
      </c>
      <c r="L557" s="185" t="s">
        <v>1097</v>
      </c>
      <c r="M557" s="185" t="s">
        <v>1131</v>
      </c>
      <c r="N557" s="185" t="s">
        <v>2183</v>
      </c>
      <c r="O557" s="185" t="s">
        <v>2184</v>
      </c>
      <c r="P557" s="185" t="s">
        <v>2204</v>
      </c>
      <c r="Q557" s="185"/>
      <c r="R557" s="185"/>
      <c r="S557" s="186">
        <v>43101</v>
      </c>
      <c r="T557" s="186">
        <v>43101</v>
      </c>
      <c r="U557" s="185" t="s">
        <v>1317</v>
      </c>
      <c r="V557" s="185">
        <v>1000</v>
      </c>
      <c r="W557" s="185">
        <v>14040</v>
      </c>
      <c r="X557" s="187">
        <v>150065.09</v>
      </c>
      <c r="Y557" s="185">
        <v>14046</v>
      </c>
      <c r="Z557" s="187">
        <v>95041.22</v>
      </c>
      <c r="AA557" s="187">
        <v>0</v>
      </c>
      <c r="AB557" s="187">
        <v>55023.869999999995</v>
      </c>
      <c r="AC557" s="187">
        <v>5002.16</v>
      </c>
      <c r="AD557" s="185">
        <v>51260</v>
      </c>
      <c r="AE557" s="187">
        <v>1250.54</v>
      </c>
      <c r="AF557" s="187">
        <v>0</v>
      </c>
      <c r="AG557" s="187">
        <v>1250.54</v>
      </c>
      <c r="AH557" s="185" t="s">
        <v>989</v>
      </c>
      <c r="AI557" s="185"/>
      <c r="AJ557" s="185">
        <v>4522</v>
      </c>
      <c r="AK557" s="185" t="s">
        <v>45</v>
      </c>
      <c r="AL557" s="185" t="s">
        <v>2267</v>
      </c>
      <c r="AM557" s="185" t="s">
        <v>2269</v>
      </c>
      <c r="AN557" s="196"/>
      <c r="AO557" s="196"/>
      <c r="AP557" s="195"/>
      <c r="AQ557" s="194"/>
      <c r="AR557" s="193"/>
      <c r="AS557" s="192"/>
      <c r="AT557" s="192"/>
      <c r="AU557" s="192"/>
      <c r="AV557" s="192"/>
      <c r="AW557" s="191"/>
      <c r="AX557" s="190" t="s">
        <v>72</v>
      </c>
      <c r="AY557" s="184"/>
    </row>
    <row r="558" spans="2:51">
      <c r="B558" s="185">
        <v>2183</v>
      </c>
      <c r="C558" s="189">
        <v>190751</v>
      </c>
      <c r="D558" s="185" t="s">
        <v>989</v>
      </c>
      <c r="E558" s="185" t="s">
        <v>2003</v>
      </c>
      <c r="F558" s="185" t="s">
        <v>622</v>
      </c>
      <c r="G558" s="185"/>
      <c r="H558" s="185"/>
      <c r="I558" s="188">
        <v>642</v>
      </c>
      <c r="J558" s="185"/>
      <c r="K558" s="188">
        <v>0</v>
      </c>
      <c r="L558" s="185" t="s">
        <v>1318</v>
      </c>
      <c r="M558" s="185"/>
      <c r="N558" s="185" t="s">
        <v>2190</v>
      </c>
      <c r="O558" s="185" t="s">
        <v>2184</v>
      </c>
      <c r="P558" s="185"/>
      <c r="Q558" s="185"/>
      <c r="R558" s="185"/>
      <c r="S558" s="186">
        <v>43054</v>
      </c>
      <c r="T558" s="186">
        <v>43054</v>
      </c>
      <c r="U558" s="185" t="s">
        <v>1319</v>
      </c>
      <c r="V558" s="185">
        <v>700</v>
      </c>
      <c r="W558" s="185">
        <v>14050</v>
      </c>
      <c r="X558" s="187">
        <v>32805.43</v>
      </c>
      <c r="Y558" s="185">
        <v>14056</v>
      </c>
      <c r="Z558" s="187">
        <v>30462.18</v>
      </c>
      <c r="AA558" s="187">
        <v>0</v>
      </c>
      <c r="AB558" s="187">
        <v>2343.25</v>
      </c>
      <c r="AC558" s="187">
        <v>1562.16</v>
      </c>
      <c r="AD558" s="185">
        <v>54260</v>
      </c>
      <c r="AE558" s="187">
        <v>390.54</v>
      </c>
      <c r="AF558" s="187">
        <v>0</v>
      </c>
      <c r="AG558" s="187">
        <v>390.54</v>
      </c>
      <c r="AH558" s="185" t="s">
        <v>989</v>
      </c>
      <c r="AI558" s="185"/>
      <c r="AJ558" s="185"/>
      <c r="AK558" s="185" t="s">
        <v>45</v>
      </c>
      <c r="AL558" s="185" t="s">
        <v>2267</v>
      </c>
      <c r="AM558" s="185" t="s">
        <v>2269</v>
      </c>
      <c r="AN558" s="196"/>
      <c r="AO558" s="196"/>
      <c r="AP558" s="195"/>
      <c r="AQ558" s="194"/>
      <c r="AR558" s="193"/>
      <c r="AS558" s="192"/>
      <c r="AT558" s="192"/>
      <c r="AU558" s="192"/>
      <c r="AV558" s="192"/>
      <c r="AW558" s="191"/>
      <c r="AX558" s="190" t="s">
        <v>72</v>
      </c>
      <c r="AY558" s="184"/>
    </row>
    <row r="559" spans="2:51">
      <c r="B559" s="185">
        <v>2183</v>
      </c>
      <c r="C559" s="189">
        <v>190473</v>
      </c>
      <c r="D559" s="185" t="s">
        <v>989</v>
      </c>
      <c r="E559" s="185" t="s">
        <v>2003</v>
      </c>
      <c r="F559" s="185" t="s">
        <v>718</v>
      </c>
      <c r="G559" s="185"/>
      <c r="H559" s="185"/>
      <c r="I559" s="188">
        <v>432</v>
      </c>
      <c r="J559" s="185"/>
      <c r="K559" s="188">
        <v>0</v>
      </c>
      <c r="L559" s="185" t="s">
        <v>1318</v>
      </c>
      <c r="M559" s="185"/>
      <c r="N559" s="185" t="s">
        <v>2190</v>
      </c>
      <c r="O559" s="185" t="s">
        <v>2184</v>
      </c>
      <c r="P559" s="185"/>
      <c r="Q559" s="185"/>
      <c r="R559" s="185"/>
      <c r="S559" s="186">
        <v>43054</v>
      </c>
      <c r="T559" s="186">
        <v>43054</v>
      </c>
      <c r="U559" s="185" t="s">
        <v>1319</v>
      </c>
      <c r="V559" s="185">
        <v>700</v>
      </c>
      <c r="W559" s="185">
        <v>14050</v>
      </c>
      <c r="X559" s="187">
        <v>19630.52</v>
      </c>
      <c r="Y559" s="185">
        <v>14056</v>
      </c>
      <c r="Z559" s="187">
        <v>18228.349999999999</v>
      </c>
      <c r="AA559" s="187">
        <v>0</v>
      </c>
      <c r="AB559" s="187">
        <v>1402.1700000000019</v>
      </c>
      <c r="AC559" s="187">
        <v>934.8</v>
      </c>
      <c r="AD559" s="185">
        <v>54260</v>
      </c>
      <c r="AE559" s="187">
        <v>233.7</v>
      </c>
      <c r="AF559" s="187">
        <v>0</v>
      </c>
      <c r="AG559" s="187">
        <v>233.7</v>
      </c>
      <c r="AH559" s="185" t="s">
        <v>989</v>
      </c>
      <c r="AI559" s="185"/>
      <c r="AJ559" s="185"/>
      <c r="AK559" s="185" t="s">
        <v>45</v>
      </c>
      <c r="AL559" s="185" t="s">
        <v>2267</v>
      </c>
      <c r="AM559" s="185" t="s">
        <v>2269</v>
      </c>
      <c r="AN559" s="196"/>
      <c r="AO559" s="196"/>
      <c r="AP559" s="195"/>
      <c r="AQ559" s="194"/>
      <c r="AR559" s="193"/>
      <c r="AS559" s="192"/>
      <c r="AT559" s="192"/>
      <c r="AU559" s="192"/>
      <c r="AV559" s="192"/>
      <c r="AW559" s="191"/>
      <c r="AX559" s="190" t="s">
        <v>72</v>
      </c>
      <c r="AY559" s="184"/>
    </row>
    <row r="560" spans="2:51">
      <c r="B560" s="185">
        <v>2183</v>
      </c>
      <c r="C560" s="189">
        <v>190472</v>
      </c>
      <c r="D560" s="185" t="s">
        <v>989</v>
      </c>
      <c r="E560" s="185" t="s">
        <v>2003</v>
      </c>
      <c r="F560" s="185" t="s">
        <v>616</v>
      </c>
      <c r="G560" s="185"/>
      <c r="H560" s="185"/>
      <c r="I560" s="188">
        <v>312</v>
      </c>
      <c r="J560" s="185"/>
      <c r="K560" s="188">
        <v>0</v>
      </c>
      <c r="L560" s="185" t="s">
        <v>1318</v>
      </c>
      <c r="M560" s="185"/>
      <c r="N560" s="185" t="s">
        <v>2190</v>
      </c>
      <c r="O560" s="185" t="s">
        <v>2184</v>
      </c>
      <c r="P560" s="185"/>
      <c r="Q560" s="185"/>
      <c r="R560" s="185"/>
      <c r="S560" s="186">
        <v>43054</v>
      </c>
      <c r="T560" s="186">
        <v>43054</v>
      </c>
      <c r="U560" s="185" t="s">
        <v>1319</v>
      </c>
      <c r="V560" s="185">
        <v>700</v>
      </c>
      <c r="W560" s="185">
        <v>14050</v>
      </c>
      <c r="X560" s="187">
        <v>16402.71</v>
      </c>
      <c r="Y560" s="185">
        <v>14056</v>
      </c>
      <c r="Z560" s="187">
        <v>15231.12</v>
      </c>
      <c r="AA560" s="187">
        <v>0</v>
      </c>
      <c r="AB560" s="187">
        <v>1171.5899999999983</v>
      </c>
      <c r="AC560" s="187">
        <v>781.08</v>
      </c>
      <c r="AD560" s="185">
        <v>54260</v>
      </c>
      <c r="AE560" s="187">
        <v>195.27</v>
      </c>
      <c r="AF560" s="187">
        <v>0</v>
      </c>
      <c r="AG560" s="187">
        <v>195.27</v>
      </c>
      <c r="AH560" s="185" t="s">
        <v>989</v>
      </c>
      <c r="AI560" s="185"/>
      <c r="AJ560" s="185"/>
      <c r="AK560" s="185" t="s">
        <v>45</v>
      </c>
      <c r="AL560" s="185" t="s">
        <v>2267</v>
      </c>
      <c r="AM560" s="185" t="s">
        <v>2269</v>
      </c>
      <c r="AN560" s="196"/>
      <c r="AO560" s="196"/>
      <c r="AP560" s="195"/>
      <c r="AQ560" s="194"/>
      <c r="AR560" s="193"/>
      <c r="AS560" s="192"/>
      <c r="AT560" s="192"/>
      <c r="AU560" s="192"/>
      <c r="AV560" s="192"/>
      <c r="AW560" s="191"/>
      <c r="AX560" s="190" t="s">
        <v>72</v>
      </c>
      <c r="AY560" s="184"/>
    </row>
    <row r="561" spans="2:51">
      <c r="B561" s="185">
        <v>2183</v>
      </c>
      <c r="C561" s="189">
        <v>189053</v>
      </c>
      <c r="D561" s="185" t="s">
        <v>989</v>
      </c>
      <c r="E561" s="185" t="s">
        <v>2003</v>
      </c>
      <c r="F561" s="185" t="s">
        <v>615</v>
      </c>
      <c r="G561" s="185"/>
      <c r="H561" s="185"/>
      <c r="I561" s="188">
        <v>945</v>
      </c>
      <c r="J561" s="185"/>
      <c r="K561" s="188">
        <v>0</v>
      </c>
      <c r="L561" s="185" t="s">
        <v>1129</v>
      </c>
      <c r="M561" s="185"/>
      <c r="N561" s="185" t="s">
        <v>2190</v>
      </c>
      <c r="O561" s="185" t="s">
        <v>2184</v>
      </c>
      <c r="P561" s="185"/>
      <c r="Q561" s="185"/>
      <c r="R561" s="185"/>
      <c r="S561" s="186">
        <v>43054</v>
      </c>
      <c r="T561" s="186">
        <v>43054</v>
      </c>
      <c r="U561" s="185" t="s">
        <v>1319</v>
      </c>
      <c r="V561" s="185">
        <v>700</v>
      </c>
      <c r="W561" s="185">
        <v>14050</v>
      </c>
      <c r="X561" s="187">
        <v>38070.199999999997</v>
      </c>
      <c r="Y561" s="185">
        <v>14056</v>
      </c>
      <c r="Z561" s="187">
        <v>35350.910000000003</v>
      </c>
      <c r="AA561" s="187">
        <v>0</v>
      </c>
      <c r="AB561" s="187">
        <v>2719.2899999999936</v>
      </c>
      <c r="AC561" s="187">
        <v>1812.88</v>
      </c>
      <c r="AD561" s="185">
        <v>54260</v>
      </c>
      <c r="AE561" s="187">
        <v>453.22</v>
      </c>
      <c r="AF561" s="187">
        <v>0</v>
      </c>
      <c r="AG561" s="187">
        <v>453.22</v>
      </c>
      <c r="AH561" s="185" t="s">
        <v>989</v>
      </c>
      <c r="AI561" s="185"/>
      <c r="AJ561" s="185"/>
      <c r="AK561" s="185" t="s">
        <v>45</v>
      </c>
      <c r="AL561" s="185" t="s">
        <v>2267</v>
      </c>
      <c r="AM561" s="185" t="s">
        <v>2269</v>
      </c>
      <c r="AN561" s="196"/>
      <c r="AO561" s="196"/>
      <c r="AP561" s="195"/>
      <c r="AQ561" s="194"/>
      <c r="AR561" s="193"/>
      <c r="AS561" s="192"/>
      <c r="AT561" s="192"/>
      <c r="AU561" s="192"/>
      <c r="AV561" s="192"/>
      <c r="AW561" s="191"/>
      <c r="AX561" s="190" t="s">
        <v>72</v>
      </c>
      <c r="AY561" s="184"/>
    </row>
    <row r="562" spans="2:51">
      <c r="B562" s="185">
        <v>2183</v>
      </c>
      <c r="C562" s="189">
        <v>188510</v>
      </c>
      <c r="D562" s="185" t="s">
        <v>989</v>
      </c>
      <c r="E562" s="185" t="s">
        <v>2003</v>
      </c>
      <c r="F562" s="185" t="s">
        <v>722</v>
      </c>
      <c r="G562" s="185"/>
      <c r="H562" s="185"/>
      <c r="I562" s="188">
        <v>30</v>
      </c>
      <c r="J562" s="185"/>
      <c r="K562" s="188">
        <v>0</v>
      </c>
      <c r="L562" s="185" t="s">
        <v>1059</v>
      </c>
      <c r="M562" s="185"/>
      <c r="N562" s="185" t="s">
        <v>2190</v>
      </c>
      <c r="O562" s="185" t="s">
        <v>2184</v>
      </c>
      <c r="P562" s="185"/>
      <c r="Q562" s="185" t="s">
        <v>2208</v>
      </c>
      <c r="R562" s="185" t="s">
        <v>2195</v>
      </c>
      <c r="S562" s="186">
        <v>43039</v>
      </c>
      <c r="T562" s="186">
        <v>43039</v>
      </c>
      <c r="U562" s="185" t="s">
        <v>1320</v>
      </c>
      <c r="V562" s="185">
        <v>1200</v>
      </c>
      <c r="W562" s="185">
        <v>14050</v>
      </c>
      <c r="X562" s="187">
        <v>16171.66</v>
      </c>
      <c r="Y562" s="185">
        <v>14056</v>
      </c>
      <c r="Z562" s="187">
        <v>8759.65</v>
      </c>
      <c r="AA562" s="187">
        <v>0</v>
      </c>
      <c r="AB562" s="187">
        <v>7412.01</v>
      </c>
      <c r="AC562" s="187">
        <v>449.2</v>
      </c>
      <c r="AD562" s="185">
        <v>54260</v>
      </c>
      <c r="AE562" s="187">
        <v>112.3</v>
      </c>
      <c r="AF562" s="187">
        <v>0</v>
      </c>
      <c r="AG562" s="187">
        <v>112.3</v>
      </c>
      <c r="AH562" s="185" t="s">
        <v>989</v>
      </c>
      <c r="AI562" s="185"/>
      <c r="AJ562" s="185"/>
      <c r="AK562" s="185" t="s">
        <v>45</v>
      </c>
      <c r="AL562" s="185" t="s">
        <v>2267</v>
      </c>
      <c r="AM562" s="185" t="s">
        <v>2269</v>
      </c>
      <c r="AN562" s="196"/>
      <c r="AO562" s="196"/>
      <c r="AP562" s="195"/>
      <c r="AQ562" s="194"/>
      <c r="AR562" s="193"/>
      <c r="AS562" s="192"/>
      <c r="AT562" s="192"/>
      <c r="AU562" s="192"/>
      <c r="AV562" s="192"/>
      <c r="AW562" s="191"/>
      <c r="AX562" s="190" t="s">
        <v>72</v>
      </c>
      <c r="AY562" s="184"/>
    </row>
    <row r="563" spans="2:51">
      <c r="B563" s="185">
        <v>2183</v>
      </c>
      <c r="C563" s="189">
        <v>188327</v>
      </c>
      <c r="D563" s="185" t="s">
        <v>989</v>
      </c>
      <c r="E563" s="185" t="s">
        <v>2003</v>
      </c>
      <c r="F563" s="185" t="s">
        <v>615</v>
      </c>
      <c r="G563" s="185"/>
      <c r="H563" s="185"/>
      <c r="I563" s="188">
        <v>945</v>
      </c>
      <c r="J563" s="185"/>
      <c r="K563" s="188">
        <v>0</v>
      </c>
      <c r="L563" s="185" t="s">
        <v>1129</v>
      </c>
      <c r="M563" s="185"/>
      <c r="N563" s="185" t="s">
        <v>2190</v>
      </c>
      <c r="O563" s="185" t="s">
        <v>2184</v>
      </c>
      <c r="P563" s="185"/>
      <c r="Q563" s="185"/>
      <c r="R563" s="185"/>
      <c r="S563" s="186">
        <v>43017</v>
      </c>
      <c r="T563" s="186">
        <v>43017</v>
      </c>
      <c r="U563" s="185" t="s">
        <v>1321</v>
      </c>
      <c r="V563" s="185">
        <v>700</v>
      </c>
      <c r="W563" s="185">
        <v>14050</v>
      </c>
      <c r="X563" s="187">
        <v>38070.199999999997</v>
      </c>
      <c r="Y563" s="185">
        <v>14056</v>
      </c>
      <c r="Z563" s="187">
        <v>35804.129999999997</v>
      </c>
      <c r="AA563" s="187">
        <v>0</v>
      </c>
      <c r="AB563" s="187">
        <v>2266.0699999999997</v>
      </c>
      <c r="AC563" s="187">
        <v>1812.88</v>
      </c>
      <c r="AD563" s="185">
        <v>54260</v>
      </c>
      <c r="AE563" s="187">
        <v>453.22</v>
      </c>
      <c r="AF563" s="187">
        <v>0</v>
      </c>
      <c r="AG563" s="187">
        <v>453.22</v>
      </c>
      <c r="AH563" s="185" t="s">
        <v>989</v>
      </c>
      <c r="AI563" s="185"/>
      <c r="AJ563" s="185"/>
      <c r="AK563" s="185" t="s">
        <v>45</v>
      </c>
      <c r="AL563" s="185" t="s">
        <v>2267</v>
      </c>
      <c r="AM563" s="185" t="s">
        <v>2269</v>
      </c>
      <c r="AN563" s="196"/>
      <c r="AO563" s="196"/>
      <c r="AP563" s="195"/>
      <c r="AQ563" s="194"/>
      <c r="AR563" s="193"/>
      <c r="AS563" s="192"/>
      <c r="AT563" s="192"/>
      <c r="AU563" s="192"/>
      <c r="AV563" s="192"/>
      <c r="AW563" s="191"/>
      <c r="AX563" s="190" t="s">
        <v>72</v>
      </c>
      <c r="AY563" s="184"/>
    </row>
    <row r="564" spans="2:51">
      <c r="B564" s="185">
        <v>2183</v>
      </c>
      <c r="C564" s="189">
        <v>187607</v>
      </c>
      <c r="D564" s="185" t="s">
        <v>989</v>
      </c>
      <c r="E564" s="185" t="s">
        <v>2003</v>
      </c>
      <c r="F564" s="185" t="s">
        <v>1289</v>
      </c>
      <c r="G564" s="185"/>
      <c r="H564" s="185"/>
      <c r="I564" s="188">
        <v>1</v>
      </c>
      <c r="J564" s="185" t="s">
        <v>1322</v>
      </c>
      <c r="K564" s="188">
        <v>2018</v>
      </c>
      <c r="L564" s="185" t="s">
        <v>1097</v>
      </c>
      <c r="M564" s="185" t="s">
        <v>1110</v>
      </c>
      <c r="N564" s="185" t="s">
        <v>2183</v>
      </c>
      <c r="O564" s="185" t="s">
        <v>2184</v>
      </c>
      <c r="P564" s="185" t="s">
        <v>2187</v>
      </c>
      <c r="Q564" s="185"/>
      <c r="R564" s="185"/>
      <c r="S564" s="186">
        <v>43039</v>
      </c>
      <c r="T564" s="186">
        <v>43039</v>
      </c>
      <c r="U564" s="185" t="s">
        <v>1323</v>
      </c>
      <c r="V564" s="185">
        <v>1000</v>
      </c>
      <c r="W564" s="185">
        <v>14040</v>
      </c>
      <c r="X564" s="187">
        <v>336704.5</v>
      </c>
      <c r="Y564" s="185">
        <v>14046</v>
      </c>
      <c r="Z564" s="187">
        <v>218857.92</v>
      </c>
      <c r="AA564" s="187">
        <v>0</v>
      </c>
      <c r="AB564" s="187">
        <v>117846.57999999999</v>
      </c>
      <c r="AC564" s="187">
        <v>11223.48</v>
      </c>
      <c r="AD564" s="185">
        <v>51260</v>
      </c>
      <c r="AE564" s="187">
        <v>2805.87</v>
      </c>
      <c r="AF564" s="187">
        <v>0</v>
      </c>
      <c r="AG564" s="187">
        <v>2805.87</v>
      </c>
      <c r="AH564" s="185" t="s">
        <v>989</v>
      </c>
      <c r="AI564" s="185"/>
      <c r="AJ564" s="185">
        <v>3664</v>
      </c>
      <c r="AK564" s="185" t="s">
        <v>45</v>
      </c>
      <c r="AL564" s="185" t="s">
        <v>2267</v>
      </c>
      <c r="AM564" s="185" t="s">
        <v>2269</v>
      </c>
      <c r="AN564" s="196"/>
      <c r="AO564" s="196"/>
      <c r="AP564" s="195"/>
      <c r="AQ564" s="194"/>
      <c r="AR564" s="193"/>
      <c r="AS564" s="192"/>
      <c r="AT564" s="192"/>
      <c r="AU564" s="192"/>
      <c r="AV564" s="192"/>
      <c r="AW564" s="191"/>
      <c r="AX564" s="190" t="s">
        <v>72</v>
      </c>
      <c r="AY564" s="184"/>
    </row>
    <row r="565" spans="2:51">
      <c r="B565" s="185">
        <v>2183</v>
      </c>
      <c r="C565" s="189">
        <v>187606</v>
      </c>
      <c r="D565" s="185" t="s">
        <v>989</v>
      </c>
      <c r="E565" s="185" t="s">
        <v>2003</v>
      </c>
      <c r="F565" s="185" t="s">
        <v>1289</v>
      </c>
      <c r="G565" s="185"/>
      <c r="H565" s="185"/>
      <c r="I565" s="188">
        <v>1</v>
      </c>
      <c r="J565" s="185" t="s">
        <v>1324</v>
      </c>
      <c r="K565" s="188">
        <v>2018</v>
      </c>
      <c r="L565" s="185" t="s">
        <v>1097</v>
      </c>
      <c r="M565" s="185" t="s">
        <v>1110</v>
      </c>
      <c r="N565" s="185" t="s">
        <v>2183</v>
      </c>
      <c r="O565" s="185" t="s">
        <v>2184</v>
      </c>
      <c r="P565" s="185" t="s">
        <v>2187</v>
      </c>
      <c r="Q565" s="185"/>
      <c r="R565" s="185"/>
      <c r="S565" s="186">
        <v>43039</v>
      </c>
      <c r="T565" s="186">
        <v>43039</v>
      </c>
      <c r="U565" s="185" t="s">
        <v>1325</v>
      </c>
      <c r="V565" s="185">
        <v>1000</v>
      </c>
      <c r="W565" s="185">
        <v>14040</v>
      </c>
      <c r="X565" s="187">
        <v>337878.55</v>
      </c>
      <c r="Y565" s="185">
        <v>14046</v>
      </c>
      <c r="Z565" s="187">
        <v>219621.07</v>
      </c>
      <c r="AA565" s="187">
        <v>0</v>
      </c>
      <c r="AB565" s="187">
        <v>118257.47999999998</v>
      </c>
      <c r="AC565" s="187">
        <v>11262.6</v>
      </c>
      <c r="AD565" s="185">
        <v>51260</v>
      </c>
      <c r="AE565" s="187">
        <v>2815.65</v>
      </c>
      <c r="AF565" s="187">
        <v>0</v>
      </c>
      <c r="AG565" s="187">
        <v>2815.65</v>
      </c>
      <c r="AH565" s="185" t="s">
        <v>989</v>
      </c>
      <c r="AI565" s="185"/>
      <c r="AJ565" s="185">
        <v>3663</v>
      </c>
      <c r="AK565" s="185" t="s">
        <v>45</v>
      </c>
      <c r="AL565" s="185" t="s">
        <v>2267</v>
      </c>
      <c r="AM565" s="185" t="s">
        <v>2269</v>
      </c>
      <c r="AN565" s="196"/>
      <c r="AO565" s="196"/>
      <c r="AP565" s="195"/>
      <c r="AQ565" s="194"/>
      <c r="AR565" s="193"/>
      <c r="AS565" s="192"/>
      <c r="AT565" s="192"/>
      <c r="AU565" s="192"/>
      <c r="AV565" s="192"/>
      <c r="AW565" s="191"/>
      <c r="AX565" s="190" t="s">
        <v>72</v>
      </c>
      <c r="AY565" s="184"/>
    </row>
    <row r="566" spans="2:51">
      <c r="B566" s="185">
        <v>2183</v>
      </c>
      <c r="C566" s="189">
        <v>187605</v>
      </c>
      <c r="D566" s="185" t="s">
        <v>989</v>
      </c>
      <c r="E566" s="185" t="s">
        <v>2003</v>
      </c>
      <c r="F566" s="185" t="s">
        <v>1289</v>
      </c>
      <c r="G566" s="185"/>
      <c r="H566" s="185"/>
      <c r="I566" s="188">
        <v>1</v>
      </c>
      <c r="J566" s="185" t="s">
        <v>1326</v>
      </c>
      <c r="K566" s="188">
        <v>2018</v>
      </c>
      <c r="L566" s="185" t="s">
        <v>1097</v>
      </c>
      <c r="M566" s="185" t="s">
        <v>1110</v>
      </c>
      <c r="N566" s="185" t="s">
        <v>2183</v>
      </c>
      <c r="O566" s="185" t="s">
        <v>2184</v>
      </c>
      <c r="P566" s="185" t="s">
        <v>2187</v>
      </c>
      <c r="Q566" s="185"/>
      <c r="R566" s="185"/>
      <c r="S566" s="186">
        <v>43039</v>
      </c>
      <c r="T566" s="186">
        <v>43039</v>
      </c>
      <c r="U566" s="185" t="s">
        <v>1327</v>
      </c>
      <c r="V566" s="185">
        <v>1000</v>
      </c>
      <c r="W566" s="185">
        <v>14040</v>
      </c>
      <c r="X566" s="187">
        <v>337983.11</v>
      </c>
      <c r="Y566" s="185">
        <v>14046</v>
      </c>
      <c r="Z566" s="187">
        <v>219689.03</v>
      </c>
      <c r="AA566" s="187">
        <v>0</v>
      </c>
      <c r="AB566" s="187">
        <v>118294.07999999999</v>
      </c>
      <c r="AC566" s="187">
        <v>11266.12</v>
      </c>
      <c r="AD566" s="185">
        <v>51260</v>
      </c>
      <c r="AE566" s="187">
        <v>2816.53</v>
      </c>
      <c r="AF566" s="187">
        <v>0</v>
      </c>
      <c r="AG566" s="187">
        <v>2816.53</v>
      </c>
      <c r="AH566" s="185" t="s">
        <v>989</v>
      </c>
      <c r="AI566" s="185"/>
      <c r="AJ566" s="185">
        <v>3662</v>
      </c>
      <c r="AK566" s="185" t="s">
        <v>45</v>
      </c>
      <c r="AL566" s="185" t="s">
        <v>2267</v>
      </c>
      <c r="AM566" s="185" t="s">
        <v>2269</v>
      </c>
      <c r="AN566" s="196"/>
      <c r="AO566" s="196"/>
      <c r="AP566" s="195"/>
      <c r="AQ566" s="194"/>
      <c r="AR566" s="193"/>
      <c r="AS566" s="192"/>
      <c r="AT566" s="192"/>
      <c r="AU566" s="192"/>
      <c r="AV566" s="192"/>
      <c r="AW566" s="191"/>
      <c r="AX566" s="190" t="s">
        <v>72</v>
      </c>
      <c r="AY566" s="184"/>
    </row>
    <row r="567" spans="2:51">
      <c r="B567" s="185">
        <v>2183</v>
      </c>
      <c r="C567" s="189">
        <v>187522</v>
      </c>
      <c r="D567" s="185" t="s">
        <v>989</v>
      </c>
      <c r="E567" s="185" t="s">
        <v>2003</v>
      </c>
      <c r="F567" s="185" t="s">
        <v>720</v>
      </c>
      <c r="G567" s="185"/>
      <c r="H567" s="185"/>
      <c r="I567" s="188">
        <v>624</v>
      </c>
      <c r="J567" s="185"/>
      <c r="K567" s="188">
        <v>0</v>
      </c>
      <c r="L567" s="185" t="s">
        <v>1129</v>
      </c>
      <c r="M567" s="185"/>
      <c r="N567" s="185" t="s">
        <v>2190</v>
      </c>
      <c r="O567" s="185" t="s">
        <v>2184</v>
      </c>
      <c r="P567" s="185"/>
      <c r="Q567" s="185"/>
      <c r="R567" s="185"/>
      <c r="S567" s="186">
        <v>43017</v>
      </c>
      <c r="T567" s="186">
        <v>43017</v>
      </c>
      <c r="U567" s="185" t="s">
        <v>1321</v>
      </c>
      <c r="V567" s="185">
        <v>700</v>
      </c>
      <c r="W567" s="185">
        <v>14050</v>
      </c>
      <c r="X567" s="187">
        <v>32805.43</v>
      </c>
      <c r="Y567" s="185">
        <v>14056</v>
      </c>
      <c r="Z567" s="187">
        <v>30852.720000000001</v>
      </c>
      <c r="AA567" s="187">
        <v>0</v>
      </c>
      <c r="AB567" s="187">
        <v>1952.7099999999991</v>
      </c>
      <c r="AC567" s="187">
        <v>1562.16</v>
      </c>
      <c r="AD567" s="185">
        <v>54260</v>
      </c>
      <c r="AE567" s="187">
        <v>390.54</v>
      </c>
      <c r="AF567" s="187">
        <v>0</v>
      </c>
      <c r="AG567" s="187">
        <v>390.54</v>
      </c>
      <c r="AH567" s="185" t="s">
        <v>989</v>
      </c>
      <c r="AI567" s="185"/>
      <c r="AJ567" s="185"/>
      <c r="AK567" s="185" t="s">
        <v>45</v>
      </c>
      <c r="AL567" s="185" t="s">
        <v>2267</v>
      </c>
      <c r="AM567" s="185" t="s">
        <v>2269</v>
      </c>
      <c r="AN567" s="196"/>
      <c r="AO567" s="196"/>
      <c r="AP567" s="195"/>
      <c r="AQ567" s="194"/>
      <c r="AR567" s="193"/>
      <c r="AS567" s="192"/>
      <c r="AT567" s="192"/>
      <c r="AU567" s="192"/>
      <c r="AV567" s="192"/>
      <c r="AW567" s="191"/>
      <c r="AX567" s="190" t="s">
        <v>72</v>
      </c>
      <c r="AY567" s="184"/>
    </row>
    <row r="568" spans="2:51">
      <c r="B568" s="185">
        <v>2183</v>
      </c>
      <c r="C568" s="189">
        <v>187521</v>
      </c>
      <c r="D568" s="185" t="s">
        <v>989</v>
      </c>
      <c r="E568" s="185" t="s">
        <v>2003</v>
      </c>
      <c r="F568" s="185" t="s">
        <v>720</v>
      </c>
      <c r="G568" s="185"/>
      <c r="H568" s="185"/>
      <c r="I568" s="188">
        <v>624</v>
      </c>
      <c r="J568" s="185"/>
      <c r="K568" s="188">
        <v>0</v>
      </c>
      <c r="L568" s="185" t="s">
        <v>1129</v>
      </c>
      <c r="M568" s="185"/>
      <c r="N568" s="185" t="s">
        <v>2190</v>
      </c>
      <c r="O568" s="185" t="s">
        <v>2184</v>
      </c>
      <c r="P568" s="185"/>
      <c r="Q568" s="185"/>
      <c r="R568" s="185"/>
      <c r="S568" s="186">
        <v>43017</v>
      </c>
      <c r="T568" s="186">
        <v>43017</v>
      </c>
      <c r="U568" s="185" t="s">
        <v>1321</v>
      </c>
      <c r="V568" s="185">
        <v>700</v>
      </c>
      <c r="W568" s="185">
        <v>14050</v>
      </c>
      <c r="X568" s="187">
        <v>32805.43</v>
      </c>
      <c r="Y568" s="185">
        <v>14056</v>
      </c>
      <c r="Z568" s="187">
        <v>30852.720000000001</v>
      </c>
      <c r="AA568" s="187">
        <v>0</v>
      </c>
      <c r="AB568" s="187">
        <v>1952.7099999999991</v>
      </c>
      <c r="AC568" s="187">
        <v>1562.16</v>
      </c>
      <c r="AD568" s="185">
        <v>54260</v>
      </c>
      <c r="AE568" s="187">
        <v>390.54</v>
      </c>
      <c r="AF568" s="187">
        <v>0</v>
      </c>
      <c r="AG568" s="187">
        <v>390.54</v>
      </c>
      <c r="AH568" s="185" t="s">
        <v>989</v>
      </c>
      <c r="AI568" s="185"/>
      <c r="AJ568" s="185"/>
      <c r="AK568" s="185" t="s">
        <v>45</v>
      </c>
      <c r="AL568" s="185" t="s">
        <v>2267</v>
      </c>
      <c r="AM568" s="185" t="s">
        <v>2269</v>
      </c>
      <c r="AN568" s="196"/>
      <c r="AO568" s="196"/>
      <c r="AP568" s="195"/>
      <c r="AQ568" s="194"/>
      <c r="AR568" s="193"/>
      <c r="AS568" s="192"/>
      <c r="AT568" s="192"/>
      <c r="AU568" s="192"/>
      <c r="AV568" s="192"/>
      <c r="AW568" s="191"/>
      <c r="AX568" s="190" t="s">
        <v>72</v>
      </c>
      <c r="AY568" s="184"/>
    </row>
    <row r="569" spans="2:51">
      <c r="B569" s="185">
        <v>2183</v>
      </c>
      <c r="C569" s="189">
        <v>187206</v>
      </c>
      <c r="D569" s="185" t="s">
        <v>989</v>
      </c>
      <c r="E569" s="185" t="s">
        <v>2003</v>
      </c>
      <c r="F569" s="185" t="s">
        <v>721</v>
      </c>
      <c r="G569" s="185"/>
      <c r="H569" s="185"/>
      <c r="I569" s="188">
        <v>3</v>
      </c>
      <c r="J569" s="185"/>
      <c r="K569" s="188">
        <v>0</v>
      </c>
      <c r="L569" s="185" t="s">
        <v>1059</v>
      </c>
      <c r="M569" s="185"/>
      <c r="N569" s="185" t="s">
        <v>2190</v>
      </c>
      <c r="O569" s="185" t="s">
        <v>2184</v>
      </c>
      <c r="P569" s="185"/>
      <c r="Q569" s="185" t="s">
        <v>2191</v>
      </c>
      <c r="R569" s="185" t="s">
        <v>2192</v>
      </c>
      <c r="S569" s="186">
        <v>42993</v>
      </c>
      <c r="T569" s="186">
        <v>42993</v>
      </c>
      <c r="U569" s="185" t="s">
        <v>1328</v>
      </c>
      <c r="V569" s="185">
        <v>1200</v>
      </c>
      <c r="W569" s="185">
        <v>14050</v>
      </c>
      <c r="X569" s="187">
        <v>18525</v>
      </c>
      <c r="Y569" s="185">
        <v>14056</v>
      </c>
      <c r="Z569" s="187">
        <v>10291.68</v>
      </c>
      <c r="AA569" s="187">
        <v>0</v>
      </c>
      <c r="AB569" s="187">
        <v>8233.32</v>
      </c>
      <c r="AC569" s="187">
        <v>514.6</v>
      </c>
      <c r="AD569" s="185">
        <v>54260</v>
      </c>
      <c r="AE569" s="187">
        <v>128.65</v>
      </c>
      <c r="AF569" s="187">
        <v>0</v>
      </c>
      <c r="AG569" s="187">
        <v>128.65</v>
      </c>
      <c r="AH569" s="185" t="s">
        <v>989</v>
      </c>
      <c r="AI569" s="185"/>
      <c r="AJ569" s="185"/>
      <c r="AK569" s="185" t="s">
        <v>45</v>
      </c>
      <c r="AL569" s="185" t="s">
        <v>2267</v>
      </c>
      <c r="AM569" s="185" t="s">
        <v>2269</v>
      </c>
      <c r="AN569" s="196"/>
      <c r="AO569" s="196"/>
      <c r="AP569" s="195"/>
      <c r="AQ569" s="194"/>
      <c r="AR569" s="193"/>
      <c r="AS569" s="192"/>
      <c r="AT569" s="192"/>
      <c r="AU569" s="192"/>
      <c r="AV569" s="192"/>
      <c r="AW569" s="191"/>
      <c r="AX569" s="190" t="s">
        <v>72</v>
      </c>
      <c r="AY569" s="184"/>
    </row>
    <row r="570" spans="2:51">
      <c r="B570" s="185">
        <v>2183</v>
      </c>
      <c r="C570" s="189">
        <v>186461</v>
      </c>
      <c r="D570" s="185" t="s">
        <v>989</v>
      </c>
      <c r="E570" s="185" t="s">
        <v>2003</v>
      </c>
      <c r="F570" s="185" t="s">
        <v>1329</v>
      </c>
      <c r="G570" s="185"/>
      <c r="H570" s="185"/>
      <c r="I570" s="188">
        <v>3</v>
      </c>
      <c r="J570" s="185"/>
      <c r="K570" s="188">
        <v>0</v>
      </c>
      <c r="L570" s="185" t="s">
        <v>1059</v>
      </c>
      <c r="M570" s="185"/>
      <c r="N570" s="185" t="s">
        <v>2190</v>
      </c>
      <c r="O570" s="185" t="s">
        <v>2184</v>
      </c>
      <c r="P570" s="185"/>
      <c r="Q570" s="185" t="s">
        <v>2191</v>
      </c>
      <c r="R570" s="185" t="s">
        <v>2192</v>
      </c>
      <c r="S570" s="186">
        <v>42993</v>
      </c>
      <c r="T570" s="186">
        <v>42993</v>
      </c>
      <c r="U570" s="185" t="s">
        <v>1328</v>
      </c>
      <c r="V570" s="185">
        <v>1200</v>
      </c>
      <c r="W570" s="185">
        <v>14050</v>
      </c>
      <c r="X570" s="187">
        <v>18525</v>
      </c>
      <c r="Y570" s="185">
        <v>14056</v>
      </c>
      <c r="Z570" s="187">
        <v>10291.68</v>
      </c>
      <c r="AA570" s="187">
        <v>0</v>
      </c>
      <c r="AB570" s="187">
        <v>8233.32</v>
      </c>
      <c r="AC570" s="187">
        <v>514.6</v>
      </c>
      <c r="AD570" s="185">
        <v>54260</v>
      </c>
      <c r="AE570" s="187">
        <v>128.65</v>
      </c>
      <c r="AF570" s="187">
        <v>0</v>
      </c>
      <c r="AG570" s="187">
        <v>128.65</v>
      </c>
      <c r="AH570" s="185" t="s">
        <v>989</v>
      </c>
      <c r="AI570" s="185"/>
      <c r="AJ570" s="185"/>
      <c r="AK570" s="185" t="s">
        <v>45</v>
      </c>
      <c r="AL570" s="185" t="s">
        <v>2267</v>
      </c>
      <c r="AM570" s="185" t="s">
        <v>2269</v>
      </c>
      <c r="AN570" s="196"/>
      <c r="AO570" s="196"/>
      <c r="AP570" s="195"/>
      <c r="AQ570" s="194"/>
      <c r="AR570" s="193"/>
      <c r="AS570" s="192"/>
      <c r="AT570" s="192"/>
      <c r="AU570" s="192"/>
      <c r="AV570" s="192"/>
      <c r="AW570" s="191"/>
      <c r="AX570" s="190" t="s">
        <v>72</v>
      </c>
      <c r="AY570" s="184"/>
    </row>
    <row r="571" spans="2:51" hidden="1">
      <c r="B571" s="185">
        <v>2183</v>
      </c>
      <c r="C571" s="189">
        <v>186158</v>
      </c>
      <c r="D571" s="185">
        <v>61097</v>
      </c>
      <c r="E571" s="185" t="s">
        <v>2003</v>
      </c>
      <c r="F571" s="185" t="s">
        <v>631</v>
      </c>
      <c r="G571" s="185"/>
      <c r="H571" s="185"/>
      <c r="I571" s="188">
        <v>1</v>
      </c>
      <c r="J571" s="185"/>
      <c r="K571" s="188">
        <v>0</v>
      </c>
      <c r="L571" s="185"/>
      <c r="M571" s="185"/>
      <c r="N571" s="185" t="s">
        <v>2183</v>
      </c>
      <c r="O571" s="185" t="s">
        <v>2184</v>
      </c>
      <c r="P571" s="185" t="s">
        <v>1028</v>
      </c>
      <c r="Q571" s="185"/>
      <c r="R571" s="185"/>
      <c r="S571" s="186">
        <v>43008</v>
      </c>
      <c r="T571" s="186">
        <v>43008</v>
      </c>
      <c r="U571" s="185" t="s">
        <v>1330</v>
      </c>
      <c r="V571" s="185">
        <v>300</v>
      </c>
      <c r="W571" s="185">
        <v>14040</v>
      </c>
      <c r="X571" s="187">
        <v>59424.88</v>
      </c>
      <c r="Y571" s="185">
        <v>14046</v>
      </c>
      <c r="Z571" s="187">
        <v>59424.88</v>
      </c>
      <c r="AA571" s="187">
        <v>0</v>
      </c>
      <c r="AB571" s="187">
        <v>0</v>
      </c>
      <c r="AC571" s="187">
        <v>0</v>
      </c>
      <c r="AD571" s="185">
        <v>51260</v>
      </c>
      <c r="AE571" s="187">
        <v>0</v>
      </c>
      <c r="AF571" s="187">
        <v>0</v>
      </c>
      <c r="AG571" s="187">
        <v>0</v>
      </c>
      <c r="AH571" s="185" t="s">
        <v>989</v>
      </c>
      <c r="AI571" s="185"/>
      <c r="AJ571" s="185"/>
      <c r="AK571" s="185" t="s">
        <v>45</v>
      </c>
      <c r="AL571" s="185" t="s">
        <v>2267</v>
      </c>
      <c r="AM571" s="185" t="s">
        <v>2269</v>
      </c>
      <c r="AN571" s="196"/>
      <c r="AO571" s="196"/>
      <c r="AP571" s="195"/>
      <c r="AQ571" s="194"/>
      <c r="AR571" s="193"/>
      <c r="AS571" s="192"/>
      <c r="AT571" s="192"/>
      <c r="AU571" s="192"/>
      <c r="AV571" s="192"/>
      <c r="AW571" s="191"/>
      <c r="AX571" s="190" t="s">
        <v>72</v>
      </c>
      <c r="AY571" s="184"/>
    </row>
    <row r="572" spans="2:51" hidden="1">
      <c r="B572" s="185">
        <v>2183</v>
      </c>
      <c r="C572" s="189">
        <v>186157</v>
      </c>
      <c r="D572" s="185">
        <v>61096</v>
      </c>
      <c r="E572" s="185" t="s">
        <v>2003</v>
      </c>
      <c r="F572" s="185" t="s">
        <v>631</v>
      </c>
      <c r="G572" s="185"/>
      <c r="H572" s="185"/>
      <c r="I572" s="188">
        <v>1</v>
      </c>
      <c r="J572" s="185"/>
      <c r="K572" s="188">
        <v>0</v>
      </c>
      <c r="L572" s="185"/>
      <c r="M572" s="185"/>
      <c r="N572" s="185" t="s">
        <v>2183</v>
      </c>
      <c r="O572" s="185" t="s">
        <v>2184</v>
      </c>
      <c r="P572" s="185" t="s">
        <v>1028</v>
      </c>
      <c r="Q572" s="185"/>
      <c r="R572" s="185"/>
      <c r="S572" s="186">
        <v>43008</v>
      </c>
      <c r="T572" s="186">
        <v>43008</v>
      </c>
      <c r="U572" s="185" t="s">
        <v>1331</v>
      </c>
      <c r="V572" s="185">
        <v>300</v>
      </c>
      <c r="W572" s="185">
        <v>14040</v>
      </c>
      <c r="X572" s="187">
        <v>59424.88</v>
      </c>
      <c r="Y572" s="185">
        <v>14046</v>
      </c>
      <c r="Z572" s="187">
        <v>59424.88</v>
      </c>
      <c r="AA572" s="187">
        <v>0</v>
      </c>
      <c r="AB572" s="187">
        <v>0</v>
      </c>
      <c r="AC572" s="187">
        <v>0</v>
      </c>
      <c r="AD572" s="185">
        <v>51260</v>
      </c>
      <c r="AE572" s="187">
        <v>0</v>
      </c>
      <c r="AF572" s="187">
        <v>0</v>
      </c>
      <c r="AG572" s="187">
        <v>0</v>
      </c>
      <c r="AH572" s="185" t="s">
        <v>989</v>
      </c>
      <c r="AI572" s="185"/>
      <c r="AJ572" s="185"/>
      <c r="AK572" s="185" t="s">
        <v>45</v>
      </c>
      <c r="AL572" s="185" t="s">
        <v>2267</v>
      </c>
      <c r="AM572" s="185" t="s">
        <v>2269</v>
      </c>
      <c r="AN572" s="196"/>
      <c r="AO572" s="196"/>
      <c r="AP572" s="195"/>
      <c r="AQ572" s="194"/>
      <c r="AR572" s="193"/>
      <c r="AS572" s="192"/>
      <c r="AT572" s="192"/>
      <c r="AU572" s="192"/>
      <c r="AV572" s="192"/>
      <c r="AW572" s="191"/>
      <c r="AX572" s="190" t="s">
        <v>72</v>
      </c>
      <c r="AY572" s="184"/>
    </row>
    <row r="573" spans="2:51">
      <c r="B573" s="185">
        <v>2183</v>
      </c>
      <c r="C573" s="189">
        <v>185550</v>
      </c>
      <c r="D573" s="185" t="s">
        <v>989</v>
      </c>
      <c r="E573" s="185" t="s">
        <v>2003</v>
      </c>
      <c r="F573" s="185" t="s">
        <v>632</v>
      </c>
      <c r="G573" s="185"/>
      <c r="H573" s="185"/>
      <c r="I573" s="188">
        <v>1</v>
      </c>
      <c r="J573" s="185"/>
      <c r="K573" s="188">
        <v>0</v>
      </c>
      <c r="L573" s="185"/>
      <c r="M573" s="185"/>
      <c r="N573" s="185" t="s">
        <v>2199</v>
      </c>
      <c r="O573" s="185" t="s">
        <v>2184</v>
      </c>
      <c r="P573" s="185"/>
      <c r="Q573" s="185"/>
      <c r="R573" s="185"/>
      <c r="S573" s="186">
        <v>42948</v>
      </c>
      <c r="T573" s="186">
        <v>42948</v>
      </c>
      <c r="U573" s="185" t="s">
        <v>1332</v>
      </c>
      <c r="V573" s="185">
        <v>100</v>
      </c>
      <c r="W573" s="185">
        <v>14110</v>
      </c>
      <c r="X573" s="187">
        <v>1244.8</v>
      </c>
      <c r="Y573" s="185">
        <v>14116</v>
      </c>
      <c r="Z573" s="187">
        <v>1244.8</v>
      </c>
      <c r="AA573" s="187">
        <v>0</v>
      </c>
      <c r="AB573" s="187">
        <v>0</v>
      </c>
      <c r="AC573" s="187">
        <v>0</v>
      </c>
      <c r="AD573" s="185">
        <v>70260</v>
      </c>
      <c r="AE573" s="187">
        <v>0</v>
      </c>
      <c r="AF573" s="187">
        <v>0</v>
      </c>
      <c r="AG573" s="187">
        <v>0</v>
      </c>
      <c r="AH573" s="185" t="s">
        <v>989</v>
      </c>
      <c r="AI573" s="185"/>
      <c r="AJ573" s="185"/>
      <c r="AK573" s="185" t="s">
        <v>45</v>
      </c>
      <c r="AL573" s="185" t="s">
        <v>2267</v>
      </c>
      <c r="AM573" s="185" t="s">
        <v>2269</v>
      </c>
      <c r="AN573" s="196"/>
      <c r="AO573" s="196"/>
      <c r="AP573" s="195"/>
      <c r="AQ573" s="194"/>
      <c r="AR573" s="193"/>
      <c r="AS573" s="192"/>
      <c r="AT573" s="192"/>
      <c r="AU573" s="192"/>
      <c r="AV573" s="192"/>
      <c r="AW573" s="191"/>
      <c r="AX573" s="190" t="s">
        <v>72</v>
      </c>
      <c r="AY573" s="184"/>
    </row>
    <row r="574" spans="2:51">
      <c r="B574" s="185">
        <v>2183</v>
      </c>
      <c r="C574" s="189">
        <v>184512</v>
      </c>
      <c r="D574" s="185" t="s">
        <v>989</v>
      </c>
      <c r="E574" s="185" t="s">
        <v>2003</v>
      </c>
      <c r="F574" s="185" t="s">
        <v>611</v>
      </c>
      <c r="G574" s="185"/>
      <c r="H574" s="185"/>
      <c r="I574" s="188">
        <v>15</v>
      </c>
      <c r="J574" s="185"/>
      <c r="K574" s="188">
        <v>0</v>
      </c>
      <c r="L574" s="185" t="s">
        <v>1333</v>
      </c>
      <c r="M574" s="185"/>
      <c r="N574" s="185" t="s">
        <v>2190</v>
      </c>
      <c r="O574" s="185" t="s">
        <v>2184</v>
      </c>
      <c r="P574" s="185"/>
      <c r="Q574" s="185" t="s">
        <v>2194</v>
      </c>
      <c r="R574" s="185" t="s">
        <v>2195</v>
      </c>
      <c r="S574" s="186">
        <v>42933</v>
      </c>
      <c r="T574" s="186">
        <v>42933</v>
      </c>
      <c r="U574" s="185" t="s">
        <v>1334</v>
      </c>
      <c r="V574" s="185">
        <v>1200</v>
      </c>
      <c r="W574" s="185">
        <v>14050</v>
      </c>
      <c r="X574" s="187">
        <v>12459.15</v>
      </c>
      <c r="Y574" s="185">
        <v>14056</v>
      </c>
      <c r="Z574" s="187">
        <v>7008.25</v>
      </c>
      <c r="AA574" s="187">
        <v>0</v>
      </c>
      <c r="AB574" s="187">
        <v>5450.9</v>
      </c>
      <c r="AC574" s="187">
        <v>346.08</v>
      </c>
      <c r="AD574" s="185">
        <v>54260</v>
      </c>
      <c r="AE574" s="187">
        <v>86.52</v>
      </c>
      <c r="AF574" s="187">
        <v>0</v>
      </c>
      <c r="AG574" s="187">
        <v>86.52</v>
      </c>
      <c r="AH574" s="185" t="s">
        <v>989</v>
      </c>
      <c r="AI574" s="185"/>
      <c r="AJ574" s="185"/>
      <c r="AK574" s="185" t="s">
        <v>45</v>
      </c>
      <c r="AL574" s="185" t="s">
        <v>2267</v>
      </c>
      <c r="AM574" s="185" t="s">
        <v>2269</v>
      </c>
      <c r="AN574" s="196"/>
      <c r="AO574" s="196"/>
      <c r="AP574" s="195"/>
      <c r="AQ574" s="194"/>
      <c r="AR574" s="193"/>
      <c r="AS574" s="192"/>
      <c r="AT574" s="192"/>
      <c r="AU574" s="192"/>
      <c r="AV574" s="192"/>
      <c r="AW574" s="191"/>
      <c r="AX574" s="190" t="s">
        <v>72</v>
      </c>
      <c r="AY574" s="184"/>
    </row>
    <row r="575" spans="2:51">
      <c r="B575" s="185">
        <v>2183</v>
      </c>
      <c r="C575" s="189">
        <v>184511</v>
      </c>
      <c r="D575" s="185" t="s">
        <v>989</v>
      </c>
      <c r="E575" s="185" t="s">
        <v>2003</v>
      </c>
      <c r="F575" s="185" t="s">
        <v>612</v>
      </c>
      <c r="G575" s="185"/>
      <c r="H575" s="185"/>
      <c r="I575" s="188">
        <v>20</v>
      </c>
      <c r="J575" s="185"/>
      <c r="K575" s="188">
        <v>0</v>
      </c>
      <c r="L575" s="185" t="s">
        <v>1333</v>
      </c>
      <c r="M575" s="185"/>
      <c r="N575" s="185" t="s">
        <v>2190</v>
      </c>
      <c r="O575" s="185" t="s">
        <v>2184</v>
      </c>
      <c r="P575" s="185"/>
      <c r="Q575" s="185" t="s">
        <v>2203</v>
      </c>
      <c r="R575" s="185" t="s">
        <v>2195</v>
      </c>
      <c r="S575" s="186">
        <v>42933</v>
      </c>
      <c r="T575" s="186">
        <v>42933</v>
      </c>
      <c r="U575" s="185" t="s">
        <v>1334</v>
      </c>
      <c r="V575" s="185">
        <v>1200</v>
      </c>
      <c r="W575" s="185">
        <v>14050</v>
      </c>
      <c r="X575" s="187">
        <v>13410.54</v>
      </c>
      <c r="Y575" s="185">
        <v>14056</v>
      </c>
      <c r="Z575" s="187">
        <v>7543.46</v>
      </c>
      <c r="AA575" s="187">
        <v>0</v>
      </c>
      <c r="AB575" s="187">
        <v>5867.0800000000008</v>
      </c>
      <c r="AC575" s="187">
        <v>372.52</v>
      </c>
      <c r="AD575" s="185">
        <v>54260</v>
      </c>
      <c r="AE575" s="187">
        <v>93.13</v>
      </c>
      <c r="AF575" s="187">
        <v>0</v>
      </c>
      <c r="AG575" s="187">
        <v>93.13</v>
      </c>
      <c r="AH575" s="185" t="s">
        <v>989</v>
      </c>
      <c r="AI575" s="185"/>
      <c r="AJ575" s="185"/>
      <c r="AK575" s="185" t="s">
        <v>45</v>
      </c>
      <c r="AL575" s="185" t="s">
        <v>2267</v>
      </c>
      <c r="AM575" s="185" t="s">
        <v>2269</v>
      </c>
      <c r="AN575" s="196"/>
      <c r="AO575" s="196"/>
      <c r="AP575" s="195"/>
      <c r="AQ575" s="194"/>
      <c r="AR575" s="193"/>
      <c r="AS575" s="192"/>
      <c r="AT575" s="192"/>
      <c r="AU575" s="192"/>
      <c r="AV575" s="192"/>
      <c r="AW575" s="191"/>
      <c r="AX575" s="190" t="s">
        <v>72</v>
      </c>
      <c r="AY575" s="184"/>
    </row>
    <row r="576" spans="2:51">
      <c r="B576" s="185">
        <v>2183</v>
      </c>
      <c r="C576" s="189">
        <v>184510</v>
      </c>
      <c r="D576" s="185" t="s">
        <v>989</v>
      </c>
      <c r="E576" s="185" t="s">
        <v>2003</v>
      </c>
      <c r="F576" s="185" t="s">
        <v>613</v>
      </c>
      <c r="G576" s="185"/>
      <c r="H576" s="185"/>
      <c r="I576" s="188">
        <v>20</v>
      </c>
      <c r="J576" s="185"/>
      <c r="K576" s="188">
        <v>0</v>
      </c>
      <c r="L576" s="185" t="s">
        <v>1333</v>
      </c>
      <c r="M576" s="185"/>
      <c r="N576" s="185" t="s">
        <v>2190</v>
      </c>
      <c r="O576" s="185" t="s">
        <v>2184</v>
      </c>
      <c r="P576" s="185"/>
      <c r="Q576" s="185" t="s">
        <v>2209</v>
      </c>
      <c r="R576" s="185" t="s">
        <v>2195</v>
      </c>
      <c r="S576" s="186">
        <v>42933</v>
      </c>
      <c r="T576" s="186">
        <v>42933</v>
      </c>
      <c r="U576" s="185" t="s">
        <v>1334</v>
      </c>
      <c r="V576" s="185">
        <v>1200</v>
      </c>
      <c r="W576" s="185">
        <v>14050</v>
      </c>
      <c r="X576" s="187">
        <v>10208.879999999999</v>
      </c>
      <c r="Y576" s="185">
        <v>14056</v>
      </c>
      <c r="Z576" s="187">
        <v>5742.52</v>
      </c>
      <c r="AA576" s="187">
        <v>0</v>
      </c>
      <c r="AB576" s="187">
        <v>4466.3599999999988</v>
      </c>
      <c r="AC576" s="187">
        <v>283.60000000000002</v>
      </c>
      <c r="AD576" s="185">
        <v>54260</v>
      </c>
      <c r="AE576" s="187">
        <v>70.900000000000006</v>
      </c>
      <c r="AF576" s="187">
        <v>0</v>
      </c>
      <c r="AG576" s="187">
        <v>70.900000000000006</v>
      </c>
      <c r="AH576" s="185" t="s">
        <v>989</v>
      </c>
      <c r="AI576" s="185"/>
      <c r="AJ576" s="185"/>
      <c r="AK576" s="185" t="s">
        <v>45</v>
      </c>
      <c r="AL576" s="185" t="s">
        <v>2267</v>
      </c>
      <c r="AM576" s="185" t="s">
        <v>2269</v>
      </c>
      <c r="AN576" s="196"/>
      <c r="AO576" s="196"/>
      <c r="AP576" s="195"/>
      <c r="AQ576" s="194"/>
      <c r="AR576" s="193"/>
      <c r="AS576" s="192"/>
      <c r="AT576" s="192"/>
      <c r="AU576" s="192"/>
      <c r="AV576" s="192"/>
      <c r="AW576" s="191"/>
      <c r="AX576" s="190" t="s">
        <v>72</v>
      </c>
      <c r="AY576" s="184"/>
    </row>
    <row r="577" spans="2:51">
      <c r="B577" s="185">
        <v>2183</v>
      </c>
      <c r="C577" s="189">
        <v>184509</v>
      </c>
      <c r="D577" s="185" t="s">
        <v>989</v>
      </c>
      <c r="E577" s="185" t="s">
        <v>2003</v>
      </c>
      <c r="F577" s="185" t="s">
        <v>1329</v>
      </c>
      <c r="G577" s="185"/>
      <c r="H577" s="185"/>
      <c r="I577" s="188">
        <v>9</v>
      </c>
      <c r="J577" s="185"/>
      <c r="K577" s="188">
        <v>0</v>
      </c>
      <c r="L577" s="185" t="s">
        <v>1059</v>
      </c>
      <c r="M577" s="185"/>
      <c r="N577" s="185" t="s">
        <v>2190</v>
      </c>
      <c r="O577" s="185" t="s">
        <v>2184</v>
      </c>
      <c r="P577" s="185"/>
      <c r="Q577" s="185" t="s">
        <v>2191</v>
      </c>
      <c r="R577" s="185" t="s">
        <v>2192</v>
      </c>
      <c r="S577" s="186">
        <v>42941</v>
      </c>
      <c r="T577" s="186">
        <v>42941</v>
      </c>
      <c r="U577" s="185" t="s">
        <v>1328</v>
      </c>
      <c r="V577" s="185">
        <v>1200</v>
      </c>
      <c r="W577" s="185">
        <v>14050</v>
      </c>
      <c r="X577" s="187">
        <v>55575</v>
      </c>
      <c r="Y577" s="185">
        <v>14056</v>
      </c>
      <c r="Z577" s="187">
        <v>31260.95</v>
      </c>
      <c r="AA577" s="187">
        <v>0</v>
      </c>
      <c r="AB577" s="187">
        <v>24314.05</v>
      </c>
      <c r="AC577" s="187">
        <v>1543.76</v>
      </c>
      <c r="AD577" s="185">
        <v>54260</v>
      </c>
      <c r="AE577" s="187">
        <v>385.94</v>
      </c>
      <c r="AF577" s="187">
        <v>0</v>
      </c>
      <c r="AG577" s="187">
        <v>385.94</v>
      </c>
      <c r="AH577" s="185" t="s">
        <v>989</v>
      </c>
      <c r="AI577" s="185"/>
      <c r="AJ577" s="185"/>
      <c r="AK577" s="185" t="s">
        <v>45</v>
      </c>
      <c r="AL577" s="185" t="s">
        <v>2267</v>
      </c>
      <c r="AM577" s="185" t="s">
        <v>2269</v>
      </c>
      <c r="AN577" s="196"/>
      <c r="AO577" s="196"/>
      <c r="AP577" s="195"/>
      <c r="AQ577" s="194"/>
      <c r="AR577" s="193"/>
      <c r="AS577" s="192"/>
      <c r="AT577" s="192"/>
      <c r="AU577" s="192"/>
      <c r="AV577" s="192"/>
      <c r="AW577" s="191"/>
      <c r="AX577" s="190" t="s">
        <v>72</v>
      </c>
      <c r="AY577" s="184"/>
    </row>
    <row r="578" spans="2:51">
      <c r="B578" s="185">
        <v>2183</v>
      </c>
      <c r="C578" s="189">
        <v>183938</v>
      </c>
      <c r="D578" s="185" t="s">
        <v>989</v>
      </c>
      <c r="E578" s="185" t="s">
        <v>2003</v>
      </c>
      <c r="F578" s="185" t="s">
        <v>614</v>
      </c>
      <c r="G578" s="185"/>
      <c r="H578" s="185"/>
      <c r="I578" s="188">
        <v>624</v>
      </c>
      <c r="J578" s="185"/>
      <c r="K578" s="188">
        <v>0</v>
      </c>
      <c r="L578" s="185" t="s">
        <v>1129</v>
      </c>
      <c r="M578" s="185"/>
      <c r="N578" s="185" t="s">
        <v>2190</v>
      </c>
      <c r="O578" s="185" t="s">
        <v>2184</v>
      </c>
      <c r="P578" s="185"/>
      <c r="Q578" s="185"/>
      <c r="R578" s="185"/>
      <c r="S578" s="186">
        <v>42888</v>
      </c>
      <c r="T578" s="186">
        <v>42888</v>
      </c>
      <c r="U578" s="185" t="s">
        <v>1335</v>
      </c>
      <c r="V578" s="185">
        <v>700</v>
      </c>
      <c r="W578" s="185">
        <v>14050</v>
      </c>
      <c r="X578" s="187">
        <v>32107.98</v>
      </c>
      <c r="Y578" s="185">
        <v>14056</v>
      </c>
      <c r="Z578" s="187">
        <v>31725.79</v>
      </c>
      <c r="AA578" s="187">
        <v>0</v>
      </c>
      <c r="AB578" s="187">
        <v>382.18999999999869</v>
      </c>
      <c r="AC578" s="187">
        <v>1528.96</v>
      </c>
      <c r="AD578" s="185">
        <v>54260</v>
      </c>
      <c r="AE578" s="187">
        <v>382.24</v>
      </c>
      <c r="AF578" s="187">
        <v>0</v>
      </c>
      <c r="AG578" s="187">
        <v>382.24</v>
      </c>
      <c r="AH578" s="185" t="s">
        <v>989</v>
      </c>
      <c r="AI578" s="185"/>
      <c r="AJ578" s="185"/>
      <c r="AK578" s="185" t="s">
        <v>45</v>
      </c>
      <c r="AL578" s="185" t="s">
        <v>2267</v>
      </c>
      <c r="AM578" s="185" t="s">
        <v>2269</v>
      </c>
      <c r="AN578" s="196"/>
      <c r="AO578" s="196"/>
      <c r="AP578" s="195"/>
      <c r="AQ578" s="194"/>
      <c r="AR578" s="193"/>
      <c r="AS578" s="192"/>
      <c r="AT578" s="192"/>
      <c r="AU578" s="192"/>
      <c r="AV578" s="192"/>
      <c r="AW578" s="191"/>
      <c r="AX578" s="190" t="s">
        <v>72</v>
      </c>
      <c r="AY578" s="184"/>
    </row>
    <row r="579" spans="2:51">
      <c r="B579" s="185">
        <v>2183</v>
      </c>
      <c r="C579" s="189">
        <v>183937</v>
      </c>
      <c r="D579" s="185" t="s">
        <v>989</v>
      </c>
      <c r="E579" s="185" t="s">
        <v>2003</v>
      </c>
      <c r="F579" s="185" t="s">
        <v>615</v>
      </c>
      <c r="G579" s="185"/>
      <c r="H579" s="185"/>
      <c r="I579" s="188">
        <v>945</v>
      </c>
      <c r="J579" s="185"/>
      <c r="K579" s="188">
        <v>0</v>
      </c>
      <c r="L579" s="185" t="s">
        <v>1129</v>
      </c>
      <c r="M579" s="185"/>
      <c r="N579" s="185" t="s">
        <v>2190</v>
      </c>
      <c r="O579" s="185" t="s">
        <v>2184</v>
      </c>
      <c r="P579" s="185"/>
      <c r="Q579" s="185"/>
      <c r="R579" s="185"/>
      <c r="S579" s="186">
        <v>42888</v>
      </c>
      <c r="T579" s="186">
        <v>42888</v>
      </c>
      <c r="U579" s="185" t="s">
        <v>1335</v>
      </c>
      <c r="V579" s="185">
        <v>700</v>
      </c>
      <c r="W579" s="185">
        <v>14050</v>
      </c>
      <c r="X579" s="187">
        <v>38071.93</v>
      </c>
      <c r="Y579" s="185">
        <v>14056</v>
      </c>
      <c r="Z579" s="187">
        <v>37618.720000000001</v>
      </c>
      <c r="AA579" s="187">
        <v>0</v>
      </c>
      <c r="AB579" s="187">
        <v>453.20999999999913</v>
      </c>
      <c r="AC579" s="187">
        <v>1812.96</v>
      </c>
      <c r="AD579" s="185">
        <v>54260</v>
      </c>
      <c r="AE579" s="187">
        <v>453.24</v>
      </c>
      <c r="AF579" s="187">
        <v>0</v>
      </c>
      <c r="AG579" s="187">
        <v>453.24</v>
      </c>
      <c r="AH579" s="185" t="s">
        <v>989</v>
      </c>
      <c r="AI579" s="185"/>
      <c r="AJ579" s="185"/>
      <c r="AK579" s="185" t="s">
        <v>45</v>
      </c>
      <c r="AL579" s="185" t="s">
        <v>2267</v>
      </c>
      <c r="AM579" s="185" t="s">
        <v>2269</v>
      </c>
      <c r="AN579" s="196"/>
      <c r="AO579" s="196"/>
      <c r="AP579" s="195"/>
      <c r="AQ579" s="194"/>
      <c r="AR579" s="193"/>
      <c r="AS579" s="192"/>
      <c r="AT579" s="192"/>
      <c r="AU579" s="192"/>
      <c r="AV579" s="192"/>
      <c r="AW579" s="191"/>
      <c r="AX579" s="190" t="s">
        <v>72</v>
      </c>
      <c r="AY579" s="184"/>
    </row>
    <row r="580" spans="2:51">
      <c r="B580" s="185">
        <v>2183</v>
      </c>
      <c r="C580" s="189">
        <v>183936</v>
      </c>
      <c r="D580" s="185" t="s">
        <v>989</v>
      </c>
      <c r="E580" s="185" t="s">
        <v>2003</v>
      </c>
      <c r="F580" s="185" t="s">
        <v>616</v>
      </c>
      <c r="G580" s="185"/>
      <c r="H580" s="185"/>
      <c r="I580" s="188">
        <v>624</v>
      </c>
      <c r="J580" s="185"/>
      <c r="K580" s="188">
        <v>0</v>
      </c>
      <c r="L580" s="185" t="s">
        <v>1129</v>
      </c>
      <c r="M580" s="185"/>
      <c r="N580" s="185" t="s">
        <v>2190</v>
      </c>
      <c r="O580" s="185" t="s">
        <v>2184</v>
      </c>
      <c r="P580" s="185"/>
      <c r="Q580" s="185"/>
      <c r="R580" s="185"/>
      <c r="S580" s="186">
        <v>42888</v>
      </c>
      <c r="T580" s="186">
        <v>42888</v>
      </c>
      <c r="U580" s="185" t="s">
        <v>1335</v>
      </c>
      <c r="V580" s="185">
        <v>700</v>
      </c>
      <c r="W580" s="185">
        <v>14050</v>
      </c>
      <c r="X580" s="187">
        <v>32107.98</v>
      </c>
      <c r="Y580" s="185">
        <v>14056</v>
      </c>
      <c r="Z580" s="187">
        <v>31725.79</v>
      </c>
      <c r="AA580" s="187">
        <v>0</v>
      </c>
      <c r="AB580" s="187">
        <v>382.18999999999869</v>
      </c>
      <c r="AC580" s="187">
        <v>1528.96</v>
      </c>
      <c r="AD580" s="185">
        <v>54260</v>
      </c>
      <c r="AE580" s="187">
        <v>382.24</v>
      </c>
      <c r="AF580" s="187">
        <v>0</v>
      </c>
      <c r="AG580" s="187">
        <v>382.24</v>
      </c>
      <c r="AH580" s="185" t="s">
        <v>989</v>
      </c>
      <c r="AI580" s="185"/>
      <c r="AJ580" s="185"/>
      <c r="AK580" s="185" t="s">
        <v>45</v>
      </c>
      <c r="AL580" s="185" t="s">
        <v>2267</v>
      </c>
      <c r="AM580" s="185" t="s">
        <v>2269</v>
      </c>
      <c r="AN580" s="196"/>
      <c r="AO580" s="196"/>
      <c r="AP580" s="195"/>
      <c r="AQ580" s="194"/>
      <c r="AR580" s="193"/>
      <c r="AS580" s="192"/>
      <c r="AT580" s="192"/>
      <c r="AU580" s="192"/>
      <c r="AV580" s="192"/>
      <c r="AW580" s="191"/>
      <c r="AX580" s="190" t="s">
        <v>72</v>
      </c>
      <c r="AY580" s="184"/>
    </row>
    <row r="581" spans="2:51">
      <c r="B581" s="185">
        <v>2183</v>
      </c>
      <c r="C581" s="189">
        <v>182636</v>
      </c>
      <c r="D581" s="185" t="s">
        <v>989</v>
      </c>
      <c r="E581" s="185" t="s">
        <v>2003</v>
      </c>
      <c r="F581" s="185" t="s">
        <v>1336</v>
      </c>
      <c r="G581" s="185"/>
      <c r="H581" s="185"/>
      <c r="I581" s="188">
        <v>3</v>
      </c>
      <c r="J581" s="185"/>
      <c r="K581" s="188">
        <v>0</v>
      </c>
      <c r="L581" s="185" t="s">
        <v>1059</v>
      </c>
      <c r="M581" s="185"/>
      <c r="N581" s="185" t="s">
        <v>2190</v>
      </c>
      <c r="O581" s="185" t="s">
        <v>2184</v>
      </c>
      <c r="P581" s="185"/>
      <c r="Q581" s="185" t="s">
        <v>2193</v>
      </c>
      <c r="R581" s="185" t="s">
        <v>2192</v>
      </c>
      <c r="S581" s="186">
        <v>42886</v>
      </c>
      <c r="T581" s="186">
        <v>42886</v>
      </c>
      <c r="U581" s="185" t="s">
        <v>1337</v>
      </c>
      <c r="V581" s="185">
        <v>1200</v>
      </c>
      <c r="W581" s="185">
        <v>14050</v>
      </c>
      <c r="X581" s="187">
        <v>21435</v>
      </c>
      <c r="Y581" s="185">
        <v>14056</v>
      </c>
      <c r="Z581" s="187">
        <v>12354.88</v>
      </c>
      <c r="AA581" s="187">
        <v>0</v>
      </c>
      <c r="AB581" s="187">
        <v>9080.1200000000008</v>
      </c>
      <c r="AC581" s="187">
        <v>595.4</v>
      </c>
      <c r="AD581" s="185">
        <v>54260</v>
      </c>
      <c r="AE581" s="187">
        <v>148.85</v>
      </c>
      <c r="AF581" s="187">
        <v>0</v>
      </c>
      <c r="AG581" s="187">
        <v>148.85</v>
      </c>
      <c r="AH581" s="185" t="s">
        <v>989</v>
      </c>
      <c r="AI581" s="185"/>
      <c r="AJ581" s="185"/>
      <c r="AK581" s="185" t="s">
        <v>45</v>
      </c>
      <c r="AL581" s="185" t="s">
        <v>2267</v>
      </c>
      <c r="AM581" s="185" t="s">
        <v>2269</v>
      </c>
      <c r="AN581" s="196"/>
      <c r="AO581" s="196"/>
      <c r="AP581" s="195"/>
      <c r="AQ581" s="194"/>
      <c r="AR581" s="193"/>
      <c r="AS581" s="192"/>
      <c r="AT581" s="192"/>
      <c r="AU581" s="192"/>
      <c r="AV581" s="192"/>
      <c r="AW581" s="191"/>
      <c r="AX581" s="190" t="s">
        <v>72</v>
      </c>
      <c r="AY581" s="184"/>
    </row>
    <row r="582" spans="2:51">
      <c r="B582" s="185">
        <v>2183</v>
      </c>
      <c r="C582" s="189">
        <v>182635</v>
      </c>
      <c r="D582" s="185" t="s">
        <v>989</v>
      </c>
      <c r="E582" s="185" t="s">
        <v>2003</v>
      </c>
      <c r="F582" s="185" t="s">
        <v>618</v>
      </c>
      <c r="G582" s="185"/>
      <c r="H582" s="185"/>
      <c r="I582" s="188">
        <v>624</v>
      </c>
      <c r="J582" s="185"/>
      <c r="K582" s="188">
        <v>0</v>
      </c>
      <c r="L582" s="185" t="s">
        <v>1129</v>
      </c>
      <c r="M582" s="185"/>
      <c r="N582" s="185" t="s">
        <v>2190</v>
      </c>
      <c r="O582" s="185" t="s">
        <v>2184</v>
      </c>
      <c r="P582" s="185"/>
      <c r="Q582" s="185"/>
      <c r="R582" s="185"/>
      <c r="S582" s="186">
        <v>42888</v>
      </c>
      <c r="T582" s="186">
        <v>42888</v>
      </c>
      <c r="U582" s="185" t="s">
        <v>1335</v>
      </c>
      <c r="V582" s="185">
        <v>700</v>
      </c>
      <c r="W582" s="185">
        <v>14050</v>
      </c>
      <c r="X582" s="187">
        <v>32816.83</v>
      </c>
      <c r="Y582" s="185">
        <v>14056</v>
      </c>
      <c r="Z582" s="187">
        <v>32426.18</v>
      </c>
      <c r="AA582" s="187">
        <v>0</v>
      </c>
      <c r="AB582" s="187">
        <v>390.65000000000146</v>
      </c>
      <c r="AC582" s="187">
        <v>1562.72</v>
      </c>
      <c r="AD582" s="185">
        <v>54260</v>
      </c>
      <c r="AE582" s="187">
        <v>390.68</v>
      </c>
      <c r="AF582" s="187">
        <v>0</v>
      </c>
      <c r="AG582" s="187">
        <v>390.68</v>
      </c>
      <c r="AH582" s="185" t="s">
        <v>989</v>
      </c>
      <c r="AI582" s="185"/>
      <c r="AJ582" s="185"/>
      <c r="AK582" s="185" t="s">
        <v>45</v>
      </c>
      <c r="AL582" s="185" t="s">
        <v>2267</v>
      </c>
      <c r="AM582" s="185" t="s">
        <v>2269</v>
      </c>
      <c r="AN582" s="196"/>
      <c r="AO582" s="196"/>
      <c r="AP582" s="195"/>
      <c r="AQ582" s="194"/>
      <c r="AR582" s="193"/>
      <c r="AS582" s="192"/>
      <c r="AT582" s="192"/>
      <c r="AU582" s="192"/>
      <c r="AV582" s="192"/>
      <c r="AW582" s="191"/>
      <c r="AX582" s="190" t="s">
        <v>72</v>
      </c>
      <c r="AY582" s="184"/>
    </row>
    <row r="583" spans="2:51">
      <c r="B583" s="185">
        <v>2183</v>
      </c>
      <c r="C583" s="189">
        <v>182634</v>
      </c>
      <c r="D583" s="185" t="s">
        <v>989</v>
      </c>
      <c r="E583" s="185" t="s">
        <v>2003</v>
      </c>
      <c r="F583" s="185" t="s">
        <v>619</v>
      </c>
      <c r="G583" s="185"/>
      <c r="H583" s="185"/>
      <c r="I583" s="188">
        <v>864</v>
      </c>
      <c r="J583" s="185"/>
      <c r="K583" s="188">
        <v>0</v>
      </c>
      <c r="L583" s="185" t="s">
        <v>1129</v>
      </c>
      <c r="M583" s="185"/>
      <c r="N583" s="185" t="s">
        <v>2190</v>
      </c>
      <c r="O583" s="185" t="s">
        <v>2184</v>
      </c>
      <c r="P583" s="185"/>
      <c r="Q583" s="185"/>
      <c r="R583" s="185"/>
      <c r="S583" s="186">
        <v>42878</v>
      </c>
      <c r="T583" s="186">
        <v>42878</v>
      </c>
      <c r="U583" s="185" t="s">
        <v>1335</v>
      </c>
      <c r="V583" s="185">
        <v>700</v>
      </c>
      <c r="W583" s="185">
        <v>14050</v>
      </c>
      <c r="X583" s="187">
        <v>38790.980000000003</v>
      </c>
      <c r="Y583" s="185">
        <v>14056</v>
      </c>
      <c r="Z583" s="187">
        <v>38329.199999999997</v>
      </c>
      <c r="AA583" s="187">
        <v>0</v>
      </c>
      <c r="AB583" s="187">
        <v>461.78000000000611</v>
      </c>
      <c r="AC583" s="187">
        <v>1847.2</v>
      </c>
      <c r="AD583" s="185">
        <v>54260</v>
      </c>
      <c r="AE583" s="187">
        <v>461.8</v>
      </c>
      <c r="AF583" s="187">
        <v>0</v>
      </c>
      <c r="AG583" s="187">
        <v>461.8</v>
      </c>
      <c r="AH583" s="185" t="s">
        <v>989</v>
      </c>
      <c r="AI583" s="185"/>
      <c r="AJ583" s="185"/>
      <c r="AK583" s="185" t="s">
        <v>45</v>
      </c>
      <c r="AL583" s="185" t="s">
        <v>2267</v>
      </c>
      <c r="AM583" s="185" t="s">
        <v>2269</v>
      </c>
      <c r="AN583" s="196"/>
      <c r="AO583" s="196"/>
      <c r="AP583" s="195"/>
      <c r="AQ583" s="194"/>
      <c r="AR583" s="193"/>
      <c r="AS583" s="192"/>
      <c r="AT583" s="192"/>
      <c r="AU583" s="192"/>
      <c r="AV583" s="192"/>
      <c r="AW583" s="191"/>
      <c r="AX583" s="190" t="s">
        <v>72</v>
      </c>
      <c r="AY583" s="184"/>
    </row>
    <row r="584" spans="2:51">
      <c r="B584" s="185">
        <v>2183</v>
      </c>
      <c r="C584" s="189">
        <v>182597</v>
      </c>
      <c r="D584" s="185" t="s">
        <v>989</v>
      </c>
      <c r="E584" s="185" t="s">
        <v>2003</v>
      </c>
      <c r="F584" s="185" t="s">
        <v>1336</v>
      </c>
      <c r="G584" s="185"/>
      <c r="H584" s="185"/>
      <c r="I584" s="188">
        <v>4</v>
      </c>
      <c r="J584" s="185"/>
      <c r="K584" s="188">
        <v>0</v>
      </c>
      <c r="L584" s="185" t="s">
        <v>1059</v>
      </c>
      <c r="M584" s="185"/>
      <c r="N584" s="185" t="s">
        <v>2190</v>
      </c>
      <c r="O584" s="185" t="s">
        <v>2184</v>
      </c>
      <c r="P584" s="185"/>
      <c r="Q584" s="185" t="s">
        <v>2193</v>
      </c>
      <c r="R584" s="185" t="s">
        <v>2192</v>
      </c>
      <c r="S584" s="186">
        <v>42886</v>
      </c>
      <c r="T584" s="186">
        <v>42886</v>
      </c>
      <c r="U584" s="185" t="s">
        <v>1337</v>
      </c>
      <c r="V584" s="185">
        <v>1200</v>
      </c>
      <c r="W584" s="185">
        <v>14050</v>
      </c>
      <c r="X584" s="187">
        <v>28580</v>
      </c>
      <c r="Y584" s="185">
        <v>14056</v>
      </c>
      <c r="Z584" s="187">
        <v>16473.21</v>
      </c>
      <c r="AA584" s="187">
        <v>0</v>
      </c>
      <c r="AB584" s="187">
        <v>12106.79</v>
      </c>
      <c r="AC584" s="187">
        <v>793.88</v>
      </c>
      <c r="AD584" s="185">
        <v>54260</v>
      </c>
      <c r="AE584" s="187">
        <v>198.47</v>
      </c>
      <c r="AF584" s="187">
        <v>0</v>
      </c>
      <c r="AG584" s="187">
        <v>198.47</v>
      </c>
      <c r="AH584" s="185" t="s">
        <v>989</v>
      </c>
      <c r="AI584" s="185"/>
      <c r="AJ584" s="185"/>
      <c r="AK584" s="185" t="s">
        <v>45</v>
      </c>
      <c r="AL584" s="185" t="s">
        <v>2267</v>
      </c>
      <c r="AM584" s="185" t="s">
        <v>2269</v>
      </c>
      <c r="AN584" s="196"/>
      <c r="AO584" s="196"/>
      <c r="AP584" s="195"/>
      <c r="AQ584" s="194"/>
      <c r="AR584" s="193"/>
      <c r="AS584" s="192"/>
      <c r="AT584" s="192"/>
      <c r="AU584" s="192"/>
      <c r="AV584" s="192"/>
      <c r="AW584" s="191"/>
      <c r="AX584" s="190" t="s">
        <v>72</v>
      </c>
      <c r="AY584" s="184"/>
    </row>
    <row r="585" spans="2:51">
      <c r="B585" s="185">
        <v>2183</v>
      </c>
      <c r="C585" s="189">
        <v>182548</v>
      </c>
      <c r="D585" s="185" t="s">
        <v>989</v>
      </c>
      <c r="E585" s="185" t="s">
        <v>2003</v>
      </c>
      <c r="F585" s="185" t="s">
        <v>1336</v>
      </c>
      <c r="G585" s="185"/>
      <c r="H585" s="185"/>
      <c r="I585" s="188">
        <v>3</v>
      </c>
      <c r="J585" s="185"/>
      <c r="K585" s="188">
        <v>0</v>
      </c>
      <c r="L585" s="185" t="s">
        <v>1059</v>
      </c>
      <c r="M585" s="185"/>
      <c r="N585" s="185" t="s">
        <v>2190</v>
      </c>
      <c r="O585" s="185" t="s">
        <v>2184</v>
      </c>
      <c r="P585" s="185"/>
      <c r="Q585" s="185" t="s">
        <v>2193</v>
      </c>
      <c r="R585" s="185" t="s">
        <v>2192</v>
      </c>
      <c r="S585" s="186">
        <v>42886</v>
      </c>
      <c r="T585" s="186">
        <v>42886</v>
      </c>
      <c r="U585" s="185" t="s">
        <v>1337</v>
      </c>
      <c r="V585" s="185">
        <v>1200</v>
      </c>
      <c r="W585" s="185">
        <v>14050</v>
      </c>
      <c r="X585" s="187">
        <v>21435</v>
      </c>
      <c r="Y585" s="185">
        <v>14056</v>
      </c>
      <c r="Z585" s="187">
        <v>12354.88</v>
      </c>
      <c r="AA585" s="187">
        <v>0</v>
      </c>
      <c r="AB585" s="187">
        <v>9080.1200000000008</v>
      </c>
      <c r="AC585" s="187">
        <v>595.4</v>
      </c>
      <c r="AD585" s="185">
        <v>54260</v>
      </c>
      <c r="AE585" s="187">
        <v>148.85</v>
      </c>
      <c r="AF585" s="187">
        <v>0</v>
      </c>
      <c r="AG585" s="187">
        <v>148.85</v>
      </c>
      <c r="AH585" s="185" t="s">
        <v>989</v>
      </c>
      <c r="AI585" s="185"/>
      <c r="AJ585" s="185"/>
      <c r="AK585" s="185" t="s">
        <v>45</v>
      </c>
      <c r="AL585" s="185" t="s">
        <v>2267</v>
      </c>
      <c r="AM585" s="185" t="s">
        <v>2269</v>
      </c>
      <c r="AN585" s="196"/>
      <c r="AO585" s="196"/>
      <c r="AP585" s="195"/>
      <c r="AQ585" s="194"/>
      <c r="AR585" s="193"/>
      <c r="AS585" s="192"/>
      <c r="AT585" s="192"/>
      <c r="AU585" s="192"/>
      <c r="AV585" s="192"/>
      <c r="AW585" s="191"/>
      <c r="AX585" s="190" t="s">
        <v>72</v>
      </c>
      <c r="AY585" s="184"/>
    </row>
    <row r="586" spans="2:51">
      <c r="B586" s="185">
        <v>2183</v>
      </c>
      <c r="C586" s="189">
        <v>181061</v>
      </c>
      <c r="D586" s="185" t="s">
        <v>989</v>
      </c>
      <c r="E586" s="185" t="s">
        <v>2003</v>
      </c>
      <c r="F586" s="185" t="s">
        <v>620</v>
      </c>
      <c r="G586" s="185"/>
      <c r="H586" s="185"/>
      <c r="I586" s="188">
        <v>864</v>
      </c>
      <c r="J586" s="185"/>
      <c r="K586" s="188">
        <v>0</v>
      </c>
      <c r="L586" s="185" t="s">
        <v>1129</v>
      </c>
      <c r="M586" s="185"/>
      <c r="N586" s="185" t="s">
        <v>2190</v>
      </c>
      <c r="O586" s="185" t="s">
        <v>2184</v>
      </c>
      <c r="P586" s="185"/>
      <c r="Q586" s="185"/>
      <c r="R586" s="185"/>
      <c r="S586" s="186">
        <v>42846</v>
      </c>
      <c r="T586" s="186">
        <v>42846</v>
      </c>
      <c r="U586" s="185" t="s">
        <v>1335</v>
      </c>
      <c r="V586" s="185">
        <v>700</v>
      </c>
      <c r="W586" s="185">
        <v>14050</v>
      </c>
      <c r="X586" s="187">
        <v>38790.9</v>
      </c>
      <c r="Y586" s="185">
        <v>14056</v>
      </c>
      <c r="Z586" s="187">
        <v>38790.9</v>
      </c>
      <c r="AA586" s="187">
        <v>0</v>
      </c>
      <c r="AB586" s="187">
        <v>0</v>
      </c>
      <c r="AC586" s="187">
        <v>1847.17</v>
      </c>
      <c r="AD586" s="185">
        <v>54260</v>
      </c>
      <c r="AE586" s="187">
        <v>461.77</v>
      </c>
      <c r="AF586" s="187">
        <v>0</v>
      </c>
      <c r="AG586" s="187">
        <v>461.77</v>
      </c>
      <c r="AH586" s="185" t="s">
        <v>989</v>
      </c>
      <c r="AI586" s="185"/>
      <c r="AJ586" s="185"/>
      <c r="AK586" s="185" t="s">
        <v>45</v>
      </c>
      <c r="AL586" s="185" t="s">
        <v>2267</v>
      </c>
      <c r="AM586" s="185" t="s">
        <v>2269</v>
      </c>
      <c r="AN586" s="196"/>
      <c r="AO586" s="196"/>
      <c r="AP586" s="195"/>
      <c r="AQ586" s="194"/>
      <c r="AR586" s="193"/>
      <c r="AS586" s="192"/>
      <c r="AT586" s="192"/>
      <c r="AU586" s="192"/>
      <c r="AV586" s="192"/>
      <c r="AW586" s="191"/>
      <c r="AX586" s="190" t="s">
        <v>72</v>
      </c>
      <c r="AY586" s="184"/>
    </row>
    <row r="587" spans="2:51">
      <c r="B587" s="185">
        <v>2183</v>
      </c>
      <c r="C587" s="189">
        <v>179026</v>
      </c>
      <c r="D587" s="185" t="s">
        <v>989</v>
      </c>
      <c r="E587" s="185" t="s">
        <v>2003</v>
      </c>
      <c r="F587" s="185" t="s">
        <v>621</v>
      </c>
      <c r="G587" s="185"/>
      <c r="H587" s="185"/>
      <c r="I587" s="188">
        <v>945</v>
      </c>
      <c r="J587" s="185"/>
      <c r="K587" s="188">
        <v>0</v>
      </c>
      <c r="L587" s="185" t="s">
        <v>1129</v>
      </c>
      <c r="M587" s="185"/>
      <c r="N587" s="185" t="s">
        <v>2190</v>
      </c>
      <c r="O587" s="185" t="s">
        <v>2184</v>
      </c>
      <c r="P587" s="185"/>
      <c r="Q587" s="185"/>
      <c r="R587" s="185"/>
      <c r="S587" s="186">
        <v>42811</v>
      </c>
      <c r="T587" s="186">
        <v>42811</v>
      </c>
      <c r="U587" s="185" t="s">
        <v>1338</v>
      </c>
      <c r="V587" s="185">
        <v>700</v>
      </c>
      <c r="W587" s="185">
        <v>14050</v>
      </c>
      <c r="X587" s="187">
        <v>37282.6</v>
      </c>
      <c r="Y587" s="185">
        <v>14056</v>
      </c>
      <c r="Z587" s="187">
        <v>37282.6</v>
      </c>
      <c r="AA587" s="187">
        <v>0</v>
      </c>
      <c r="AB587" s="187">
        <v>0</v>
      </c>
      <c r="AC587" s="187">
        <v>1331.49</v>
      </c>
      <c r="AD587" s="185">
        <v>54260</v>
      </c>
      <c r="AE587" s="187">
        <v>443.81</v>
      </c>
      <c r="AF587" s="187">
        <v>0</v>
      </c>
      <c r="AG587" s="187">
        <v>443.81</v>
      </c>
      <c r="AH587" s="185" t="s">
        <v>989</v>
      </c>
      <c r="AI587" s="185"/>
      <c r="AJ587" s="185"/>
      <c r="AK587" s="185" t="s">
        <v>45</v>
      </c>
      <c r="AL587" s="185" t="s">
        <v>2267</v>
      </c>
      <c r="AM587" s="185" t="s">
        <v>2269</v>
      </c>
      <c r="AN587" s="196"/>
      <c r="AO587" s="196"/>
      <c r="AP587" s="195"/>
      <c r="AQ587" s="194"/>
      <c r="AR587" s="193"/>
      <c r="AS587" s="192"/>
      <c r="AT587" s="192"/>
      <c r="AU587" s="192"/>
      <c r="AV587" s="192"/>
      <c r="AW587" s="191"/>
      <c r="AX587" s="190" t="s">
        <v>72</v>
      </c>
      <c r="AY587" s="184"/>
    </row>
    <row r="588" spans="2:51">
      <c r="B588" s="185">
        <v>2183</v>
      </c>
      <c r="C588" s="189">
        <v>178891</v>
      </c>
      <c r="D588" s="185" t="s">
        <v>989</v>
      </c>
      <c r="E588" s="185" t="s">
        <v>2003</v>
      </c>
      <c r="F588" s="185" t="s">
        <v>614</v>
      </c>
      <c r="G588" s="185"/>
      <c r="H588" s="185"/>
      <c r="I588" s="188">
        <v>624</v>
      </c>
      <c r="J588" s="185"/>
      <c r="K588" s="188">
        <v>0</v>
      </c>
      <c r="L588" s="185" t="s">
        <v>1129</v>
      </c>
      <c r="M588" s="185"/>
      <c r="N588" s="185" t="s">
        <v>2190</v>
      </c>
      <c r="O588" s="185" t="s">
        <v>2184</v>
      </c>
      <c r="P588" s="185"/>
      <c r="Q588" s="185"/>
      <c r="R588" s="185"/>
      <c r="S588" s="186">
        <v>42811</v>
      </c>
      <c r="T588" s="186">
        <v>42811</v>
      </c>
      <c r="U588" s="185" t="s">
        <v>1338</v>
      </c>
      <c r="V588" s="185">
        <v>700</v>
      </c>
      <c r="W588" s="185">
        <v>14050</v>
      </c>
      <c r="X588" s="187">
        <v>31795.97</v>
      </c>
      <c r="Y588" s="185">
        <v>14056</v>
      </c>
      <c r="Z588" s="187">
        <v>31795.97</v>
      </c>
      <c r="AA588" s="187">
        <v>0</v>
      </c>
      <c r="AB588" s="187">
        <v>0</v>
      </c>
      <c r="AC588" s="187">
        <v>1135.58</v>
      </c>
      <c r="AD588" s="185">
        <v>54260</v>
      </c>
      <c r="AE588" s="187">
        <v>378.54</v>
      </c>
      <c r="AF588" s="187">
        <v>0</v>
      </c>
      <c r="AG588" s="187">
        <v>378.54</v>
      </c>
      <c r="AH588" s="185" t="s">
        <v>989</v>
      </c>
      <c r="AI588" s="185"/>
      <c r="AJ588" s="185"/>
      <c r="AK588" s="185" t="s">
        <v>45</v>
      </c>
      <c r="AL588" s="185" t="s">
        <v>2267</v>
      </c>
      <c r="AM588" s="185" t="s">
        <v>2269</v>
      </c>
      <c r="AN588" s="196"/>
      <c r="AO588" s="196"/>
      <c r="AP588" s="195"/>
      <c r="AQ588" s="194"/>
      <c r="AR588" s="193"/>
      <c r="AS588" s="192"/>
      <c r="AT588" s="192"/>
      <c r="AU588" s="192"/>
      <c r="AV588" s="192"/>
      <c r="AW588" s="191"/>
      <c r="AX588" s="190" t="s">
        <v>72</v>
      </c>
      <c r="AY588" s="184"/>
    </row>
    <row r="589" spans="2:51">
      <c r="B589" s="185">
        <v>2183</v>
      </c>
      <c r="C589" s="189">
        <v>178890</v>
      </c>
      <c r="D589" s="185" t="s">
        <v>989</v>
      </c>
      <c r="E589" s="185" t="s">
        <v>2003</v>
      </c>
      <c r="F589" s="185" t="s">
        <v>614</v>
      </c>
      <c r="G589" s="185"/>
      <c r="H589" s="185"/>
      <c r="I589" s="188">
        <v>624</v>
      </c>
      <c r="J589" s="185"/>
      <c r="K589" s="188">
        <v>0</v>
      </c>
      <c r="L589" s="185" t="s">
        <v>1129</v>
      </c>
      <c r="M589" s="185"/>
      <c r="N589" s="185" t="s">
        <v>2190</v>
      </c>
      <c r="O589" s="185" t="s">
        <v>2184</v>
      </c>
      <c r="P589" s="185"/>
      <c r="Q589" s="185"/>
      <c r="R589" s="185"/>
      <c r="S589" s="186">
        <v>42811</v>
      </c>
      <c r="T589" s="186">
        <v>42811</v>
      </c>
      <c r="U589" s="185" t="s">
        <v>1338</v>
      </c>
      <c r="V589" s="185">
        <v>700</v>
      </c>
      <c r="W589" s="185">
        <v>14050</v>
      </c>
      <c r="X589" s="187">
        <v>31795.97</v>
      </c>
      <c r="Y589" s="185">
        <v>14056</v>
      </c>
      <c r="Z589" s="187">
        <v>31795.97</v>
      </c>
      <c r="AA589" s="187">
        <v>0</v>
      </c>
      <c r="AB589" s="187">
        <v>0</v>
      </c>
      <c r="AC589" s="187">
        <v>1135.58</v>
      </c>
      <c r="AD589" s="185">
        <v>54260</v>
      </c>
      <c r="AE589" s="187">
        <v>378.54</v>
      </c>
      <c r="AF589" s="187">
        <v>0</v>
      </c>
      <c r="AG589" s="187">
        <v>378.54</v>
      </c>
      <c r="AH589" s="185" t="s">
        <v>989</v>
      </c>
      <c r="AI589" s="185"/>
      <c r="AJ589" s="185"/>
      <c r="AK589" s="185" t="s">
        <v>45</v>
      </c>
      <c r="AL589" s="185" t="s">
        <v>2267</v>
      </c>
      <c r="AM589" s="185" t="s">
        <v>2269</v>
      </c>
      <c r="AN589" s="196"/>
      <c r="AO589" s="196"/>
      <c r="AP589" s="195"/>
      <c r="AQ589" s="194"/>
      <c r="AR589" s="193"/>
      <c r="AS589" s="192"/>
      <c r="AT589" s="192"/>
      <c r="AU589" s="192"/>
      <c r="AV589" s="192"/>
      <c r="AW589" s="191"/>
      <c r="AX589" s="190" t="s">
        <v>72</v>
      </c>
      <c r="AY589" s="184"/>
    </row>
    <row r="590" spans="2:51">
      <c r="B590" s="185">
        <v>2183</v>
      </c>
      <c r="C590" s="189">
        <v>178889</v>
      </c>
      <c r="D590" s="185" t="s">
        <v>989</v>
      </c>
      <c r="E590" s="185" t="s">
        <v>2003</v>
      </c>
      <c r="F590" s="185" t="s">
        <v>622</v>
      </c>
      <c r="G590" s="185"/>
      <c r="H590" s="185"/>
      <c r="I590" s="188">
        <v>624</v>
      </c>
      <c r="J590" s="185"/>
      <c r="K590" s="188">
        <v>0</v>
      </c>
      <c r="L590" s="185" t="s">
        <v>1129</v>
      </c>
      <c r="M590" s="185"/>
      <c r="N590" s="185" t="s">
        <v>2190</v>
      </c>
      <c r="O590" s="185" t="s">
        <v>2184</v>
      </c>
      <c r="P590" s="185"/>
      <c r="Q590" s="185"/>
      <c r="R590" s="185"/>
      <c r="S590" s="186">
        <v>42811</v>
      </c>
      <c r="T590" s="186">
        <v>42811</v>
      </c>
      <c r="U590" s="185" t="s">
        <v>1338</v>
      </c>
      <c r="V590" s="185">
        <v>700</v>
      </c>
      <c r="W590" s="185">
        <v>14050</v>
      </c>
      <c r="X590" s="187">
        <v>31795.97</v>
      </c>
      <c r="Y590" s="185">
        <v>14056</v>
      </c>
      <c r="Z590" s="187">
        <v>31795.97</v>
      </c>
      <c r="AA590" s="187">
        <v>0</v>
      </c>
      <c r="AB590" s="187">
        <v>0</v>
      </c>
      <c r="AC590" s="187">
        <v>1135.58</v>
      </c>
      <c r="AD590" s="185">
        <v>54260</v>
      </c>
      <c r="AE590" s="187">
        <v>378.54</v>
      </c>
      <c r="AF590" s="187">
        <v>0</v>
      </c>
      <c r="AG590" s="187">
        <v>378.54</v>
      </c>
      <c r="AH590" s="185" t="s">
        <v>989</v>
      </c>
      <c r="AI590" s="185"/>
      <c r="AJ590" s="185"/>
      <c r="AK590" s="185" t="s">
        <v>45</v>
      </c>
      <c r="AL590" s="185" t="s">
        <v>2267</v>
      </c>
      <c r="AM590" s="185" t="s">
        <v>2269</v>
      </c>
      <c r="AN590" s="196"/>
      <c r="AO590" s="196"/>
      <c r="AP590" s="195"/>
      <c r="AQ590" s="194"/>
      <c r="AR590" s="193"/>
      <c r="AS590" s="192"/>
      <c r="AT590" s="192"/>
      <c r="AU590" s="192"/>
      <c r="AV590" s="192"/>
      <c r="AW590" s="191"/>
      <c r="AX590" s="190" t="s">
        <v>72</v>
      </c>
      <c r="AY590" s="184"/>
    </row>
    <row r="591" spans="2:51">
      <c r="B591" s="185">
        <v>2183</v>
      </c>
      <c r="C591" s="189">
        <v>177573</v>
      </c>
      <c r="D591" s="185" t="s">
        <v>989</v>
      </c>
      <c r="E591" s="185" t="s">
        <v>2003</v>
      </c>
      <c r="F591" s="185" t="s">
        <v>1339</v>
      </c>
      <c r="G591" s="185"/>
      <c r="H591" s="185"/>
      <c r="I591" s="188">
        <v>3</v>
      </c>
      <c r="J591" s="185"/>
      <c r="K591" s="188">
        <v>0</v>
      </c>
      <c r="L591" s="185" t="s">
        <v>1340</v>
      </c>
      <c r="M591" s="185"/>
      <c r="N591" s="185" t="s">
        <v>2190</v>
      </c>
      <c r="O591" s="185" t="s">
        <v>2184</v>
      </c>
      <c r="P591" s="185"/>
      <c r="Q591" s="185" t="s">
        <v>2194</v>
      </c>
      <c r="R591" s="185" t="s">
        <v>2195</v>
      </c>
      <c r="S591" s="186">
        <v>42738</v>
      </c>
      <c r="T591" s="186">
        <v>42738</v>
      </c>
      <c r="U591" s="185" t="s">
        <v>1341</v>
      </c>
      <c r="V591" s="185">
        <v>1200</v>
      </c>
      <c r="W591" s="185">
        <v>14050</v>
      </c>
      <c r="X591" s="187">
        <v>2429.44</v>
      </c>
      <c r="Y591" s="185">
        <v>14056</v>
      </c>
      <c r="Z591" s="187">
        <v>1484.49</v>
      </c>
      <c r="AA591" s="187">
        <v>0</v>
      </c>
      <c r="AB591" s="187">
        <v>944.95</v>
      </c>
      <c r="AC591" s="187">
        <v>67.48</v>
      </c>
      <c r="AD591" s="185">
        <v>54260</v>
      </c>
      <c r="AE591" s="187">
        <v>16.87</v>
      </c>
      <c r="AF591" s="187">
        <v>0</v>
      </c>
      <c r="AG591" s="187">
        <v>16.87</v>
      </c>
      <c r="AH591" s="185" t="s">
        <v>989</v>
      </c>
      <c r="AI591" s="185"/>
      <c r="AJ591" s="185"/>
      <c r="AK591" s="185" t="s">
        <v>45</v>
      </c>
      <c r="AL591" s="185" t="s">
        <v>2267</v>
      </c>
      <c r="AM591" s="185" t="s">
        <v>2269</v>
      </c>
      <c r="AN591" s="196"/>
      <c r="AO591" s="196"/>
      <c r="AP591" s="195"/>
      <c r="AQ591" s="194"/>
      <c r="AR591" s="193"/>
      <c r="AS591" s="192"/>
      <c r="AT591" s="192"/>
      <c r="AU591" s="192"/>
      <c r="AV591" s="192"/>
      <c r="AW591" s="191"/>
      <c r="AX591" s="190" t="s">
        <v>72</v>
      </c>
      <c r="AY591" s="184"/>
    </row>
    <row r="592" spans="2:51">
      <c r="B592" s="185">
        <v>2183</v>
      </c>
      <c r="C592" s="189">
        <v>177572</v>
      </c>
      <c r="D592" s="185" t="s">
        <v>989</v>
      </c>
      <c r="E592" s="185" t="s">
        <v>2003</v>
      </c>
      <c r="F592" s="185" t="s">
        <v>1342</v>
      </c>
      <c r="G592" s="185"/>
      <c r="H592" s="185"/>
      <c r="I592" s="188">
        <v>6</v>
      </c>
      <c r="J592" s="185"/>
      <c r="K592" s="188">
        <v>0</v>
      </c>
      <c r="L592" s="185" t="s">
        <v>1340</v>
      </c>
      <c r="M592" s="185"/>
      <c r="N592" s="185" t="s">
        <v>2190</v>
      </c>
      <c r="O592" s="185" t="s">
        <v>2184</v>
      </c>
      <c r="P592" s="185"/>
      <c r="Q592" s="185" t="s">
        <v>2200</v>
      </c>
      <c r="R592" s="185" t="s">
        <v>2195</v>
      </c>
      <c r="S592" s="186">
        <v>42738</v>
      </c>
      <c r="T592" s="186">
        <v>42738</v>
      </c>
      <c r="U592" s="185" t="s">
        <v>1341</v>
      </c>
      <c r="V592" s="185">
        <v>1200</v>
      </c>
      <c r="W592" s="185">
        <v>14050</v>
      </c>
      <c r="X592" s="187">
        <v>3169.69</v>
      </c>
      <c r="Y592" s="185">
        <v>14056</v>
      </c>
      <c r="Z592" s="187">
        <v>1937.02</v>
      </c>
      <c r="AA592" s="187">
        <v>0</v>
      </c>
      <c r="AB592" s="187">
        <v>1232.67</v>
      </c>
      <c r="AC592" s="187">
        <v>88.04</v>
      </c>
      <c r="AD592" s="185">
        <v>54260</v>
      </c>
      <c r="AE592" s="187">
        <v>22.01</v>
      </c>
      <c r="AF592" s="187">
        <v>0</v>
      </c>
      <c r="AG592" s="187">
        <v>22.01</v>
      </c>
      <c r="AH592" s="185" t="s">
        <v>989</v>
      </c>
      <c r="AI592" s="185"/>
      <c r="AJ592" s="185"/>
      <c r="AK592" s="185" t="s">
        <v>45</v>
      </c>
      <c r="AL592" s="185" t="s">
        <v>2267</v>
      </c>
      <c r="AM592" s="185" t="s">
        <v>2269</v>
      </c>
      <c r="AN592" s="196"/>
      <c r="AO592" s="196"/>
      <c r="AP592" s="195"/>
      <c r="AQ592" s="194"/>
      <c r="AR592" s="193"/>
      <c r="AS592" s="192"/>
      <c r="AT592" s="192"/>
      <c r="AU592" s="192"/>
      <c r="AV592" s="192"/>
      <c r="AW592" s="191"/>
      <c r="AX592" s="190" t="s">
        <v>72</v>
      </c>
      <c r="AY592" s="184"/>
    </row>
    <row r="593" spans="2:51">
      <c r="B593" s="185">
        <v>2183</v>
      </c>
      <c r="C593" s="189">
        <v>177571</v>
      </c>
      <c r="D593" s="185" t="s">
        <v>989</v>
      </c>
      <c r="E593" s="185" t="s">
        <v>2003</v>
      </c>
      <c r="F593" s="185" t="s">
        <v>1343</v>
      </c>
      <c r="G593" s="185"/>
      <c r="H593" s="185"/>
      <c r="I593" s="188">
        <v>8</v>
      </c>
      <c r="J593" s="185"/>
      <c r="K593" s="188">
        <v>0</v>
      </c>
      <c r="L593" s="185" t="s">
        <v>1340</v>
      </c>
      <c r="M593" s="185"/>
      <c r="N593" s="185" t="s">
        <v>2190</v>
      </c>
      <c r="O593" s="185" t="s">
        <v>2184</v>
      </c>
      <c r="P593" s="185"/>
      <c r="Q593" s="185" t="s">
        <v>2209</v>
      </c>
      <c r="R593" s="185" t="s">
        <v>2195</v>
      </c>
      <c r="S593" s="186">
        <v>42738</v>
      </c>
      <c r="T593" s="186">
        <v>42738</v>
      </c>
      <c r="U593" s="185" t="s">
        <v>1341</v>
      </c>
      <c r="V593" s="185">
        <v>1200</v>
      </c>
      <c r="W593" s="185">
        <v>14050</v>
      </c>
      <c r="X593" s="187">
        <v>3921.9</v>
      </c>
      <c r="Y593" s="185">
        <v>14056</v>
      </c>
      <c r="Z593" s="187">
        <v>2396.77</v>
      </c>
      <c r="AA593" s="187">
        <v>0</v>
      </c>
      <c r="AB593" s="187">
        <v>1525.13</v>
      </c>
      <c r="AC593" s="187">
        <v>108.96</v>
      </c>
      <c r="AD593" s="185">
        <v>54260</v>
      </c>
      <c r="AE593" s="187">
        <v>27.24</v>
      </c>
      <c r="AF593" s="187">
        <v>0</v>
      </c>
      <c r="AG593" s="187">
        <v>27.24</v>
      </c>
      <c r="AH593" s="185" t="s">
        <v>989</v>
      </c>
      <c r="AI593" s="185"/>
      <c r="AJ593" s="185"/>
      <c r="AK593" s="185" t="s">
        <v>45</v>
      </c>
      <c r="AL593" s="185" t="s">
        <v>2267</v>
      </c>
      <c r="AM593" s="185" t="s">
        <v>2269</v>
      </c>
      <c r="AN593" s="196"/>
      <c r="AO593" s="196"/>
      <c r="AP593" s="195"/>
      <c r="AQ593" s="194"/>
      <c r="AR593" s="193"/>
      <c r="AS593" s="192"/>
      <c r="AT593" s="192"/>
      <c r="AU593" s="192"/>
      <c r="AV593" s="192"/>
      <c r="AW593" s="191"/>
      <c r="AX593" s="190" t="s">
        <v>72</v>
      </c>
      <c r="AY593" s="184"/>
    </row>
    <row r="594" spans="2:51">
      <c r="B594" s="185">
        <v>2183</v>
      </c>
      <c r="C594" s="189">
        <v>176637</v>
      </c>
      <c r="D594" s="185" t="s">
        <v>989</v>
      </c>
      <c r="E594" s="185" t="s">
        <v>2003</v>
      </c>
      <c r="F594" s="185" t="s">
        <v>1344</v>
      </c>
      <c r="G594" s="185"/>
      <c r="H594" s="185"/>
      <c r="I594" s="188">
        <v>875</v>
      </c>
      <c r="J594" s="185"/>
      <c r="K594" s="188">
        <v>0</v>
      </c>
      <c r="L594" s="185" t="s">
        <v>1001</v>
      </c>
      <c r="M594" s="185"/>
      <c r="N594" s="185" t="s">
        <v>2190</v>
      </c>
      <c r="O594" s="185" t="s">
        <v>2184</v>
      </c>
      <c r="P594" s="185"/>
      <c r="Q594" s="185"/>
      <c r="R594" s="185"/>
      <c r="S594" s="186">
        <v>42744</v>
      </c>
      <c r="T594" s="186">
        <v>42744</v>
      </c>
      <c r="U594" s="185" t="s">
        <v>1345</v>
      </c>
      <c r="V594" s="185">
        <v>700</v>
      </c>
      <c r="W594" s="185">
        <v>14050</v>
      </c>
      <c r="X594" s="187">
        <v>30080.55</v>
      </c>
      <c r="Y594" s="185">
        <v>14056</v>
      </c>
      <c r="Z594" s="187">
        <v>30080.55</v>
      </c>
      <c r="AA594" s="187">
        <v>0</v>
      </c>
      <c r="AB594" s="187">
        <v>0</v>
      </c>
      <c r="AC594" s="187">
        <v>0</v>
      </c>
      <c r="AD594" s="185">
        <v>54260</v>
      </c>
      <c r="AE594" s="187">
        <v>0</v>
      </c>
      <c r="AF594" s="187">
        <v>0</v>
      </c>
      <c r="AG594" s="187">
        <v>0</v>
      </c>
      <c r="AH594" s="185" t="s">
        <v>989</v>
      </c>
      <c r="AI594" s="185"/>
      <c r="AJ594" s="185"/>
      <c r="AK594" s="185" t="s">
        <v>45</v>
      </c>
      <c r="AL594" s="185" t="s">
        <v>2267</v>
      </c>
      <c r="AM594" s="185" t="s">
        <v>2269</v>
      </c>
      <c r="AN594" s="196"/>
      <c r="AO594" s="196"/>
      <c r="AP594" s="195"/>
      <c r="AQ594" s="194"/>
      <c r="AR594" s="193"/>
      <c r="AS594" s="192"/>
      <c r="AT594" s="192"/>
      <c r="AU594" s="192"/>
      <c r="AV594" s="192"/>
      <c r="AW594" s="191"/>
      <c r="AX594" s="190" t="s">
        <v>72</v>
      </c>
      <c r="AY594" s="184"/>
    </row>
    <row r="595" spans="2:51">
      <c r="B595" s="185">
        <v>2183</v>
      </c>
      <c r="C595" s="189">
        <v>172715</v>
      </c>
      <c r="D595" s="185" t="s">
        <v>989</v>
      </c>
      <c r="E595" s="185" t="s">
        <v>2003</v>
      </c>
      <c r="F595" s="185" t="s">
        <v>625</v>
      </c>
      <c r="G595" s="185"/>
      <c r="H595" s="185"/>
      <c r="I595" s="188">
        <v>7</v>
      </c>
      <c r="J595" s="185"/>
      <c r="K595" s="188">
        <v>0</v>
      </c>
      <c r="L595" s="185" t="s">
        <v>1340</v>
      </c>
      <c r="M595" s="185"/>
      <c r="N595" s="185" t="s">
        <v>2190</v>
      </c>
      <c r="O595" s="185" t="s">
        <v>2184</v>
      </c>
      <c r="P595" s="185"/>
      <c r="Q595" s="185" t="s">
        <v>2194</v>
      </c>
      <c r="R595" s="185" t="s">
        <v>2195</v>
      </c>
      <c r="S595" s="186">
        <v>42752</v>
      </c>
      <c r="T595" s="186">
        <v>42752</v>
      </c>
      <c r="U595" s="185" t="s">
        <v>1346</v>
      </c>
      <c r="V595" s="185">
        <v>1200</v>
      </c>
      <c r="W595" s="185">
        <v>14050</v>
      </c>
      <c r="X595" s="187">
        <v>5668.7</v>
      </c>
      <c r="Y595" s="185">
        <v>14056</v>
      </c>
      <c r="Z595" s="187">
        <v>3424.85</v>
      </c>
      <c r="AA595" s="187">
        <v>0</v>
      </c>
      <c r="AB595" s="187">
        <v>2243.85</v>
      </c>
      <c r="AC595" s="187">
        <v>157.47999999999999</v>
      </c>
      <c r="AD595" s="185">
        <v>54260</v>
      </c>
      <c r="AE595" s="187">
        <v>39.369999999999997</v>
      </c>
      <c r="AF595" s="187">
        <v>0</v>
      </c>
      <c r="AG595" s="187">
        <v>39.369999999999997</v>
      </c>
      <c r="AH595" s="185" t="s">
        <v>989</v>
      </c>
      <c r="AI595" s="185"/>
      <c r="AJ595" s="185"/>
      <c r="AK595" s="185" t="s">
        <v>45</v>
      </c>
      <c r="AL595" s="185" t="s">
        <v>2267</v>
      </c>
      <c r="AM595" s="185" t="s">
        <v>2269</v>
      </c>
      <c r="AN595" s="196"/>
      <c r="AO595" s="196"/>
      <c r="AP595" s="195"/>
      <c r="AQ595" s="194"/>
      <c r="AR595" s="193"/>
      <c r="AS595" s="192"/>
      <c r="AT595" s="192"/>
      <c r="AU595" s="192"/>
      <c r="AV595" s="192"/>
      <c r="AW595" s="191"/>
      <c r="AX595" s="190" t="s">
        <v>72</v>
      </c>
      <c r="AY595" s="184"/>
    </row>
    <row r="596" spans="2:51">
      <c r="B596" s="185">
        <v>2183</v>
      </c>
      <c r="C596" s="189">
        <v>172714</v>
      </c>
      <c r="D596" s="185" t="s">
        <v>989</v>
      </c>
      <c r="E596" s="185" t="s">
        <v>2003</v>
      </c>
      <c r="F596" s="185" t="s">
        <v>626</v>
      </c>
      <c r="G596" s="185"/>
      <c r="H596" s="185"/>
      <c r="I596" s="188">
        <v>14</v>
      </c>
      <c r="J596" s="185"/>
      <c r="K596" s="188">
        <v>0</v>
      </c>
      <c r="L596" s="185" t="s">
        <v>1340</v>
      </c>
      <c r="M596" s="185"/>
      <c r="N596" s="185" t="s">
        <v>2190</v>
      </c>
      <c r="O596" s="185" t="s">
        <v>2184</v>
      </c>
      <c r="P596" s="185"/>
      <c r="Q596" s="185" t="s">
        <v>2200</v>
      </c>
      <c r="R596" s="185" t="s">
        <v>2195</v>
      </c>
      <c r="S596" s="186">
        <v>42752</v>
      </c>
      <c r="T596" s="186">
        <v>42752</v>
      </c>
      <c r="U596" s="185" t="s">
        <v>1346</v>
      </c>
      <c r="V596" s="185">
        <v>1200</v>
      </c>
      <c r="W596" s="185">
        <v>14050</v>
      </c>
      <c r="X596" s="187">
        <v>7395.94</v>
      </c>
      <c r="Y596" s="185">
        <v>14056</v>
      </c>
      <c r="Z596" s="187">
        <v>4468.3900000000003</v>
      </c>
      <c r="AA596" s="187">
        <v>0</v>
      </c>
      <c r="AB596" s="187">
        <v>2927.5499999999993</v>
      </c>
      <c r="AC596" s="187">
        <v>205.44</v>
      </c>
      <c r="AD596" s="185">
        <v>54260</v>
      </c>
      <c r="AE596" s="187">
        <v>51.36</v>
      </c>
      <c r="AF596" s="187">
        <v>0</v>
      </c>
      <c r="AG596" s="187">
        <v>51.36</v>
      </c>
      <c r="AH596" s="185" t="s">
        <v>989</v>
      </c>
      <c r="AI596" s="185"/>
      <c r="AJ596" s="185"/>
      <c r="AK596" s="185" t="s">
        <v>45</v>
      </c>
      <c r="AL596" s="185" t="s">
        <v>2267</v>
      </c>
      <c r="AM596" s="185" t="s">
        <v>2269</v>
      </c>
      <c r="AN596" s="196"/>
      <c r="AO596" s="196"/>
      <c r="AP596" s="195"/>
      <c r="AQ596" s="194"/>
      <c r="AR596" s="193"/>
      <c r="AS596" s="192"/>
      <c r="AT596" s="192"/>
      <c r="AU596" s="192"/>
      <c r="AV596" s="192"/>
      <c r="AW596" s="191"/>
      <c r="AX596" s="190" t="s">
        <v>72</v>
      </c>
      <c r="AY596" s="184"/>
    </row>
    <row r="597" spans="2:51">
      <c r="B597" s="185">
        <v>2183</v>
      </c>
      <c r="C597" s="189">
        <v>172713</v>
      </c>
      <c r="D597" s="185" t="s">
        <v>989</v>
      </c>
      <c r="E597" s="185" t="s">
        <v>2003</v>
      </c>
      <c r="F597" s="185" t="s">
        <v>627</v>
      </c>
      <c r="G597" s="185"/>
      <c r="H597" s="185"/>
      <c r="I597" s="188">
        <v>12</v>
      </c>
      <c r="J597" s="185"/>
      <c r="K597" s="188">
        <v>0</v>
      </c>
      <c r="L597" s="185" t="s">
        <v>1340</v>
      </c>
      <c r="M597" s="185"/>
      <c r="N597" s="185" t="s">
        <v>2190</v>
      </c>
      <c r="O597" s="185" t="s">
        <v>2184</v>
      </c>
      <c r="P597" s="185"/>
      <c r="Q597" s="185" t="s">
        <v>2209</v>
      </c>
      <c r="R597" s="185" t="s">
        <v>2195</v>
      </c>
      <c r="S597" s="186">
        <v>42752</v>
      </c>
      <c r="T597" s="186">
        <v>42752</v>
      </c>
      <c r="U597" s="185" t="s">
        <v>1346</v>
      </c>
      <c r="V597" s="185">
        <v>1200</v>
      </c>
      <c r="W597" s="185">
        <v>14050</v>
      </c>
      <c r="X597" s="187">
        <v>5882.84</v>
      </c>
      <c r="Y597" s="185">
        <v>14056</v>
      </c>
      <c r="Z597" s="187">
        <v>3554.15</v>
      </c>
      <c r="AA597" s="187">
        <v>0</v>
      </c>
      <c r="AB597" s="187">
        <v>2328.69</v>
      </c>
      <c r="AC597" s="187">
        <v>163.4</v>
      </c>
      <c r="AD597" s="185">
        <v>54260</v>
      </c>
      <c r="AE597" s="187">
        <v>40.85</v>
      </c>
      <c r="AF597" s="187">
        <v>0</v>
      </c>
      <c r="AG597" s="187">
        <v>40.85</v>
      </c>
      <c r="AH597" s="185" t="s">
        <v>989</v>
      </c>
      <c r="AI597" s="185"/>
      <c r="AJ597" s="185"/>
      <c r="AK597" s="185" t="s">
        <v>45</v>
      </c>
      <c r="AL597" s="185" t="s">
        <v>2267</v>
      </c>
      <c r="AM597" s="185" t="s">
        <v>2269</v>
      </c>
      <c r="AN597" s="196"/>
      <c r="AO597" s="196"/>
      <c r="AP597" s="195"/>
      <c r="AQ597" s="194"/>
      <c r="AR597" s="193"/>
      <c r="AS597" s="192"/>
      <c r="AT597" s="192"/>
      <c r="AU597" s="192"/>
      <c r="AV597" s="192"/>
      <c r="AW597" s="191"/>
      <c r="AX597" s="190" t="s">
        <v>72</v>
      </c>
      <c r="AY597" s="184"/>
    </row>
    <row r="598" spans="2:51">
      <c r="B598" s="185">
        <v>2183</v>
      </c>
      <c r="C598" s="189">
        <v>172712</v>
      </c>
      <c r="D598" s="185" t="s">
        <v>989</v>
      </c>
      <c r="E598" s="185" t="s">
        <v>2003</v>
      </c>
      <c r="F598" s="185" t="s">
        <v>1347</v>
      </c>
      <c r="G598" s="185"/>
      <c r="H598" s="185"/>
      <c r="I598" s="188">
        <v>4</v>
      </c>
      <c r="J598" s="185"/>
      <c r="K598" s="188">
        <v>0</v>
      </c>
      <c r="L598" s="185" t="s">
        <v>1047</v>
      </c>
      <c r="M598" s="185"/>
      <c r="N598" s="185" t="s">
        <v>2190</v>
      </c>
      <c r="O598" s="185" t="s">
        <v>2184</v>
      </c>
      <c r="P598" s="185"/>
      <c r="Q598" s="185" t="s">
        <v>2191</v>
      </c>
      <c r="R598" s="185" t="s">
        <v>2192</v>
      </c>
      <c r="S598" s="186">
        <v>42752</v>
      </c>
      <c r="T598" s="186">
        <v>42752</v>
      </c>
      <c r="U598" s="185" t="s">
        <v>1348</v>
      </c>
      <c r="V598" s="185">
        <v>1111</v>
      </c>
      <c r="W598" s="185">
        <v>14050</v>
      </c>
      <c r="X598" s="187">
        <v>23940</v>
      </c>
      <c r="Y598" s="185">
        <v>14056</v>
      </c>
      <c r="Z598" s="187">
        <v>14564.88</v>
      </c>
      <c r="AA598" s="187">
        <v>0</v>
      </c>
      <c r="AB598" s="187">
        <v>9375.1200000000008</v>
      </c>
      <c r="AC598" s="187">
        <v>669.64</v>
      </c>
      <c r="AD598" s="185">
        <v>54260</v>
      </c>
      <c r="AE598" s="187">
        <v>167.41</v>
      </c>
      <c r="AF598" s="187">
        <v>0</v>
      </c>
      <c r="AG598" s="187">
        <v>167.41</v>
      </c>
      <c r="AH598" s="185" t="s">
        <v>989</v>
      </c>
      <c r="AI598" s="185"/>
      <c r="AJ598" s="185"/>
      <c r="AK598" s="185" t="s">
        <v>45</v>
      </c>
      <c r="AL598" s="185" t="s">
        <v>2267</v>
      </c>
      <c r="AM598" s="185" t="s">
        <v>2269</v>
      </c>
      <c r="AN598" s="196"/>
      <c r="AO598" s="196"/>
      <c r="AP598" s="195"/>
      <c r="AQ598" s="194"/>
      <c r="AR598" s="193"/>
      <c r="AS598" s="192"/>
      <c r="AT598" s="192"/>
      <c r="AU598" s="192"/>
      <c r="AV598" s="192"/>
      <c r="AW598" s="191"/>
      <c r="AX598" s="190" t="s">
        <v>72</v>
      </c>
      <c r="AY598" s="184"/>
    </row>
    <row r="599" spans="2:51">
      <c r="B599" s="185">
        <v>2183</v>
      </c>
      <c r="C599" s="189">
        <v>171241</v>
      </c>
      <c r="D599" s="185" t="s">
        <v>989</v>
      </c>
      <c r="E599" s="185" t="s">
        <v>2003</v>
      </c>
      <c r="F599" s="185" t="s">
        <v>602</v>
      </c>
      <c r="G599" s="185"/>
      <c r="H599" s="185"/>
      <c r="I599" s="188">
        <v>1</v>
      </c>
      <c r="J599" s="185" t="s">
        <v>1349</v>
      </c>
      <c r="K599" s="188">
        <v>2017</v>
      </c>
      <c r="L599" s="185" t="s">
        <v>1097</v>
      </c>
      <c r="M599" s="185" t="s">
        <v>1110</v>
      </c>
      <c r="N599" s="185" t="s">
        <v>2183</v>
      </c>
      <c r="O599" s="185" t="s">
        <v>2184</v>
      </c>
      <c r="P599" s="185" t="s">
        <v>2206</v>
      </c>
      <c r="Q599" s="185"/>
      <c r="R599" s="185"/>
      <c r="S599" s="186">
        <v>42704</v>
      </c>
      <c r="T599" s="186">
        <v>42704</v>
      </c>
      <c r="U599" s="185" t="s">
        <v>1350</v>
      </c>
      <c r="V599" s="185">
        <v>1000</v>
      </c>
      <c r="W599" s="185">
        <v>14040</v>
      </c>
      <c r="X599" s="187">
        <v>318387.46000000002</v>
      </c>
      <c r="Y599" s="185">
        <v>14046</v>
      </c>
      <c r="Z599" s="187">
        <v>236137.4</v>
      </c>
      <c r="AA599" s="187">
        <v>0</v>
      </c>
      <c r="AB599" s="187">
        <v>82250.060000000027</v>
      </c>
      <c r="AC599" s="187">
        <v>10612.92</v>
      </c>
      <c r="AD599" s="185">
        <v>51260</v>
      </c>
      <c r="AE599" s="187">
        <v>2653.23</v>
      </c>
      <c r="AF599" s="187">
        <v>0</v>
      </c>
      <c r="AG599" s="187">
        <v>2653.23</v>
      </c>
      <c r="AH599" s="185" t="s">
        <v>989</v>
      </c>
      <c r="AI599" s="185"/>
      <c r="AJ599" s="185">
        <v>2046</v>
      </c>
      <c r="AK599" s="185" t="s">
        <v>45</v>
      </c>
      <c r="AL599" s="185" t="s">
        <v>2267</v>
      </c>
      <c r="AM599" s="185" t="s">
        <v>2269</v>
      </c>
      <c r="AN599" s="196"/>
      <c r="AO599" s="196"/>
      <c r="AP599" s="195"/>
      <c r="AQ599" s="194"/>
      <c r="AR599" s="193"/>
      <c r="AS599" s="192"/>
      <c r="AT599" s="192"/>
      <c r="AU599" s="192"/>
      <c r="AV599" s="192"/>
      <c r="AW599" s="191"/>
      <c r="AX599" s="190" t="s">
        <v>72</v>
      </c>
      <c r="AY599" s="184"/>
    </row>
    <row r="600" spans="2:51">
      <c r="B600" s="185">
        <v>2183</v>
      </c>
      <c r="C600" s="189">
        <v>170977</v>
      </c>
      <c r="D600" s="185" t="s">
        <v>989</v>
      </c>
      <c r="E600" s="185" t="s">
        <v>2003</v>
      </c>
      <c r="F600" s="185" t="s">
        <v>622</v>
      </c>
      <c r="G600" s="185"/>
      <c r="H600" s="185"/>
      <c r="I600" s="188">
        <v>624</v>
      </c>
      <c r="J600" s="185"/>
      <c r="K600" s="188">
        <v>0</v>
      </c>
      <c r="L600" s="185" t="s">
        <v>1351</v>
      </c>
      <c r="M600" s="185"/>
      <c r="N600" s="185" t="s">
        <v>2190</v>
      </c>
      <c r="O600" s="185" t="s">
        <v>2184</v>
      </c>
      <c r="P600" s="185"/>
      <c r="Q600" s="185"/>
      <c r="R600" s="185"/>
      <c r="S600" s="186">
        <v>42720</v>
      </c>
      <c r="T600" s="186">
        <v>42720</v>
      </c>
      <c r="U600" s="185" t="s">
        <v>1352</v>
      </c>
      <c r="V600" s="185">
        <v>700</v>
      </c>
      <c r="W600" s="185">
        <v>14050</v>
      </c>
      <c r="X600" s="187">
        <v>31926.69</v>
      </c>
      <c r="Y600" s="185">
        <v>14056</v>
      </c>
      <c r="Z600" s="187">
        <v>31926.69</v>
      </c>
      <c r="AA600" s="187">
        <v>0</v>
      </c>
      <c r="AB600" s="187">
        <v>0</v>
      </c>
      <c r="AC600" s="187">
        <v>0</v>
      </c>
      <c r="AD600" s="185">
        <v>54260</v>
      </c>
      <c r="AE600" s="187">
        <v>0</v>
      </c>
      <c r="AF600" s="187">
        <v>0</v>
      </c>
      <c r="AG600" s="187">
        <v>0</v>
      </c>
      <c r="AH600" s="185" t="s">
        <v>989</v>
      </c>
      <c r="AI600" s="185"/>
      <c r="AJ600" s="185"/>
      <c r="AK600" s="185" t="s">
        <v>45</v>
      </c>
      <c r="AL600" s="185" t="s">
        <v>2267</v>
      </c>
      <c r="AM600" s="185" t="s">
        <v>2269</v>
      </c>
      <c r="AN600" s="196"/>
      <c r="AO600" s="196"/>
      <c r="AP600" s="195"/>
      <c r="AQ600" s="194"/>
      <c r="AR600" s="193"/>
      <c r="AS600" s="192"/>
      <c r="AT600" s="192"/>
      <c r="AU600" s="192"/>
      <c r="AV600" s="192"/>
      <c r="AW600" s="191"/>
      <c r="AX600" s="190" t="s">
        <v>72</v>
      </c>
      <c r="AY600" s="184"/>
    </row>
    <row r="601" spans="2:51">
      <c r="B601" s="185">
        <v>2183</v>
      </c>
      <c r="C601" s="189">
        <v>170669</v>
      </c>
      <c r="D601" s="185" t="s">
        <v>989</v>
      </c>
      <c r="E601" s="185" t="s">
        <v>2003</v>
      </c>
      <c r="F601" s="185" t="s">
        <v>1353</v>
      </c>
      <c r="G601" s="185"/>
      <c r="H601" s="185"/>
      <c r="I601" s="188">
        <v>864</v>
      </c>
      <c r="J601" s="185"/>
      <c r="K601" s="188">
        <v>0</v>
      </c>
      <c r="L601" s="185" t="s">
        <v>1129</v>
      </c>
      <c r="M601" s="185"/>
      <c r="N601" s="185" t="s">
        <v>2190</v>
      </c>
      <c r="O601" s="185" t="s">
        <v>2184</v>
      </c>
      <c r="P601" s="185"/>
      <c r="Q601" s="185"/>
      <c r="R601" s="185"/>
      <c r="S601" s="186">
        <v>42700</v>
      </c>
      <c r="T601" s="186">
        <v>42700</v>
      </c>
      <c r="U601" s="185" t="s">
        <v>1352</v>
      </c>
      <c r="V601" s="185">
        <v>700</v>
      </c>
      <c r="W601" s="185">
        <v>14050</v>
      </c>
      <c r="X601" s="187">
        <v>37809.53</v>
      </c>
      <c r="Y601" s="185">
        <v>14056</v>
      </c>
      <c r="Z601" s="187">
        <v>37809.53</v>
      </c>
      <c r="AA601" s="187">
        <v>0</v>
      </c>
      <c r="AB601" s="187">
        <v>0</v>
      </c>
      <c r="AC601" s="187">
        <v>0</v>
      </c>
      <c r="AD601" s="185">
        <v>54260</v>
      </c>
      <c r="AE601" s="187">
        <v>0</v>
      </c>
      <c r="AF601" s="187">
        <v>0</v>
      </c>
      <c r="AG601" s="187">
        <v>0</v>
      </c>
      <c r="AH601" s="185" t="s">
        <v>989</v>
      </c>
      <c r="AI601" s="185"/>
      <c r="AJ601" s="185"/>
      <c r="AK601" s="185" t="s">
        <v>45</v>
      </c>
      <c r="AL601" s="185" t="s">
        <v>2267</v>
      </c>
      <c r="AM601" s="185" t="s">
        <v>2269</v>
      </c>
      <c r="AN601" s="196"/>
      <c r="AO601" s="196"/>
      <c r="AP601" s="195"/>
      <c r="AQ601" s="194"/>
      <c r="AR601" s="193"/>
      <c r="AS601" s="192"/>
      <c r="AT601" s="192"/>
      <c r="AU601" s="192"/>
      <c r="AV601" s="192"/>
      <c r="AW601" s="191"/>
      <c r="AX601" s="190" t="s">
        <v>72</v>
      </c>
      <c r="AY601" s="184"/>
    </row>
    <row r="602" spans="2:51">
      <c r="B602" s="185">
        <v>2183</v>
      </c>
      <c r="C602" s="189">
        <v>170668</v>
      </c>
      <c r="D602" s="185" t="s">
        <v>989</v>
      </c>
      <c r="E602" s="185" t="s">
        <v>2003</v>
      </c>
      <c r="F602" s="185" t="s">
        <v>1354</v>
      </c>
      <c r="G602" s="185"/>
      <c r="H602" s="185"/>
      <c r="I602" s="188">
        <v>950</v>
      </c>
      <c r="J602" s="185"/>
      <c r="K602" s="188">
        <v>0</v>
      </c>
      <c r="L602" s="185" t="s">
        <v>1129</v>
      </c>
      <c r="M602" s="185"/>
      <c r="N602" s="185" t="s">
        <v>2190</v>
      </c>
      <c r="O602" s="185" t="s">
        <v>2184</v>
      </c>
      <c r="P602" s="185"/>
      <c r="Q602" s="185"/>
      <c r="R602" s="185"/>
      <c r="S602" s="186">
        <v>42700</v>
      </c>
      <c r="T602" s="186">
        <v>42700</v>
      </c>
      <c r="U602" s="185" t="s">
        <v>1352</v>
      </c>
      <c r="V602" s="185">
        <v>700</v>
      </c>
      <c r="W602" s="185">
        <v>14050</v>
      </c>
      <c r="X602" s="187">
        <v>37597.57</v>
      </c>
      <c r="Y602" s="185">
        <v>14056</v>
      </c>
      <c r="Z602" s="187">
        <v>37597.57</v>
      </c>
      <c r="AA602" s="187">
        <v>0</v>
      </c>
      <c r="AB602" s="187">
        <v>0</v>
      </c>
      <c r="AC602" s="187">
        <v>0</v>
      </c>
      <c r="AD602" s="185">
        <v>54260</v>
      </c>
      <c r="AE602" s="187">
        <v>0</v>
      </c>
      <c r="AF602" s="187">
        <v>0</v>
      </c>
      <c r="AG602" s="187">
        <v>0</v>
      </c>
      <c r="AH602" s="185" t="s">
        <v>989</v>
      </c>
      <c r="AI602" s="185"/>
      <c r="AJ602" s="185"/>
      <c r="AK602" s="185" t="s">
        <v>45</v>
      </c>
      <c r="AL602" s="185" t="s">
        <v>2267</v>
      </c>
      <c r="AM602" s="185" t="s">
        <v>2269</v>
      </c>
      <c r="AN602" s="196"/>
      <c r="AO602" s="196"/>
      <c r="AP602" s="195"/>
      <c r="AQ602" s="194"/>
      <c r="AR602" s="193"/>
      <c r="AS602" s="192"/>
      <c r="AT602" s="192"/>
      <c r="AU602" s="192"/>
      <c r="AV602" s="192"/>
      <c r="AW602" s="191"/>
      <c r="AX602" s="190" t="s">
        <v>72</v>
      </c>
      <c r="AY602" s="184"/>
    </row>
    <row r="603" spans="2:51" hidden="1">
      <c r="B603" s="185">
        <v>2183</v>
      </c>
      <c r="C603" s="189">
        <v>170263</v>
      </c>
      <c r="D603" s="185">
        <v>169999</v>
      </c>
      <c r="E603" s="185" t="s">
        <v>2003</v>
      </c>
      <c r="F603" s="185" t="s">
        <v>1355</v>
      </c>
      <c r="G603" s="185"/>
      <c r="H603" s="185"/>
      <c r="I603" s="188">
        <v>1</v>
      </c>
      <c r="J603" s="185"/>
      <c r="K603" s="188">
        <v>0</v>
      </c>
      <c r="L603" s="185" t="s">
        <v>1112</v>
      </c>
      <c r="M603" s="185"/>
      <c r="N603" s="185" t="s">
        <v>2183</v>
      </c>
      <c r="O603" s="185" t="s">
        <v>2184</v>
      </c>
      <c r="P603" s="185" t="s">
        <v>1028</v>
      </c>
      <c r="Q603" s="185"/>
      <c r="R603" s="185"/>
      <c r="S603" s="186">
        <v>42695</v>
      </c>
      <c r="T603" s="186">
        <v>42695</v>
      </c>
      <c r="U603" s="185" t="s">
        <v>1356</v>
      </c>
      <c r="V603" s="185">
        <v>1000</v>
      </c>
      <c r="W603" s="185">
        <v>14040</v>
      </c>
      <c r="X603" s="187">
        <v>152.33000000000001</v>
      </c>
      <c r="Y603" s="185">
        <v>14046</v>
      </c>
      <c r="Z603" s="187">
        <v>112.96</v>
      </c>
      <c r="AA603" s="187">
        <v>0</v>
      </c>
      <c r="AB603" s="187">
        <v>39.370000000000019</v>
      </c>
      <c r="AC603" s="187">
        <v>5.08</v>
      </c>
      <c r="AD603" s="185">
        <v>51260</v>
      </c>
      <c r="AE603" s="187">
        <v>1.27</v>
      </c>
      <c r="AF603" s="187">
        <v>0</v>
      </c>
      <c r="AG603" s="187">
        <v>1.27</v>
      </c>
      <c r="AH603" s="185" t="s">
        <v>989</v>
      </c>
      <c r="AI603" s="185"/>
      <c r="AJ603" s="185"/>
      <c r="AK603" s="185" t="s">
        <v>45</v>
      </c>
      <c r="AL603" s="185" t="s">
        <v>2267</v>
      </c>
      <c r="AM603" s="185" t="s">
        <v>2269</v>
      </c>
      <c r="AN603" s="196"/>
      <c r="AO603" s="196"/>
      <c r="AP603" s="195"/>
      <c r="AQ603" s="194"/>
      <c r="AR603" s="193"/>
      <c r="AS603" s="192"/>
      <c r="AT603" s="192"/>
      <c r="AU603" s="192"/>
      <c r="AV603" s="192"/>
      <c r="AW603" s="191"/>
      <c r="AX603" s="190" t="s">
        <v>72</v>
      </c>
      <c r="AY603" s="184"/>
    </row>
    <row r="604" spans="2:51" hidden="1">
      <c r="B604" s="185">
        <v>2183</v>
      </c>
      <c r="C604" s="189">
        <v>170262</v>
      </c>
      <c r="D604" s="185">
        <v>170001</v>
      </c>
      <c r="E604" s="185" t="s">
        <v>2003</v>
      </c>
      <c r="F604" s="185" t="s">
        <v>1357</v>
      </c>
      <c r="G604" s="185"/>
      <c r="H604" s="185"/>
      <c r="I604" s="188">
        <v>1</v>
      </c>
      <c r="J604" s="185"/>
      <c r="K604" s="188">
        <v>0</v>
      </c>
      <c r="L604" s="185" t="s">
        <v>1112</v>
      </c>
      <c r="M604" s="185"/>
      <c r="N604" s="185" t="s">
        <v>2183</v>
      </c>
      <c r="O604" s="185" t="s">
        <v>2184</v>
      </c>
      <c r="P604" s="185" t="s">
        <v>1028</v>
      </c>
      <c r="Q604" s="185"/>
      <c r="R604" s="185"/>
      <c r="S604" s="186">
        <v>42678</v>
      </c>
      <c r="T604" s="186">
        <v>42678</v>
      </c>
      <c r="U604" s="185" t="s">
        <v>1358</v>
      </c>
      <c r="V604" s="185">
        <v>1000</v>
      </c>
      <c r="W604" s="185">
        <v>14040</v>
      </c>
      <c r="X604" s="187">
        <v>152.33000000000001</v>
      </c>
      <c r="Y604" s="185">
        <v>14046</v>
      </c>
      <c r="Z604" s="187">
        <v>114.23</v>
      </c>
      <c r="AA604" s="187">
        <v>0</v>
      </c>
      <c r="AB604" s="187">
        <v>38.100000000000009</v>
      </c>
      <c r="AC604" s="187">
        <v>5.08</v>
      </c>
      <c r="AD604" s="185">
        <v>51260</v>
      </c>
      <c r="AE604" s="187">
        <v>1.27</v>
      </c>
      <c r="AF604" s="187">
        <v>0</v>
      </c>
      <c r="AG604" s="187">
        <v>1.27</v>
      </c>
      <c r="AH604" s="185" t="s">
        <v>989</v>
      </c>
      <c r="AI604" s="185"/>
      <c r="AJ604" s="185"/>
      <c r="AK604" s="185" t="s">
        <v>45</v>
      </c>
      <c r="AL604" s="185" t="s">
        <v>2267</v>
      </c>
      <c r="AM604" s="185" t="s">
        <v>2269</v>
      </c>
      <c r="AN604" s="196"/>
      <c r="AO604" s="196"/>
      <c r="AP604" s="195"/>
      <c r="AQ604" s="194"/>
      <c r="AR604" s="193"/>
      <c r="AS604" s="192"/>
      <c r="AT604" s="192"/>
      <c r="AU604" s="192"/>
      <c r="AV604" s="192"/>
      <c r="AW604" s="191"/>
      <c r="AX604" s="190" t="s">
        <v>72</v>
      </c>
      <c r="AY604" s="184"/>
    </row>
    <row r="605" spans="2:51">
      <c r="B605" s="185">
        <v>2183</v>
      </c>
      <c r="C605" s="189">
        <v>170171</v>
      </c>
      <c r="D605" s="185" t="s">
        <v>989</v>
      </c>
      <c r="E605" s="185" t="s">
        <v>2003</v>
      </c>
      <c r="F605" s="185" t="s">
        <v>605</v>
      </c>
      <c r="G605" s="185"/>
      <c r="H605" s="185"/>
      <c r="I605" s="188">
        <v>1</v>
      </c>
      <c r="J605" s="185"/>
      <c r="K605" s="188">
        <v>0</v>
      </c>
      <c r="L605" s="185" t="s">
        <v>1359</v>
      </c>
      <c r="M605" s="185"/>
      <c r="N605" s="185" t="s">
        <v>2198</v>
      </c>
      <c r="O605" s="185" t="s">
        <v>2184</v>
      </c>
      <c r="P605" s="185"/>
      <c r="Q605" s="185"/>
      <c r="R605" s="185"/>
      <c r="S605" s="186">
        <v>42682</v>
      </c>
      <c r="T605" s="186">
        <v>42682</v>
      </c>
      <c r="U605" s="185" t="s">
        <v>1360</v>
      </c>
      <c r="V605" s="185">
        <v>500</v>
      </c>
      <c r="W605" s="185">
        <v>14070</v>
      </c>
      <c r="X605" s="187">
        <v>44611.57</v>
      </c>
      <c r="Y605" s="185">
        <v>14076</v>
      </c>
      <c r="Z605" s="187">
        <v>44611.57</v>
      </c>
      <c r="AA605" s="187">
        <v>0</v>
      </c>
      <c r="AB605" s="187">
        <v>0</v>
      </c>
      <c r="AC605" s="187">
        <v>0</v>
      </c>
      <c r="AD605" s="185">
        <v>51260</v>
      </c>
      <c r="AE605" s="187">
        <v>0</v>
      </c>
      <c r="AF605" s="187">
        <v>0</v>
      </c>
      <c r="AG605" s="187">
        <v>0</v>
      </c>
      <c r="AH605" s="185" t="s">
        <v>989</v>
      </c>
      <c r="AI605" s="185"/>
      <c r="AJ605" s="185"/>
      <c r="AK605" s="185" t="s">
        <v>45</v>
      </c>
      <c r="AL605" s="185" t="s">
        <v>2267</v>
      </c>
      <c r="AM605" s="185" t="s">
        <v>2269</v>
      </c>
      <c r="AN605" s="196"/>
      <c r="AO605" s="196"/>
      <c r="AP605" s="195"/>
      <c r="AQ605" s="194"/>
      <c r="AR605" s="193"/>
      <c r="AS605" s="192"/>
      <c r="AT605" s="192"/>
      <c r="AU605" s="192"/>
      <c r="AV605" s="192"/>
      <c r="AW605" s="191"/>
      <c r="AX605" s="190" t="s">
        <v>72</v>
      </c>
      <c r="AY605" s="184"/>
    </row>
    <row r="606" spans="2:51">
      <c r="B606" s="185">
        <v>2183</v>
      </c>
      <c r="C606" s="189">
        <v>170001</v>
      </c>
      <c r="D606" s="185" t="s">
        <v>989</v>
      </c>
      <c r="E606" s="185" t="s">
        <v>2003</v>
      </c>
      <c r="F606" s="185" t="s">
        <v>598</v>
      </c>
      <c r="G606" s="185"/>
      <c r="H606" s="185"/>
      <c r="I606" s="188">
        <v>1</v>
      </c>
      <c r="J606" s="185" t="s">
        <v>1361</v>
      </c>
      <c r="K606" s="188">
        <v>2017</v>
      </c>
      <c r="L606" s="185" t="s">
        <v>1097</v>
      </c>
      <c r="M606" s="185" t="s">
        <v>1104</v>
      </c>
      <c r="N606" s="185" t="s">
        <v>2183</v>
      </c>
      <c r="O606" s="185" t="s">
        <v>2184</v>
      </c>
      <c r="P606" s="185" t="s">
        <v>1105</v>
      </c>
      <c r="Q606" s="185"/>
      <c r="R606" s="185"/>
      <c r="S606" s="186">
        <v>42678</v>
      </c>
      <c r="T606" s="186">
        <v>42678</v>
      </c>
      <c r="U606" s="185" t="s">
        <v>1358</v>
      </c>
      <c r="V606" s="185">
        <v>1000</v>
      </c>
      <c r="W606" s="185">
        <v>14040</v>
      </c>
      <c r="X606" s="187">
        <v>230356.84</v>
      </c>
      <c r="Y606" s="185">
        <v>14046</v>
      </c>
      <c r="Z606" s="187">
        <v>172767.6</v>
      </c>
      <c r="AA606" s="187">
        <v>0</v>
      </c>
      <c r="AB606" s="187">
        <v>57589.239999999991</v>
      </c>
      <c r="AC606" s="187">
        <v>7678.56</v>
      </c>
      <c r="AD606" s="185">
        <v>51260</v>
      </c>
      <c r="AE606" s="187">
        <v>1919.64</v>
      </c>
      <c r="AF606" s="187">
        <v>0</v>
      </c>
      <c r="AG606" s="187">
        <v>1919.64</v>
      </c>
      <c r="AH606" s="185" t="s">
        <v>989</v>
      </c>
      <c r="AI606" s="185"/>
      <c r="AJ606" s="185">
        <v>5049</v>
      </c>
      <c r="AK606" s="185" t="s">
        <v>45</v>
      </c>
      <c r="AL606" s="185" t="s">
        <v>2267</v>
      </c>
      <c r="AM606" s="185" t="s">
        <v>2269</v>
      </c>
      <c r="AN606" s="196"/>
      <c r="AO606" s="196"/>
      <c r="AP606" s="195"/>
      <c r="AQ606" s="194"/>
      <c r="AR606" s="193"/>
      <c r="AS606" s="192"/>
      <c r="AT606" s="192"/>
      <c r="AU606" s="192"/>
      <c r="AV606" s="192"/>
      <c r="AW606" s="191"/>
      <c r="AX606" s="190" t="s">
        <v>72</v>
      </c>
      <c r="AY606" s="184"/>
    </row>
    <row r="607" spans="2:51">
      <c r="B607" s="185">
        <v>2183</v>
      </c>
      <c r="C607" s="189">
        <v>170000</v>
      </c>
      <c r="D607" s="185" t="s">
        <v>989</v>
      </c>
      <c r="E607" s="185" t="s">
        <v>2003</v>
      </c>
      <c r="F607" s="185" t="s">
        <v>598</v>
      </c>
      <c r="G607" s="185"/>
      <c r="H607" s="185"/>
      <c r="I607" s="188">
        <v>1</v>
      </c>
      <c r="J607" s="185" t="s">
        <v>1362</v>
      </c>
      <c r="K607" s="188">
        <v>2017</v>
      </c>
      <c r="L607" s="185" t="s">
        <v>1097</v>
      </c>
      <c r="M607" s="185" t="s">
        <v>1104</v>
      </c>
      <c r="N607" s="185" t="s">
        <v>2183</v>
      </c>
      <c r="O607" s="185" t="s">
        <v>2184</v>
      </c>
      <c r="P607" s="185" t="s">
        <v>1105</v>
      </c>
      <c r="Q607" s="185"/>
      <c r="R607" s="185"/>
      <c r="S607" s="186">
        <v>42695</v>
      </c>
      <c r="T607" s="186">
        <v>42695</v>
      </c>
      <c r="U607" s="185" t="s">
        <v>1363</v>
      </c>
      <c r="V607" s="185">
        <v>1000</v>
      </c>
      <c r="W607" s="185">
        <v>14040</v>
      </c>
      <c r="X607" s="187">
        <v>230356.84</v>
      </c>
      <c r="Y607" s="185">
        <v>14046</v>
      </c>
      <c r="Z607" s="187">
        <v>170847.96</v>
      </c>
      <c r="AA607" s="187">
        <v>0</v>
      </c>
      <c r="AB607" s="187">
        <v>59508.880000000005</v>
      </c>
      <c r="AC607" s="187">
        <v>7678.56</v>
      </c>
      <c r="AD607" s="185">
        <v>51260</v>
      </c>
      <c r="AE607" s="187">
        <v>1919.64</v>
      </c>
      <c r="AF607" s="187">
        <v>0</v>
      </c>
      <c r="AG607" s="187">
        <v>1919.64</v>
      </c>
      <c r="AH607" s="185" t="s">
        <v>989</v>
      </c>
      <c r="AI607" s="185"/>
      <c r="AJ607" s="185">
        <v>5048</v>
      </c>
      <c r="AK607" s="185" t="s">
        <v>45</v>
      </c>
      <c r="AL607" s="185" t="s">
        <v>2267</v>
      </c>
      <c r="AM607" s="185" t="s">
        <v>2269</v>
      </c>
      <c r="AN607" s="196"/>
      <c r="AO607" s="196"/>
      <c r="AP607" s="195"/>
      <c r="AQ607" s="194"/>
      <c r="AR607" s="193"/>
      <c r="AS607" s="192"/>
      <c r="AT607" s="192"/>
      <c r="AU607" s="192"/>
      <c r="AV607" s="192"/>
      <c r="AW607" s="191"/>
      <c r="AX607" s="190" t="s">
        <v>72</v>
      </c>
      <c r="AY607" s="184"/>
    </row>
    <row r="608" spans="2:51">
      <c r="B608" s="185">
        <v>2183</v>
      </c>
      <c r="C608" s="189">
        <v>169999</v>
      </c>
      <c r="D608" s="185" t="s">
        <v>989</v>
      </c>
      <c r="E608" s="185" t="s">
        <v>2003</v>
      </c>
      <c r="F608" s="185" t="s">
        <v>598</v>
      </c>
      <c r="G608" s="185"/>
      <c r="H608" s="185"/>
      <c r="I608" s="188">
        <v>1</v>
      </c>
      <c r="J608" s="185" t="s">
        <v>1364</v>
      </c>
      <c r="K608" s="188">
        <v>2017</v>
      </c>
      <c r="L608" s="185" t="s">
        <v>1097</v>
      </c>
      <c r="M608" s="185" t="s">
        <v>1104</v>
      </c>
      <c r="N608" s="185" t="s">
        <v>2183</v>
      </c>
      <c r="O608" s="185" t="s">
        <v>2184</v>
      </c>
      <c r="P608" s="185" t="s">
        <v>1105</v>
      </c>
      <c r="Q608" s="185"/>
      <c r="R608" s="185"/>
      <c r="S608" s="186">
        <v>42695</v>
      </c>
      <c r="T608" s="186">
        <v>42695</v>
      </c>
      <c r="U608" s="185" t="s">
        <v>1356</v>
      </c>
      <c r="V608" s="185">
        <v>1000</v>
      </c>
      <c r="W608" s="185">
        <v>14040</v>
      </c>
      <c r="X608" s="187">
        <v>230356.84</v>
      </c>
      <c r="Y608" s="185">
        <v>14046</v>
      </c>
      <c r="Z608" s="187">
        <v>170847.96</v>
      </c>
      <c r="AA608" s="187">
        <v>0</v>
      </c>
      <c r="AB608" s="187">
        <v>59508.880000000005</v>
      </c>
      <c r="AC608" s="187">
        <v>7678.56</v>
      </c>
      <c r="AD608" s="185">
        <v>51260</v>
      </c>
      <c r="AE608" s="187">
        <v>1919.64</v>
      </c>
      <c r="AF608" s="187">
        <v>0</v>
      </c>
      <c r="AG608" s="187">
        <v>1919.64</v>
      </c>
      <c r="AH608" s="185" t="s">
        <v>989</v>
      </c>
      <c r="AI608" s="185"/>
      <c r="AJ608" s="185">
        <v>5047</v>
      </c>
      <c r="AK608" s="185" t="s">
        <v>45</v>
      </c>
      <c r="AL608" s="185" t="s">
        <v>2267</v>
      </c>
      <c r="AM608" s="185" t="s">
        <v>2269</v>
      </c>
      <c r="AN608" s="196"/>
      <c r="AO608" s="196"/>
      <c r="AP608" s="195"/>
      <c r="AQ608" s="194"/>
      <c r="AR608" s="193"/>
      <c r="AS608" s="192"/>
      <c r="AT608" s="192"/>
      <c r="AU608" s="192"/>
      <c r="AV608" s="192"/>
      <c r="AW608" s="191"/>
      <c r="AX608" s="190" t="s">
        <v>72</v>
      </c>
      <c r="AY608" s="184"/>
    </row>
    <row r="609" spans="2:51">
      <c r="B609" s="185">
        <v>2183</v>
      </c>
      <c r="C609" s="189">
        <v>169402</v>
      </c>
      <c r="D609" s="185" t="s">
        <v>989</v>
      </c>
      <c r="E609" s="185" t="s">
        <v>2003</v>
      </c>
      <c r="F609" s="185" t="s">
        <v>1365</v>
      </c>
      <c r="G609" s="185"/>
      <c r="H609" s="185"/>
      <c r="I609" s="188">
        <v>1</v>
      </c>
      <c r="J609" s="185"/>
      <c r="K609" s="188">
        <v>0</v>
      </c>
      <c r="L609" s="185" t="s">
        <v>1366</v>
      </c>
      <c r="M609" s="185"/>
      <c r="N609" s="185" t="s">
        <v>2196</v>
      </c>
      <c r="O609" s="185" t="s">
        <v>2184</v>
      </c>
      <c r="P609" s="185"/>
      <c r="Q609" s="185"/>
      <c r="R609" s="185"/>
      <c r="S609" s="186">
        <v>42606</v>
      </c>
      <c r="T609" s="186">
        <v>42606</v>
      </c>
      <c r="U609" s="185" t="s">
        <v>1367</v>
      </c>
      <c r="V609" s="185">
        <v>1000</v>
      </c>
      <c r="W609" s="185">
        <v>14080</v>
      </c>
      <c r="X609" s="187">
        <v>27577.19</v>
      </c>
      <c r="Y609" s="185">
        <v>14086</v>
      </c>
      <c r="Z609" s="187">
        <v>21142.52</v>
      </c>
      <c r="AA609" s="187">
        <v>0</v>
      </c>
      <c r="AB609" s="187">
        <v>6434.6699999999983</v>
      </c>
      <c r="AC609" s="187">
        <v>919.24</v>
      </c>
      <c r="AD609" s="185">
        <v>57260</v>
      </c>
      <c r="AE609" s="187">
        <v>229.81</v>
      </c>
      <c r="AF609" s="187">
        <v>0</v>
      </c>
      <c r="AG609" s="187">
        <v>229.81</v>
      </c>
      <c r="AH609" s="185" t="s">
        <v>989</v>
      </c>
      <c r="AI609" s="185"/>
      <c r="AJ609" s="185"/>
      <c r="AK609" s="185" t="s">
        <v>45</v>
      </c>
      <c r="AL609" s="185" t="s">
        <v>2267</v>
      </c>
      <c r="AM609" s="185" t="s">
        <v>2269</v>
      </c>
      <c r="AN609" s="196"/>
      <c r="AO609" s="196"/>
      <c r="AP609" s="195"/>
      <c r="AQ609" s="194"/>
      <c r="AR609" s="193"/>
      <c r="AS609" s="192"/>
      <c r="AT609" s="192"/>
      <c r="AU609" s="192"/>
      <c r="AV609" s="192"/>
      <c r="AW609" s="191"/>
      <c r="AX609" s="190" t="s">
        <v>72</v>
      </c>
      <c r="AY609" s="184"/>
    </row>
    <row r="610" spans="2:51" hidden="1">
      <c r="B610" s="185">
        <v>2183</v>
      </c>
      <c r="C610" s="189">
        <v>169241</v>
      </c>
      <c r="D610" s="185">
        <v>167233</v>
      </c>
      <c r="E610" s="185" t="s">
        <v>2003</v>
      </c>
      <c r="F610" s="185" t="s">
        <v>1368</v>
      </c>
      <c r="G610" s="185"/>
      <c r="H610" s="185"/>
      <c r="I610" s="188">
        <v>1</v>
      </c>
      <c r="J610" s="185"/>
      <c r="K610" s="188">
        <v>0</v>
      </c>
      <c r="L610" s="185" t="s">
        <v>1139</v>
      </c>
      <c r="M610" s="185"/>
      <c r="N610" s="185" t="s">
        <v>2183</v>
      </c>
      <c r="O610" s="185" t="s">
        <v>2184</v>
      </c>
      <c r="P610" s="185" t="s">
        <v>1028</v>
      </c>
      <c r="Q610" s="185"/>
      <c r="R610" s="185"/>
      <c r="S610" s="186">
        <v>42632</v>
      </c>
      <c r="T610" s="186">
        <v>42632</v>
      </c>
      <c r="U610" s="185" t="s">
        <v>1369</v>
      </c>
      <c r="V610" s="185">
        <v>400</v>
      </c>
      <c r="W610" s="185">
        <v>14040</v>
      </c>
      <c r="X610" s="187">
        <v>2673.24</v>
      </c>
      <c r="Y610" s="185">
        <v>14046</v>
      </c>
      <c r="Z610" s="187">
        <v>2673.24</v>
      </c>
      <c r="AA610" s="187">
        <v>0</v>
      </c>
      <c r="AB610" s="187">
        <v>0</v>
      </c>
      <c r="AC610" s="187">
        <v>0</v>
      </c>
      <c r="AD610" s="185">
        <v>51260</v>
      </c>
      <c r="AE610" s="187">
        <v>0</v>
      </c>
      <c r="AF610" s="187">
        <v>0</v>
      </c>
      <c r="AG610" s="187">
        <v>0</v>
      </c>
      <c r="AH610" s="185" t="s">
        <v>989</v>
      </c>
      <c r="AI610" s="185"/>
      <c r="AJ610" s="185"/>
      <c r="AK610" s="185" t="s">
        <v>45</v>
      </c>
      <c r="AL610" s="185" t="s">
        <v>2267</v>
      </c>
      <c r="AM610" s="185" t="s">
        <v>2269</v>
      </c>
      <c r="AN610" s="196"/>
      <c r="AO610" s="196"/>
      <c r="AP610" s="195"/>
      <c r="AQ610" s="194"/>
      <c r="AR610" s="193"/>
      <c r="AS610" s="192"/>
      <c r="AT610" s="192"/>
      <c r="AU610" s="192"/>
      <c r="AV610" s="192"/>
      <c r="AW610" s="191"/>
      <c r="AX610" s="190" t="s">
        <v>72</v>
      </c>
      <c r="AY610" s="184"/>
    </row>
    <row r="611" spans="2:51">
      <c r="B611" s="185">
        <v>2183</v>
      </c>
      <c r="C611" s="189">
        <v>169041</v>
      </c>
      <c r="D611" s="185" t="s">
        <v>989</v>
      </c>
      <c r="E611" s="185" t="s">
        <v>2003</v>
      </c>
      <c r="F611" s="185" t="s">
        <v>1370</v>
      </c>
      <c r="G611" s="185"/>
      <c r="H611" s="185"/>
      <c r="I611" s="188">
        <v>1</v>
      </c>
      <c r="J611" s="185" t="s">
        <v>1371</v>
      </c>
      <c r="K611" s="188">
        <v>2017</v>
      </c>
      <c r="L611" s="185" t="s">
        <v>1097</v>
      </c>
      <c r="M611" s="185" t="s">
        <v>1120</v>
      </c>
      <c r="N611" s="185" t="s">
        <v>2183</v>
      </c>
      <c r="O611" s="185" t="s">
        <v>2184</v>
      </c>
      <c r="P611" s="185" t="s">
        <v>287</v>
      </c>
      <c r="Q611" s="185"/>
      <c r="R611" s="185"/>
      <c r="S611" s="186">
        <v>42646</v>
      </c>
      <c r="T611" s="186">
        <v>42646</v>
      </c>
      <c r="U611" s="185" t="s">
        <v>1372</v>
      </c>
      <c r="V611" s="185">
        <v>1000</v>
      </c>
      <c r="W611" s="185">
        <v>14040</v>
      </c>
      <c r="X611" s="187">
        <v>231607.35</v>
      </c>
      <c r="Y611" s="185">
        <v>14046</v>
      </c>
      <c r="Z611" s="187">
        <v>175635.6</v>
      </c>
      <c r="AA611" s="187">
        <v>0</v>
      </c>
      <c r="AB611" s="187">
        <v>55971.75</v>
      </c>
      <c r="AC611" s="187">
        <v>7720.24</v>
      </c>
      <c r="AD611" s="185">
        <v>51260</v>
      </c>
      <c r="AE611" s="187">
        <v>1930.06</v>
      </c>
      <c r="AF611" s="187">
        <v>0</v>
      </c>
      <c r="AG611" s="187">
        <v>1930.06</v>
      </c>
      <c r="AH611" s="185" t="s">
        <v>989</v>
      </c>
      <c r="AI611" s="185"/>
      <c r="AJ611" s="185">
        <v>4076</v>
      </c>
      <c r="AK611" s="185" t="s">
        <v>45</v>
      </c>
      <c r="AL611" s="185" t="s">
        <v>2267</v>
      </c>
      <c r="AM611" s="185" t="s">
        <v>2269</v>
      </c>
      <c r="AN611" s="196"/>
      <c r="AO611" s="196"/>
      <c r="AP611" s="195"/>
      <c r="AQ611" s="194"/>
      <c r="AR611" s="193"/>
      <c r="AS611" s="192"/>
      <c r="AT611" s="192"/>
      <c r="AU611" s="192"/>
      <c r="AV611" s="192"/>
      <c r="AW611" s="191"/>
      <c r="AX611" s="190" t="s">
        <v>72</v>
      </c>
      <c r="AY611" s="184"/>
    </row>
    <row r="612" spans="2:51">
      <c r="B612" s="185">
        <v>2183</v>
      </c>
      <c r="C612" s="189">
        <v>168615</v>
      </c>
      <c r="D612" s="185" t="s">
        <v>989</v>
      </c>
      <c r="E612" s="185" t="s">
        <v>2003</v>
      </c>
      <c r="F612" s="185" t="s">
        <v>1373</v>
      </c>
      <c r="G612" s="185"/>
      <c r="H612" s="185"/>
      <c r="I612" s="188">
        <v>6</v>
      </c>
      <c r="J612" s="185"/>
      <c r="K612" s="188">
        <v>0</v>
      </c>
      <c r="L612" s="185"/>
      <c r="M612" s="185"/>
      <c r="N612" s="185" t="s">
        <v>2190</v>
      </c>
      <c r="O612" s="185" t="s">
        <v>2184</v>
      </c>
      <c r="P612" s="185"/>
      <c r="Q612" s="185"/>
      <c r="R612" s="185"/>
      <c r="S612" s="186">
        <v>40544</v>
      </c>
      <c r="T612" s="186">
        <v>40544</v>
      </c>
      <c r="U612" s="185"/>
      <c r="V612" s="185">
        <v>300</v>
      </c>
      <c r="W612" s="185">
        <v>14050</v>
      </c>
      <c r="X612" s="187">
        <v>0.01</v>
      </c>
      <c r="Y612" s="185">
        <v>14056</v>
      </c>
      <c r="Z612" s="187">
        <v>0.01</v>
      </c>
      <c r="AA612" s="187">
        <v>0</v>
      </c>
      <c r="AB612" s="187">
        <v>0</v>
      </c>
      <c r="AC612" s="187">
        <v>0</v>
      </c>
      <c r="AD612" s="185">
        <v>54260</v>
      </c>
      <c r="AE612" s="187">
        <v>0</v>
      </c>
      <c r="AF612" s="187">
        <v>0</v>
      </c>
      <c r="AG612" s="187">
        <v>0</v>
      </c>
      <c r="AH612" s="185" t="s">
        <v>989</v>
      </c>
      <c r="AI612" s="185"/>
      <c r="AJ612" s="185"/>
      <c r="AK612" s="185" t="s">
        <v>45</v>
      </c>
      <c r="AL612" s="185" t="s">
        <v>2267</v>
      </c>
      <c r="AM612" s="185" t="s">
        <v>2269</v>
      </c>
      <c r="AN612" s="196"/>
      <c r="AO612" s="196"/>
      <c r="AP612" s="195"/>
      <c r="AQ612" s="194"/>
      <c r="AR612" s="193"/>
      <c r="AS612" s="192"/>
      <c r="AT612" s="192"/>
      <c r="AU612" s="192"/>
      <c r="AV612" s="192"/>
      <c r="AW612" s="191"/>
      <c r="AX612" s="190" t="s">
        <v>72</v>
      </c>
      <c r="AY612" s="184"/>
    </row>
    <row r="613" spans="2:51">
      <c r="B613" s="185">
        <v>2183</v>
      </c>
      <c r="C613" s="189">
        <v>167286</v>
      </c>
      <c r="D613" s="185" t="s">
        <v>989</v>
      </c>
      <c r="E613" s="185" t="s">
        <v>2003</v>
      </c>
      <c r="F613" s="185" t="s">
        <v>1374</v>
      </c>
      <c r="G613" s="185"/>
      <c r="H613" s="185"/>
      <c r="I613" s="188">
        <v>40</v>
      </c>
      <c r="J613" s="185"/>
      <c r="K613" s="188">
        <v>0</v>
      </c>
      <c r="L613" s="185" t="s">
        <v>1059</v>
      </c>
      <c r="M613" s="185"/>
      <c r="N613" s="185" t="s">
        <v>2190</v>
      </c>
      <c r="O613" s="185" t="s">
        <v>2184</v>
      </c>
      <c r="P613" s="185"/>
      <c r="Q613" s="185" t="s">
        <v>2208</v>
      </c>
      <c r="R613" s="185" t="s">
        <v>2195</v>
      </c>
      <c r="S613" s="186">
        <v>42613</v>
      </c>
      <c r="T613" s="186">
        <v>42613</v>
      </c>
      <c r="U613" s="185" t="s">
        <v>1375</v>
      </c>
      <c r="V613" s="185">
        <v>1200</v>
      </c>
      <c r="W613" s="185">
        <v>14050</v>
      </c>
      <c r="X613" s="187">
        <v>23044.400000000001</v>
      </c>
      <c r="Y613" s="185">
        <v>14056</v>
      </c>
      <c r="Z613" s="187">
        <v>14722.83</v>
      </c>
      <c r="AA613" s="187">
        <v>0</v>
      </c>
      <c r="AB613" s="187">
        <v>8321.5700000000015</v>
      </c>
      <c r="AC613" s="187">
        <v>640.12</v>
      </c>
      <c r="AD613" s="185">
        <v>54260</v>
      </c>
      <c r="AE613" s="187">
        <v>160.03</v>
      </c>
      <c r="AF613" s="187">
        <v>0</v>
      </c>
      <c r="AG613" s="187">
        <v>160.03</v>
      </c>
      <c r="AH613" s="185" t="s">
        <v>989</v>
      </c>
      <c r="AI613" s="185"/>
      <c r="AJ613" s="185"/>
      <c r="AK613" s="185" t="s">
        <v>45</v>
      </c>
      <c r="AL613" s="185" t="s">
        <v>2267</v>
      </c>
      <c r="AM613" s="185" t="s">
        <v>2269</v>
      </c>
      <c r="AN613" s="196"/>
      <c r="AO613" s="196"/>
      <c r="AP613" s="195"/>
      <c r="AQ613" s="194"/>
      <c r="AR613" s="193"/>
      <c r="AS613" s="192"/>
      <c r="AT613" s="192"/>
      <c r="AU613" s="192"/>
      <c r="AV613" s="192"/>
      <c r="AW613" s="191"/>
      <c r="AX613" s="190" t="s">
        <v>72</v>
      </c>
      <c r="AY613" s="184"/>
    </row>
    <row r="614" spans="2:51">
      <c r="B614" s="185">
        <v>2183</v>
      </c>
      <c r="C614" s="189">
        <v>167233</v>
      </c>
      <c r="D614" s="185" t="s">
        <v>989</v>
      </c>
      <c r="E614" s="185" t="s">
        <v>2003</v>
      </c>
      <c r="F614" s="185" t="s">
        <v>1376</v>
      </c>
      <c r="G614" s="185"/>
      <c r="H614" s="185"/>
      <c r="I614" s="188">
        <v>1</v>
      </c>
      <c r="J614" s="185" t="s">
        <v>1377</v>
      </c>
      <c r="K614" s="188">
        <v>2016</v>
      </c>
      <c r="L614" s="185" t="s">
        <v>1139</v>
      </c>
      <c r="M614" s="185" t="s">
        <v>1139</v>
      </c>
      <c r="N614" s="185" t="s">
        <v>2183</v>
      </c>
      <c r="O614" s="185" t="s">
        <v>2184</v>
      </c>
      <c r="P614" s="185" t="s">
        <v>2185</v>
      </c>
      <c r="Q614" s="185"/>
      <c r="R614" s="185"/>
      <c r="S614" s="186">
        <v>42632</v>
      </c>
      <c r="T614" s="186">
        <v>42632</v>
      </c>
      <c r="U614" s="185" t="s">
        <v>1369</v>
      </c>
      <c r="V614" s="185">
        <v>400</v>
      </c>
      <c r="W614" s="185">
        <v>14040</v>
      </c>
      <c r="X614" s="187">
        <v>29202.25</v>
      </c>
      <c r="Y614" s="185">
        <v>14046</v>
      </c>
      <c r="Z614" s="187">
        <v>29202.25</v>
      </c>
      <c r="AA614" s="187">
        <v>0</v>
      </c>
      <c r="AB614" s="187">
        <v>0</v>
      </c>
      <c r="AC614" s="187">
        <v>0</v>
      </c>
      <c r="AD614" s="185">
        <v>51260</v>
      </c>
      <c r="AE614" s="187">
        <v>0</v>
      </c>
      <c r="AF614" s="187">
        <v>0</v>
      </c>
      <c r="AG614" s="187">
        <v>0</v>
      </c>
      <c r="AH614" s="185" t="s">
        <v>989</v>
      </c>
      <c r="AI614" s="185"/>
      <c r="AJ614" s="185">
        <v>6056</v>
      </c>
      <c r="AK614" s="185" t="s">
        <v>45</v>
      </c>
      <c r="AL614" s="185" t="s">
        <v>2267</v>
      </c>
      <c r="AM614" s="185" t="s">
        <v>2269</v>
      </c>
      <c r="AN614" s="196"/>
      <c r="AO614" s="196"/>
      <c r="AP614" s="195"/>
      <c r="AQ614" s="194"/>
      <c r="AR614" s="193"/>
      <c r="AS614" s="192"/>
      <c r="AT614" s="192"/>
      <c r="AU614" s="192"/>
      <c r="AV614" s="192"/>
      <c r="AW614" s="191"/>
      <c r="AX614" s="190" t="s">
        <v>72</v>
      </c>
      <c r="AY614" s="184"/>
    </row>
    <row r="615" spans="2:51">
      <c r="B615" s="185">
        <v>2183</v>
      </c>
      <c r="C615" s="189">
        <v>166033</v>
      </c>
      <c r="D615" s="185" t="s">
        <v>989</v>
      </c>
      <c r="E615" s="185" t="s">
        <v>2003</v>
      </c>
      <c r="F615" s="185" t="s">
        <v>1353</v>
      </c>
      <c r="G615" s="185"/>
      <c r="H615" s="185"/>
      <c r="I615" s="188">
        <v>864</v>
      </c>
      <c r="J615" s="185"/>
      <c r="K615" s="188">
        <v>0</v>
      </c>
      <c r="L615" s="185" t="s">
        <v>1351</v>
      </c>
      <c r="M615" s="185"/>
      <c r="N615" s="185" t="s">
        <v>2190</v>
      </c>
      <c r="O615" s="185" t="s">
        <v>2184</v>
      </c>
      <c r="P615" s="185"/>
      <c r="Q615" s="185"/>
      <c r="R615" s="185"/>
      <c r="S615" s="186">
        <v>42571</v>
      </c>
      <c r="T615" s="186">
        <v>42571</v>
      </c>
      <c r="U615" s="185" t="s">
        <v>1378</v>
      </c>
      <c r="V615" s="185">
        <v>700</v>
      </c>
      <c r="W615" s="185">
        <v>14050</v>
      </c>
      <c r="X615" s="187">
        <v>36851.300000000003</v>
      </c>
      <c r="Y615" s="185">
        <v>14056</v>
      </c>
      <c r="Z615" s="187">
        <v>36851.300000000003</v>
      </c>
      <c r="AA615" s="187">
        <v>0</v>
      </c>
      <c r="AB615" s="187">
        <v>0</v>
      </c>
      <c r="AC615" s="187">
        <v>0</v>
      </c>
      <c r="AD615" s="185">
        <v>54260</v>
      </c>
      <c r="AE615" s="187">
        <v>0</v>
      </c>
      <c r="AF615" s="187">
        <v>0</v>
      </c>
      <c r="AG615" s="187">
        <v>0</v>
      </c>
      <c r="AH615" s="185" t="s">
        <v>989</v>
      </c>
      <c r="AI615" s="185"/>
      <c r="AJ615" s="185"/>
      <c r="AK615" s="185" t="s">
        <v>45</v>
      </c>
      <c r="AL615" s="185" t="s">
        <v>2267</v>
      </c>
      <c r="AM615" s="185" t="s">
        <v>2269</v>
      </c>
      <c r="AN615" s="196"/>
      <c r="AO615" s="196"/>
      <c r="AP615" s="195"/>
      <c r="AQ615" s="194"/>
      <c r="AR615" s="193"/>
      <c r="AS615" s="192"/>
      <c r="AT615" s="192"/>
      <c r="AU615" s="192"/>
      <c r="AV615" s="192"/>
      <c r="AW615" s="191"/>
      <c r="AX615" s="190" t="s">
        <v>72</v>
      </c>
      <c r="AY615" s="184"/>
    </row>
    <row r="616" spans="2:51">
      <c r="B616" s="185">
        <v>2183</v>
      </c>
      <c r="C616" s="189">
        <v>165694</v>
      </c>
      <c r="D616" s="185" t="s">
        <v>989</v>
      </c>
      <c r="E616" s="185" t="s">
        <v>2003</v>
      </c>
      <c r="F616" s="185" t="s">
        <v>1379</v>
      </c>
      <c r="G616" s="185"/>
      <c r="H616" s="185"/>
      <c r="I616" s="188">
        <v>3</v>
      </c>
      <c r="J616" s="185"/>
      <c r="K616" s="188">
        <v>0</v>
      </c>
      <c r="L616" s="185" t="s">
        <v>1059</v>
      </c>
      <c r="M616" s="185"/>
      <c r="N616" s="185" t="s">
        <v>2190</v>
      </c>
      <c r="O616" s="185" t="s">
        <v>2184</v>
      </c>
      <c r="P616" s="185"/>
      <c r="Q616" s="185" t="s">
        <v>2193</v>
      </c>
      <c r="R616" s="185" t="s">
        <v>2192</v>
      </c>
      <c r="S616" s="186">
        <v>42582</v>
      </c>
      <c r="T616" s="186">
        <v>42582</v>
      </c>
      <c r="U616" s="185" t="s">
        <v>1375</v>
      </c>
      <c r="V616" s="185">
        <v>1200</v>
      </c>
      <c r="W616" s="185">
        <v>14050</v>
      </c>
      <c r="X616" s="187">
        <v>19635</v>
      </c>
      <c r="Y616" s="185">
        <v>14056</v>
      </c>
      <c r="Z616" s="187">
        <v>12680.92</v>
      </c>
      <c r="AA616" s="187">
        <v>0</v>
      </c>
      <c r="AB616" s="187">
        <v>6954.08</v>
      </c>
      <c r="AC616" s="187">
        <v>545.4</v>
      </c>
      <c r="AD616" s="185">
        <v>54260</v>
      </c>
      <c r="AE616" s="187">
        <v>136.35</v>
      </c>
      <c r="AF616" s="187">
        <v>0</v>
      </c>
      <c r="AG616" s="187">
        <v>136.35</v>
      </c>
      <c r="AH616" s="185" t="s">
        <v>989</v>
      </c>
      <c r="AI616" s="185"/>
      <c r="AJ616" s="185"/>
      <c r="AK616" s="185" t="s">
        <v>45</v>
      </c>
      <c r="AL616" s="185" t="s">
        <v>2267</v>
      </c>
      <c r="AM616" s="185" t="s">
        <v>2269</v>
      </c>
      <c r="AN616" s="196"/>
      <c r="AO616" s="196"/>
      <c r="AP616" s="195"/>
      <c r="AQ616" s="194"/>
      <c r="AR616" s="193"/>
      <c r="AS616" s="192"/>
      <c r="AT616" s="192"/>
      <c r="AU616" s="192"/>
      <c r="AV616" s="192"/>
      <c r="AW616" s="191"/>
      <c r="AX616" s="190" t="s">
        <v>72</v>
      </c>
      <c r="AY616" s="184"/>
    </row>
    <row r="617" spans="2:51">
      <c r="B617" s="185">
        <v>2183</v>
      </c>
      <c r="C617" s="189">
        <v>165693</v>
      </c>
      <c r="D617" s="185" t="s">
        <v>989</v>
      </c>
      <c r="E617" s="185" t="s">
        <v>2003</v>
      </c>
      <c r="F617" s="185" t="s">
        <v>1380</v>
      </c>
      <c r="G617" s="185"/>
      <c r="H617" s="185"/>
      <c r="I617" s="188">
        <v>950</v>
      </c>
      <c r="J617" s="185"/>
      <c r="K617" s="188">
        <v>0</v>
      </c>
      <c r="L617" s="185" t="s">
        <v>1351</v>
      </c>
      <c r="M617" s="185"/>
      <c r="N617" s="185" t="s">
        <v>2190</v>
      </c>
      <c r="O617" s="185" t="s">
        <v>2184</v>
      </c>
      <c r="P617" s="185"/>
      <c r="Q617" s="185"/>
      <c r="R617" s="185"/>
      <c r="S617" s="186">
        <v>42571</v>
      </c>
      <c r="T617" s="186">
        <v>42571</v>
      </c>
      <c r="U617" s="185" t="s">
        <v>1378</v>
      </c>
      <c r="V617" s="185">
        <v>700</v>
      </c>
      <c r="W617" s="185">
        <v>14050</v>
      </c>
      <c r="X617" s="187">
        <v>33156.589999999997</v>
      </c>
      <c r="Y617" s="185">
        <v>14056</v>
      </c>
      <c r="Z617" s="187">
        <v>33156.589999999997</v>
      </c>
      <c r="AA617" s="187">
        <v>0</v>
      </c>
      <c r="AB617" s="187">
        <v>0</v>
      </c>
      <c r="AC617" s="187">
        <v>0</v>
      </c>
      <c r="AD617" s="185">
        <v>54260</v>
      </c>
      <c r="AE617" s="187">
        <v>0</v>
      </c>
      <c r="AF617" s="187">
        <v>0</v>
      </c>
      <c r="AG617" s="187">
        <v>0</v>
      </c>
      <c r="AH617" s="185" t="s">
        <v>989</v>
      </c>
      <c r="AI617" s="185"/>
      <c r="AJ617" s="185"/>
      <c r="AK617" s="185" t="s">
        <v>45</v>
      </c>
      <c r="AL617" s="185" t="s">
        <v>2267</v>
      </c>
      <c r="AM617" s="185" t="s">
        <v>2269</v>
      </c>
      <c r="AN617" s="196"/>
      <c r="AO617" s="196"/>
      <c r="AP617" s="195"/>
      <c r="AQ617" s="194"/>
      <c r="AR617" s="193"/>
      <c r="AS617" s="192"/>
      <c r="AT617" s="192"/>
      <c r="AU617" s="192"/>
      <c r="AV617" s="192"/>
      <c r="AW617" s="191"/>
      <c r="AX617" s="190" t="s">
        <v>72</v>
      </c>
      <c r="AY617" s="184"/>
    </row>
    <row r="618" spans="2:51">
      <c r="B618" s="185">
        <v>2183</v>
      </c>
      <c r="C618" s="189">
        <v>165692</v>
      </c>
      <c r="D618" s="185" t="s">
        <v>989</v>
      </c>
      <c r="E618" s="185" t="s">
        <v>2003</v>
      </c>
      <c r="F618" s="185" t="s">
        <v>1381</v>
      </c>
      <c r="G618" s="185"/>
      <c r="H618" s="185"/>
      <c r="I618" s="188">
        <v>624</v>
      </c>
      <c r="J618" s="185"/>
      <c r="K618" s="188">
        <v>0</v>
      </c>
      <c r="L618" s="185" t="s">
        <v>1351</v>
      </c>
      <c r="M618" s="185"/>
      <c r="N618" s="185" t="s">
        <v>2190</v>
      </c>
      <c r="O618" s="185" t="s">
        <v>2184</v>
      </c>
      <c r="P618" s="185"/>
      <c r="Q618" s="185"/>
      <c r="R618" s="185"/>
      <c r="S618" s="186">
        <v>42549</v>
      </c>
      <c r="T618" s="186">
        <v>42549</v>
      </c>
      <c r="U618" s="185" t="s">
        <v>1378</v>
      </c>
      <c r="V618" s="185">
        <v>700</v>
      </c>
      <c r="W618" s="185">
        <v>14050</v>
      </c>
      <c r="X618" s="187">
        <v>30864.1</v>
      </c>
      <c r="Y618" s="185">
        <v>14056</v>
      </c>
      <c r="Z618" s="187">
        <v>30864.1</v>
      </c>
      <c r="AA618" s="187">
        <v>0</v>
      </c>
      <c r="AB618" s="187">
        <v>0</v>
      </c>
      <c r="AC618" s="187">
        <v>0</v>
      </c>
      <c r="AD618" s="185">
        <v>54260</v>
      </c>
      <c r="AE618" s="187">
        <v>0</v>
      </c>
      <c r="AF618" s="187">
        <v>0</v>
      </c>
      <c r="AG618" s="187">
        <v>0</v>
      </c>
      <c r="AH618" s="185" t="s">
        <v>989</v>
      </c>
      <c r="AI618" s="185"/>
      <c r="AJ618" s="185"/>
      <c r="AK618" s="185" t="s">
        <v>45</v>
      </c>
      <c r="AL618" s="185" t="s">
        <v>2267</v>
      </c>
      <c r="AM618" s="185" t="s">
        <v>2269</v>
      </c>
      <c r="AN618" s="196"/>
      <c r="AO618" s="196"/>
      <c r="AP618" s="195"/>
      <c r="AQ618" s="194"/>
      <c r="AR618" s="193"/>
      <c r="AS618" s="192"/>
      <c r="AT618" s="192"/>
      <c r="AU618" s="192"/>
      <c r="AV618" s="192"/>
      <c r="AW618" s="191"/>
      <c r="AX618" s="190" t="s">
        <v>72</v>
      </c>
      <c r="AY618" s="184"/>
    </row>
    <row r="619" spans="2:51">
      <c r="B619" s="185">
        <v>2183</v>
      </c>
      <c r="C619" s="189">
        <v>165691</v>
      </c>
      <c r="D619" s="185" t="s">
        <v>989</v>
      </c>
      <c r="E619" s="185" t="s">
        <v>2003</v>
      </c>
      <c r="F619" s="185" t="s">
        <v>1382</v>
      </c>
      <c r="G619" s="185"/>
      <c r="H619" s="185"/>
      <c r="I619" s="188">
        <v>624</v>
      </c>
      <c r="J619" s="185"/>
      <c r="K619" s="188">
        <v>0</v>
      </c>
      <c r="L619" s="185" t="s">
        <v>1351</v>
      </c>
      <c r="M619" s="185"/>
      <c r="N619" s="185" t="s">
        <v>2190</v>
      </c>
      <c r="O619" s="185" t="s">
        <v>2184</v>
      </c>
      <c r="P619" s="185"/>
      <c r="Q619" s="185"/>
      <c r="R619" s="185"/>
      <c r="S619" s="186">
        <v>42549</v>
      </c>
      <c r="T619" s="186">
        <v>42549</v>
      </c>
      <c r="U619" s="185" t="s">
        <v>1378</v>
      </c>
      <c r="V619" s="185">
        <v>700</v>
      </c>
      <c r="W619" s="185">
        <v>14050</v>
      </c>
      <c r="X619" s="187">
        <v>30864.1</v>
      </c>
      <c r="Y619" s="185">
        <v>14056</v>
      </c>
      <c r="Z619" s="187">
        <v>30864.1</v>
      </c>
      <c r="AA619" s="187">
        <v>0</v>
      </c>
      <c r="AB619" s="187">
        <v>0</v>
      </c>
      <c r="AC619" s="187">
        <v>0</v>
      </c>
      <c r="AD619" s="185">
        <v>54260</v>
      </c>
      <c r="AE619" s="187">
        <v>0</v>
      </c>
      <c r="AF619" s="187">
        <v>0</v>
      </c>
      <c r="AG619" s="187">
        <v>0</v>
      </c>
      <c r="AH619" s="185" t="s">
        <v>989</v>
      </c>
      <c r="AI619" s="185"/>
      <c r="AJ619" s="185"/>
      <c r="AK619" s="185" t="s">
        <v>45</v>
      </c>
      <c r="AL619" s="185" t="s">
        <v>2267</v>
      </c>
      <c r="AM619" s="185" t="s">
        <v>2269</v>
      </c>
      <c r="AN619" s="196"/>
      <c r="AO619" s="196"/>
      <c r="AP619" s="195"/>
      <c r="AQ619" s="194"/>
      <c r="AR619" s="193"/>
      <c r="AS619" s="192"/>
      <c r="AT619" s="192"/>
      <c r="AU619" s="192"/>
      <c r="AV619" s="192"/>
      <c r="AW619" s="191"/>
      <c r="AX619" s="190" t="s">
        <v>72</v>
      </c>
      <c r="AY619" s="184"/>
    </row>
    <row r="620" spans="2:51" hidden="1">
      <c r="B620" s="185">
        <v>2183</v>
      </c>
      <c r="C620" s="189">
        <v>139930</v>
      </c>
      <c r="D620" s="185">
        <v>132279</v>
      </c>
      <c r="E620" s="185" t="s">
        <v>2003</v>
      </c>
      <c r="F620" s="185" t="s">
        <v>1383</v>
      </c>
      <c r="G620" s="185"/>
      <c r="H620" s="185"/>
      <c r="I620" s="188">
        <v>1</v>
      </c>
      <c r="J620" s="185"/>
      <c r="K620" s="188">
        <v>0</v>
      </c>
      <c r="L620" s="185" t="s">
        <v>1384</v>
      </c>
      <c r="M620" s="185"/>
      <c r="N620" s="185" t="s">
        <v>2199</v>
      </c>
      <c r="O620" s="185" t="s">
        <v>2184</v>
      </c>
      <c r="P620" s="185"/>
      <c r="Q620" s="185"/>
      <c r="R620" s="185"/>
      <c r="S620" s="186">
        <v>42490</v>
      </c>
      <c r="T620" s="186">
        <v>42490</v>
      </c>
      <c r="U620" s="185" t="s">
        <v>1385</v>
      </c>
      <c r="V620" s="185">
        <v>100</v>
      </c>
      <c r="W620" s="185">
        <v>14110</v>
      </c>
      <c r="X620" s="187">
        <v>675</v>
      </c>
      <c r="Y620" s="185">
        <v>14116</v>
      </c>
      <c r="Z620" s="187">
        <v>675</v>
      </c>
      <c r="AA620" s="187">
        <v>0</v>
      </c>
      <c r="AB620" s="187">
        <v>0</v>
      </c>
      <c r="AC620" s="187">
        <v>0</v>
      </c>
      <c r="AD620" s="185">
        <v>70260</v>
      </c>
      <c r="AE620" s="187">
        <v>0</v>
      </c>
      <c r="AF620" s="187">
        <v>0</v>
      </c>
      <c r="AG620" s="187">
        <v>0</v>
      </c>
      <c r="AH620" s="185" t="s">
        <v>989</v>
      </c>
      <c r="AI620" s="185"/>
      <c r="AJ620" s="185"/>
      <c r="AK620" s="185" t="s">
        <v>45</v>
      </c>
      <c r="AL620" s="185" t="s">
        <v>2267</v>
      </c>
      <c r="AM620" s="185" t="s">
        <v>2269</v>
      </c>
      <c r="AN620" s="196"/>
      <c r="AO620" s="196"/>
      <c r="AP620" s="195"/>
      <c r="AQ620" s="194"/>
      <c r="AR620" s="193"/>
      <c r="AS620" s="192"/>
      <c r="AT620" s="192"/>
      <c r="AU620" s="192"/>
      <c r="AV620" s="192"/>
      <c r="AW620" s="191"/>
      <c r="AX620" s="190" t="s">
        <v>72</v>
      </c>
      <c r="AY620" s="184"/>
    </row>
    <row r="621" spans="2:51" hidden="1">
      <c r="B621" s="185">
        <v>2183</v>
      </c>
      <c r="C621" s="189">
        <v>139785</v>
      </c>
      <c r="D621" s="185">
        <v>132279</v>
      </c>
      <c r="E621" s="185" t="s">
        <v>2003</v>
      </c>
      <c r="F621" s="185" t="s">
        <v>1386</v>
      </c>
      <c r="G621" s="185"/>
      <c r="H621" s="185"/>
      <c r="I621" s="188">
        <v>1</v>
      </c>
      <c r="J621" s="185"/>
      <c r="K621" s="188">
        <v>0</v>
      </c>
      <c r="L621" s="185" t="s">
        <v>1387</v>
      </c>
      <c r="M621" s="185"/>
      <c r="N621" s="185" t="s">
        <v>2199</v>
      </c>
      <c r="O621" s="185" t="s">
        <v>2184</v>
      </c>
      <c r="P621" s="185"/>
      <c r="Q621" s="185"/>
      <c r="R621" s="185"/>
      <c r="S621" s="186">
        <v>42490</v>
      </c>
      <c r="T621" s="186">
        <v>42490</v>
      </c>
      <c r="U621" s="185" t="s">
        <v>1385</v>
      </c>
      <c r="V621" s="185">
        <v>100</v>
      </c>
      <c r="W621" s="185">
        <v>14110</v>
      </c>
      <c r="X621" s="187">
        <v>16641.82</v>
      </c>
      <c r="Y621" s="185">
        <v>14116</v>
      </c>
      <c r="Z621" s="187">
        <v>16641.82</v>
      </c>
      <c r="AA621" s="187">
        <v>0</v>
      </c>
      <c r="AB621" s="187">
        <v>0</v>
      </c>
      <c r="AC621" s="187">
        <v>0</v>
      </c>
      <c r="AD621" s="185">
        <v>70260</v>
      </c>
      <c r="AE621" s="187">
        <v>0</v>
      </c>
      <c r="AF621" s="187">
        <v>0</v>
      </c>
      <c r="AG621" s="187">
        <v>0</v>
      </c>
      <c r="AH621" s="185" t="s">
        <v>989</v>
      </c>
      <c r="AI621" s="185"/>
      <c r="AJ621" s="185"/>
      <c r="AK621" s="185" t="s">
        <v>45</v>
      </c>
      <c r="AL621" s="185" t="s">
        <v>2267</v>
      </c>
      <c r="AM621" s="185" t="s">
        <v>2269</v>
      </c>
      <c r="AN621" s="196"/>
      <c r="AO621" s="196"/>
      <c r="AP621" s="195"/>
      <c r="AQ621" s="194"/>
      <c r="AR621" s="193"/>
      <c r="AS621" s="192"/>
      <c r="AT621" s="192"/>
      <c r="AU621" s="192"/>
      <c r="AV621" s="192"/>
      <c r="AW621" s="191"/>
      <c r="AX621" s="190" t="s">
        <v>72</v>
      </c>
      <c r="AY621" s="184"/>
    </row>
    <row r="622" spans="2:51">
      <c r="B622" s="185">
        <v>2183</v>
      </c>
      <c r="C622" s="189">
        <v>133138</v>
      </c>
      <c r="D622" s="185" t="s">
        <v>989</v>
      </c>
      <c r="E622" s="185" t="s">
        <v>2003</v>
      </c>
      <c r="F622" s="185" t="s">
        <v>594</v>
      </c>
      <c r="G622" s="185"/>
      <c r="H622" s="185"/>
      <c r="I622" s="188">
        <v>1</v>
      </c>
      <c r="J622" s="185"/>
      <c r="K622" s="188">
        <v>0</v>
      </c>
      <c r="L622" s="185" t="s">
        <v>1145</v>
      </c>
      <c r="M622" s="185"/>
      <c r="N622" s="185" t="s">
        <v>2199</v>
      </c>
      <c r="O622" s="185" t="s">
        <v>2184</v>
      </c>
      <c r="P622" s="185"/>
      <c r="Q622" s="185"/>
      <c r="R622" s="185"/>
      <c r="S622" s="186">
        <v>42416</v>
      </c>
      <c r="T622" s="186">
        <v>42416</v>
      </c>
      <c r="U622" s="185" t="s">
        <v>1388</v>
      </c>
      <c r="V622" s="185">
        <v>300</v>
      </c>
      <c r="W622" s="185">
        <v>14110</v>
      </c>
      <c r="X622" s="187">
        <v>1045.18</v>
      </c>
      <c r="Y622" s="185">
        <v>14116</v>
      </c>
      <c r="Z622" s="187">
        <v>1045.18</v>
      </c>
      <c r="AA622" s="187">
        <v>0</v>
      </c>
      <c r="AB622" s="187">
        <v>0</v>
      </c>
      <c r="AC622" s="187">
        <v>0</v>
      </c>
      <c r="AD622" s="185">
        <v>70260</v>
      </c>
      <c r="AE622" s="187">
        <v>0</v>
      </c>
      <c r="AF622" s="187">
        <v>0</v>
      </c>
      <c r="AG622" s="187">
        <v>0</v>
      </c>
      <c r="AH622" s="185" t="s">
        <v>989</v>
      </c>
      <c r="AI622" s="185"/>
      <c r="AJ622" s="185"/>
      <c r="AK622" s="185" t="s">
        <v>45</v>
      </c>
      <c r="AL622" s="185" t="s">
        <v>2267</v>
      </c>
      <c r="AM622" s="185" t="s">
        <v>2269</v>
      </c>
      <c r="AN622" s="196"/>
      <c r="AO622" s="196"/>
      <c r="AP622" s="195"/>
      <c r="AQ622" s="194"/>
      <c r="AR622" s="193"/>
      <c r="AS622" s="192"/>
      <c r="AT622" s="192"/>
      <c r="AU622" s="192"/>
      <c r="AV622" s="192"/>
      <c r="AW622" s="191"/>
      <c r="AX622" s="190" t="s">
        <v>72</v>
      </c>
      <c r="AY622" s="184"/>
    </row>
    <row r="623" spans="2:51">
      <c r="B623" s="185">
        <v>2183</v>
      </c>
      <c r="C623" s="189">
        <v>132591</v>
      </c>
      <c r="D623" s="185" t="s">
        <v>989</v>
      </c>
      <c r="E623" s="185" t="s">
        <v>2003</v>
      </c>
      <c r="F623" s="185" t="s">
        <v>1389</v>
      </c>
      <c r="G623" s="185"/>
      <c r="H623" s="185"/>
      <c r="I623" s="188">
        <v>6</v>
      </c>
      <c r="J623" s="185"/>
      <c r="K623" s="188">
        <v>0</v>
      </c>
      <c r="L623" s="185" t="s">
        <v>1059</v>
      </c>
      <c r="M623" s="185"/>
      <c r="N623" s="185" t="s">
        <v>2190</v>
      </c>
      <c r="O623" s="185" t="s">
        <v>2184</v>
      </c>
      <c r="P623" s="185"/>
      <c r="Q623" s="185" t="s">
        <v>2193</v>
      </c>
      <c r="R623" s="185" t="s">
        <v>2192</v>
      </c>
      <c r="S623" s="186">
        <v>42490</v>
      </c>
      <c r="T623" s="186">
        <v>42490</v>
      </c>
      <c r="U623" s="185" t="s">
        <v>1390</v>
      </c>
      <c r="V623" s="185">
        <v>1200</v>
      </c>
      <c r="W623" s="185">
        <v>14050</v>
      </c>
      <c r="X623" s="187">
        <v>39270</v>
      </c>
      <c r="Y623" s="185">
        <v>14056</v>
      </c>
      <c r="Z623" s="187">
        <v>26180.01</v>
      </c>
      <c r="AA623" s="187">
        <v>0</v>
      </c>
      <c r="AB623" s="187">
        <v>13089.990000000002</v>
      </c>
      <c r="AC623" s="187">
        <v>1090.8399999999999</v>
      </c>
      <c r="AD623" s="185">
        <v>54260</v>
      </c>
      <c r="AE623" s="187">
        <v>272.70999999999998</v>
      </c>
      <c r="AF623" s="187">
        <v>0</v>
      </c>
      <c r="AG623" s="187">
        <v>272.70999999999998</v>
      </c>
      <c r="AH623" s="185" t="s">
        <v>989</v>
      </c>
      <c r="AI623" s="185"/>
      <c r="AJ623" s="185"/>
      <c r="AK623" s="185" t="s">
        <v>45</v>
      </c>
      <c r="AL623" s="185" t="s">
        <v>2267</v>
      </c>
      <c r="AM623" s="185" t="s">
        <v>2269</v>
      </c>
      <c r="AN623" s="196"/>
      <c r="AO623" s="196"/>
      <c r="AP623" s="195"/>
      <c r="AQ623" s="194"/>
      <c r="AR623" s="193"/>
      <c r="AS623" s="192"/>
      <c r="AT623" s="192"/>
      <c r="AU623" s="192"/>
      <c r="AV623" s="192"/>
      <c r="AW623" s="191"/>
      <c r="AX623" s="190" t="s">
        <v>72</v>
      </c>
      <c r="AY623" s="184"/>
    </row>
    <row r="624" spans="2:51">
      <c r="B624" s="185">
        <v>2183</v>
      </c>
      <c r="C624" s="189">
        <v>132482</v>
      </c>
      <c r="D624" s="185" t="s">
        <v>989</v>
      </c>
      <c r="E624" s="185" t="s">
        <v>2003</v>
      </c>
      <c r="F624" s="185" t="s">
        <v>1391</v>
      </c>
      <c r="G624" s="185"/>
      <c r="H624" s="185"/>
      <c r="I624" s="188">
        <v>15</v>
      </c>
      <c r="J624" s="185"/>
      <c r="K624" s="188">
        <v>0</v>
      </c>
      <c r="L624" s="185" t="s">
        <v>1059</v>
      </c>
      <c r="M624" s="185"/>
      <c r="N624" s="185" t="s">
        <v>2190</v>
      </c>
      <c r="O624" s="185" t="s">
        <v>2184</v>
      </c>
      <c r="P624" s="185"/>
      <c r="Q624" s="185" t="s">
        <v>2200</v>
      </c>
      <c r="R624" s="185" t="s">
        <v>2195</v>
      </c>
      <c r="S624" s="186">
        <v>42489</v>
      </c>
      <c r="T624" s="186">
        <v>42489</v>
      </c>
      <c r="U624" s="185" t="s">
        <v>1392</v>
      </c>
      <c r="V624" s="185">
        <v>1200</v>
      </c>
      <c r="W624" s="185">
        <v>14050</v>
      </c>
      <c r="X624" s="187">
        <v>7092.68</v>
      </c>
      <c r="Y624" s="185">
        <v>14056</v>
      </c>
      <c r="Z624" s="187">
        <v>4728.46</v>
      </c>
      <c r="AA624" s="187">
        <v>0</v>
      </c>
      <c r="AB624" s="187">
        <v>2364.2200000000003</v>
      </c>
      <c r="AC624" s="187">
        <v>197</v>
      </c>
      <c r="AD624" s="185">
        <v>54260</v>
      </c>
      <c r="AE624" s="187">
        <v>49.25</v>
      </c>
      <c r="AF624" s="187">
        <v>0</v>
      </c>
      <c r="AG624" s="187">
        <v>49.25</v>
      </c>
      <c r="AH624" s="185" t="s">
        <v>989</v>
      </c>
      <c r="AI624" s="185"/>
      <c r="AJ624" s="185"/>
      <c r="AK624" s="185" t="s">
        <v>45</v>
      </c>
      <c r="AL624" s="185" t="s">
        <v>2267</v>
      </c>
      <c r="AM624" s="185" t="s">
        <v>2269</v>
      </c>
      <c r="AN624" s="196"/>
      <c r="AO624" s="196"/>
      <c r="AP624" s="195"/>
      <c r="AQ624" s="194"/>
      <c r="AR624" s="193"/>
      <c r="AS624" s="192"/>
      <c r="AT624" s="192"/>
      <c r="AU624" s="192"/>
      <c r="AV624" s="192"/>
      <c r="AW624" s="191"/>
      <c r="AX624" s="190" t="s">
        <v>72</v>
      </c>
      <c r="AY624" s="184"/>
    </row>
    <row r="625" spans="2:51">
      <c r="B625" s="185">
        <v>2183</v>
      </c>
      <c r="C625" s="189">
        <v>132481</v>
      </c>
      <c r="D625" s="185" t="s">
        <v>989</v>
      </c>
      <c r="E625" s="185" t="s">
        <v>2003</v>
      </c>
      <c r="F625" s="185" t="s">
        <v>627</v>
      </c>
      <c r="G625" s="185"/>
      <c r="H625" s="185"/>
      <c r="I625" s="188">
        <v>25</v>
      </c>
      <c r="J625" s="185"/>
      <c r="K625" s="188">
        <v>0</v>
      </c>
      <c r="L625" s="185" t="s">
        <v>1059</v>
      </c>
      <c r="M625" s="185"/>
      <c r="N625" s="185" t="s">
        <v>2190</v>
      </c>
      <c r="O625" s="185" t="s">
        <v>2184</v>
      </c>
      <c r="P625" s="185"/>
      <c r="Q625" s="185" t="s">
        <v>2209</v>
      </c>
      <c r="R625" s="185" t="s">
        <v>2195</v>
      </c>
      <c r="S625" s="186">
        <v>42489</v>
      </c>
      <c r="T625" s="186">
        <v>42489</v>
      </c>
      <c r="U625" s="185" t="s">
        <v>1393</v>
      </c>
      <c r="V625" s="185">
        <v>1200</v>
      </c>
      <c r="W625" s="185">
        <v>14050</v>
      </c>
      <c r="X625" s="187">
        <v>10870</v>
      </c>
      <c r="Y625" s="185">
        <v>14056</v>
      </c>
      <c r="Z625" s="187">
        <v>7246.66</v>
      </c>
      <c r="AA625" s="187">
        <v>0</v>
      </c>
      <c r="AB625" s="187">
        <v>3623.34</v>
      </c>
      <c r="AC625" s="187">
        <v>301.95999999999998</v>
      </c>
      <c r="AD625" s="185">
        <v>54260</v>
      </c>
      <c r="AE625" s="187">
        <v>75.489999999999995</v>
      </c>
      <c r="AF625" s="187">
        <v>0</v>
      </c>
      <c r="AG625" s="187">
        <v>75.489999999999995</v>
      </c>
      <c r="AH625" s="185" t="s">
        <v>989</v>
      </c>
      <c r="AI625" s="185"/>
      <c r="AJ625" s="185"/>
      <c r="AK625" s="185" t="s">
        <v>45</v>
      </c>
      <c r="AL625" s="185" t="s">
        <v>2267</v>
      </c>
      <c r="AM625" s="185" t="s">
        <v>2269</v>
      </c>
      <c r="AN625" s="196"/>
      <c r="AO625" s="196"/>
      <c r="AP625" s="195"/>
      <c r="AQ625" s="194"/>
      <c r="AR625" s="193"/>
      <c r="AS625" s="192"/>
      <c r="AT625" s="192"/>
      <c r="AU625" s="192"/>
      <c r="AV625" s="192"/>
      <c r="AW625" s="191"/>
      <c r="AX625" s="190" t="s">
        <v>72</v>
      </c>
      <c r="AY625" s="184"/>
    </row>
    <row r="626" spans="2:51">
      <c r="B626" s="185">
        <v>2183</v>
      </c>
      <c r="C626" s="189">
        <v>132480</v>
      </c>
      <c r="D626" s="185" t="s">
        <v>989</v>
      </c>
      <c r="E626" s="185" t="s">
        <v>2003</v>
      </c>
      <c r="F626" s="185" t="s">
        <v>1394</v>
      </c>
      <c r="G626" s="185"/>
      <c r="H626" s="185"/>
      <c r="I626" s="188">
        <v>10</v>
      </c>
      <c r="J626" s="185"/>
      <c r="K626" s="188">
        <v>0</v>
      </c>
      <c r="L626" s="185" t="s">
        <v>1059</v>
      </c>
      <c r="M626" s="185"/>
      <c r="N626" s="185" t="s">
        <v>2190</v>
      </c>
      <c r="O626" s="185" t="s">
        <v>2184</v>
      </c>
      <c r="P626" s="185"/>
      <c r="Q626" s="185" t="s">
        <v>2214</v>
      </c>
      <c r="R626" s="185" t="s">
        <v>2195</v>
      </c>
      <c r="S626" s="186">
        <v>42489</v>
      </c>
      <c r="T626" s="186">
        <v>42489</v>
      </c>
      <c r="U626" s="185" t="s">
        <v>1393</v>
      </c>
      <c r="V626" s="185">
        <v>1200</v>
      </c>
      <c r="W626" s="185">
        <v>14050</v>
      </c>
      <c r="X626" s="187">
        <v>6282.86</v>
      </c>
      <c r="Y626" s="185">
        <v>14056</v>
      </c>
      <c r="Z626" s="187">
        <v>4188.5600000000004</v>
      </c>
      <c r="AA626" s="187">
        <v>0</v>
      </c>
      <c r="AB626" s="187">
        <v>2094.2999999999993</v>
      </c>
      <c r="AC626" s="187">
        <v>174.52</v>
      </c>
      <c r="AD626" s="185">
        <v>54260</v>
      </c>
      <c r="AE626" s="187">
        <v>43.63</v>
      </c>
      <c r="AF626" s="187">
        <v>0</v>
      </c>
      <c r="AG626" s="187">
        <v>43.63</v>
      </c>
      <c r="AH626" s="185" t="s">
        <v>989</v>
      </c>
      <c r="AI626" s="185"/>
      <c r="AJ626" s="185"/>
      <c r="AK626" s="185" t="s">
        <v>45</v>
      </c>
      <c r="AL626" s="185" t="s">
        <v>2267</v>
      </c>
      <c r="AM626" s="185" t="s">
        <v>2269</v>
      </c>
      <c r="AN626" s="196"/>
      <c r="AO626" s="196"/>
      <c r="AP626" s="195"/>
      <c r="AQ626" s="194"/>
      <c r="AR626" s="193"/>
      <c r="AS626" s="192"/>
      <c r="AT626" s="192"/>
      <c r="AU626" s="192"/>
      <c r="AV626" s="192"/>
      <c r="AW626" s="191"/>
      <c r="AX626" s="190" t="s">
        <v>72</v>
      </c>
      <c r="AY626" s="184"/>
    </row>
    <row r="627" spans="2:51">
      <c r="B627" s="185">
        <v>2183</v>
      </c>
      <c r="C627" s="189">
        <v>132479</v>
      </c>
      <c r="D627" s="185" t="s">
        <v>989</v>
      </c>
      <c r="E627" s="185" t="s">
        <v>2003</v>
      </c>
      <c r="F627" s="185" t="s">
        <v>1395</v>
      </c>
      <c r="G627" s="185"/>
      <c r="H627" s="185"/>
      <c r="I627" s="188">
        <v>3</v>
      </c>
      <c r="J627" s="185"/>
      <c r="K627" s="188">
        <v>0</v>
      </c>
      <c r="L627" s="185" t="s">
        <v>1059</v>
      </c>
      <c r="M627" s="185"/>
      <c r="N627" s="185" t="s">
        <v>2190</v>
      </c>
      <c r="O627" s="185" t="s">
        <v>2184</v>
      </c>
      <c r="P627" s="185"/>
      <c r="Q627" s="185" t="s">
        <v>2191</v>
      </c>
      <c r="R627" s="185" t="s">
        <v>2192</v>
      </c>
      <c r="S627" s="186">
        <v>42486</v>
      </c>
      <c r="T627" s="186">
        <v>42486</v>
      </c>
      <c r="U627" s="185" t="s">
        <v>1390</v>
      </c>
      <c r="V627" s="185">
        <v>1200</v>
      </c>
      <c r="W627" s="185">
        <v>14050</v>
      </c>
      <c r="X627" s="187">
        <v>17610</v>
      </c>
      <c r="Y627" s="185">
        <v>14056</v>
      </c>
      <c r="Z627" s="187">
        <v>11739.99</v>
      </c>
      <c r="AA627" s="187">
        <v>0</v>
      </c>
      <c r="AB627" s="187">
        <v>5870.01</v>
      </c>
      <c r="AC627" s="187">
        <v>489.16</v>
      </c>
      <c r="AD627" s="185">
        <v>54260</v>
      </c>
      <c r="AE627" s="187">
        <v>122.29</v>
      </c>
      <c r="AF627" s="187">
        <v>0</v>
      </c>
      <c r="AG627" s="187">
        <v>122.29</v>
      </c>
      <c r="AH627" s="185" t="s">
        <v>989</v>
      </c>
      <c r="AI627" s="185"/>
      <c r="AJ627" s="185"/>
      <c r="AK627" s="185" t="s">
        <v>45</v>
      </c>
      <c r="AL627" s="185" t="s">
        <v>2267</v>
      </c>
      <c r="AM627" s="185" t="s">
        <v>2269</v>
      </c>
      <c r="AN627" s="196"/>
      <c r="AO627" s="196"/>
      <c r="AP627" s="195"/>
      <c r="AQ627" s="194"/>
      <c r="AR627" s="193"/>
      <c r="AS627" s="192"/>
      <c r="AT627" s="192"/>
      <c r="AU627" s="192"/>
      <c r="AV627" s="192"/>
      <c r="AW627" s="191"/>
      <c r="AX627" s="190" t="s">
        <v>72</v>
      </c>
      <c r="AY627" s="184"/>
    </row>
    <row r="628" spans="2:51">
      <c r="B628" s="185">
        <v>2183</v>
      </c>
      <c r="C628" s="189">
        <v>132478</v>
      </c>
      <c r="D628" s="185" t="s">
        <v>989</v>
      </c>
      <c r="E628" s="185" t="s">
        <v>2003</v>
      </c>
      <c r="F628" s="185" t="s">
        <v>1396</v>
      </c>
      <c r="G628" s="185"/>
      <c r="H628" s="185"/>
      <c r="I628" s="188">
        <v>15</v>
      </c>
      <c r="J628" s="185"/>
      <c r="K628" s="188">
        <v>0</v>
      </c>
      <c r="L628" s="185" t="s">
        <v>1059</v>
      </c>
      <c r="M628" s="185"/>
      <c r="N628" s="185" t="s">
        <v>2190</v>
      </c>
      <c r="O628" s="185" t="s">
        <v>2184</v>
      </c>
      <c r="P628" s="185"/>
      <c r="Q628" s="185" t="s">
        <v>2194</v>
      </c>
      <c r="R628" s="185" t="s">
        <v>2195</v>
      </c>
      <c r="S628" s="186">
        <v>42478</v>
      </c>
      <c r="T628" s="186">
        <v>42478</v>
      </c>
      <c r="U628" s="185" t="s">
        <v>1392</v>
      </c>
      <c r="V628" s="185">
        <v>1200</v>
      </c>
      <c r="W628" s="185">
        <v>14050</v>
      </c>
      <c r="X628" s="187">
        <v>12636.38</v>
      </c>
      <c r="Y628" s="185">
        <v>14056</v>
      </c>
      <c r="Z628" s="187">
        <v>8424.23</v>
      </c>
      <c r="AA628" s="187">
        <v>0</v>
      </c>
      <c r="AB628" s="187">
        <v>4212.1499999999996</v>
      </c>
      <c r="AC628" s="187">
        <v>351</v>
      </c>
      <c r="AD628" s="185">
        <v>54260</v>
      </c>
      <c r="AE628" s="187">
        <v>87.75</v>
      </c>
      <c r="AF628" s="187">
        <v>0</v>
      </c>
      <c r="AG628" s="187">
        <v>87.75</v>
      </c>
      <c r="AH628" s="185" t="s">
        <v>989</v>
      </c>
      <c r="AI628" s="185"/>
      <c r="AJ628" s="185"/>
      <c r="AK628" s="185" t="s">
        <v>45</v>
      </c>
      <c r="AL628" s="185" t="s">
        <v>2267</v>
      </c>
      <c r="AM628" s="185" t="s">
        <v>2269</v>
      </c>
      <c r="AN628" s="196"/>
      <c r="AO628" s="196"/>
      <c r="AP628" s="195"/>
      <c r="AQ628" s="194"/>
      <c r="AR628" s="193"/>
      <c r="AS628" s="192"/>
      <c r="AT628" s="192"/>
      <c r="AU628" s="192"/>
      <c r="AV628" s="192"/>
      <c r="AW628" s="191"/>
      <c r="AX628" s="190" t="s">
        <v>72</v>
      </c>
      <c r="AY628" s="184"/>
    </row>
    <row r="629" spans="2:51">
      <c r="B629" s="185">
        <v>2183</v>
      </c>
      <c r="C629" s="189">
        <v>132279</v>
      </c>
      <c r="D629" s="185" t="s">
        <v>989</v>
      </c>
      <c r="E629" s="185" t="s">
        <v>2003</v>
      </c>
      <c r="F629" s="185" t="s">
        <v>1397</v>
      </c>
      <c r="G629" s="185"/>
      <c r="H629" s="185"/>
      <c r="I629" s="188">
        <v>1</v>
      </c>
      <c r="J629" s="185"/>
      <c r="K629" s="188">
        <v>0</v>
      </c>
      <c r="L629" s="185" t="s">
        <v>1398</v>
      </c>
      <c r="M629" s="185"/>
      <c r="N629" s="185" t="s">
        <v>2199</v>
      </c>
      <c r="O629" s="185" t="s">
        <v>2184</v>
      </c>
      <c r="P629" s="185"/>
      <c r="Q629" s="185"/>
      <c r="R629" s="185"/>
      <c r="S629" s="186">
        <v>42490</v>
      </c>
      <c r="T629" s="186">
        <v>42490</v>
      </c>
      <c r="U629" s="185" t="s">
        <v>1385</v>
      </c>
      <c r="V629" s="185">
        <v>100</v>
      </c>
      <c r="W629" s="185">
        <v>14110</v>
      </c>
      <c r="X629" s="187">
        <v>14612.94</v>
      </c>
      <c r="Y629" s="185">
        <v>14116</v>
      </c>
      <c r="Z629" s="187">
        <v>14612.94</v>
      </c>
      <c r="AA629" s="187">
        <v>0</v>
      </c>
      <c r="AB629" s="187">
        <v>0</v>
      </c>
      <c r="AC629" s="187">
        <v>0</v>
      </c>
      <c r="AD629" s="185">
        <v>70260</v>
      </c>
      <c r="AE629" s="187">
        <v>0</v>
      </c>
      <c r="AF629" s="187">
        <v>0</v>
      </c>
      <c r="AG629" s="187">
        <v>0</v>
      </c>
      <c r="AH629" s="185" t="s">
        <v>989</v>
      </c>
      <c r="AI629" s="185"/>
      <c r="AJ629" s="185"/>
      <c r="AK629" s="185" t="s">
        <v>45</v>
      </c>
      <c r="AL629" s="185" t="s">
        <v>2267</v>
      </c>
      <c r="AM629" s="185" t="s">
        <v>2269</v>
      </c>
      <c r="AN629" s="196"/>
      <c r="AO629" s="196"/>
      <c r="AP629" s="195"/>
      <c r="AQ629" s="194"/>
      <c r="AR629" s="193"/>
      <c r="AS629" s="192"/>
      <c r="AT629" s="192"/>
      <c r="AU629" s="192"/>
      <c r="AV629" s="192"/>
      <c r="AW629" s="191"/>
      <c r="AX629" s="190" t="s">
        <v>72</v>
      </c>
      <c r="AY629" s="184"/>
    </row>
    <row r="630" spans="2:51">
      <c r="B630" s="185">
        <v>2183</v>
      </c>
      <c r="C630" s="189">
        <v>131777</v>
      </c>
      <c r="D630" s="185" t="s">
        <v>989</v>
      </c>
      <c r="E630" s="185" t="s">
        <v>2003</v>
      </c>
      <c r="F630" s="185" t="s">
        <v>1399</v>
      </c>
      <c r="G630" s="185"/>
      <c r="H630" s="185"/>
      <c r="I630" s="188">
        <v>312</v>
      </c>
      <c r="J630" s="185"/>
      <c r="K630" s="188">
        <v>0</v>
      </c>
      <c r="L630" s="185" t="s">
        <v>1351</v>
      </c>
      <c r="M630" s="185"/>
      <c r="N630" s="185" t="s">
        <v>2190</v>
      </c>
      <c r="O630" s="185" t="s">
        <v>2184</v>
      </c>
      <c r="P630" s="185"/>
      <c r="Q630" s="185"/>
      <c r="R630" s="185"/>
      <c r="S630" s="186">
        <v>42443</v>
      </c>
      <c r="T630" s="186">
        <v>42443</v>
      </c>
      <c r="U630" s="185" t="s">
        <v>1400</v>
      </c>
      <c r="V630" s="185">
        <v>700</v>
      </c>
      <c r="W630" s="185">
        <v>14050</v>
      </c>
      <c r="X630" s="187">
        <v>15417.47</v>
      </c>
      <c r="Y630" s="185">
        <v>14056</v>
      </c>
      <c r="Z630" s="187">
        <v>15417.47</v>
      </c>
      <c r="AA630" s="187">
        <v>0</v>
      </c>
      <c r="AB630" s="187">
        <v>0</v>
      </c>
      <c r="AC630" s="187">
        <v>0</v>
      </c>
      <c r="AD630" s="185">
        <v>54260</v>
      </c>
      <c r="AE630" s="187">
        <v>0</v>
      </c>
      <c r="AF630" s="187">
        <v>0</v>
      </c>
      <c r="AG630" s="187">
        <v>0</v>
      </c>
      <c r="AH630" s="185" t="s">
        <v>989</v>
      </c>
      <c r="AI630" s="185"/>
      <c r="AJ630" s="185"/>
      <c r="AK630" s="185" t="s">
        <v>45</v>
      </c>
      <c r="AL630" s="185" t="s">
        <v>2267</v>
      </c>
      <c r="AM630" s="185" t="s">
        <v>2269</v>
      </c>
      <c r="AN630" s="196"/>
      <c r="AO630" s="196"/>
      <c r="AP630" s="195"/>
      <c r="AQ630" s="194"/>
      <c r="AR630" s="193"/>
      <c r="AS630" s="192"/>
      <c r="AT630" s="192"/>
      <c r="AU630" s="192"/>
      <c r="AV630" s="192"/>
      <c r="AW630" s="191"/>
      <c r="AX630" s="190" t="s">
        <v>72</v>
      </c>
      <c r="AY630" s="184"/>
    </row>
    <row r="631" spans="2:51">
      <c r="B631" s="185">
        <v>2183</v>
      </c>
      <c r="C631" s="189">
        <v>131776</v>
      </c>
      <c r="D631" s="185" t="s">
        <v>989</v>
      </c>
      <c r="E631" s="185" t="s">
        <v>2003</v>
      </c>
      <c r="F631" s="185" t="s">
        <v>1401</v>
      </c>
      <c r="G631" s="185"/>
      <c r="H631" s="185"/>
      <c r="I631" s="188">
        <v>312</v>
      </c>
      <c r="J631" s="185"/>
      <c r="K631" s="188">
        <v>0</v>
      </c>
      <c r="L631" s="185" t="s">
        <v>1351</v>
      </c>
      <c r="M631" s="185"/>
      <c r="N631" s="185" t="s">
        <v>2190</v>
      </c>
      <c r="O631" s="185" t="s">
        <v>2184</v>
      </c>
      <c r="P631" s="185"/>
      <c r="Q631" s="185"/>
      <c r="R631" s="185"/>
      <c r="S631" s="186">
        <v>42443</v>
      </c>
      <c r="T631" s="186">
        <v>42443</v>
      </c>
      <c r="U631" s="185" t="s">
        <v>1400</v>
      </c>
      <c r="V631" s="185">
        <v>700</v>
      </c>
      <c r="W631" s="185">
        <v>14050</v>
      </c>
      <c r="X631" s="187">
        <v>15417.47</v>
      </c>
      <c r="Y631" s="185">
        <v>14056</v>
      </c>
      <c r="Z631" s="187">
        <v>15417.47</v>
      </c>
      <c r="AA631" s="187">
        <v>0</v>
      </c>
      <c r="AB631" s="187">
        <v>0</v>
      </c>
      <c r="AC631" s="187">
        <v>0</v>
      </c>
      <c r="AD631" s="185">
        <v>54260</v>
      </c>
      <c r="AE631" s="187">
        <v>0</v>
      </c>
      <c r="AF631" s="187">
        <v>0</v>
      </c>
      <c r="AG631" s="187">
        <v>0</v>
      </c>
      <c r="AH631" s="185" t="s">
        <v>989</v>
      </c>
      <c r="AI631" s="185"/>
      <c r="AJ631" s="185"/>
      <c r="AK631" s="185" t="s">
        <v>45</v>
      </c>
      <c r="AL631" s="185" t="s">
        <v>2267</v>
      </c>
      <c r="AM631" s="185" t="s">
        <v>2269</v>
      </c>
      <c r="AN631" s="196"/>
      <c r="AO631" s="196"/>
      <c r="AP631" s="195"/>
      <c r="AQ631" s="194"/>
      <c r="AR631" s="193"/>
      <c r="AS631" s="192"/>
      <c r="AT631" s="192"/>
      <c r="AU631" s="192"/>
      <c r="AV631" s="192"/>
      <c r="AW631" s="191"/>
      <c r="AX631" s="190" t="s">
        <v>72</v>
      </c>
      <c r="AY631" s="184"/>
    </row>
    <row r="632" spans="2:51">
      <c r="B632" s="185">
        <v>2183</v>
      </c>
      <c r="C632" s="189">
        <v>131756</v>
      </c>
      <c r="D632" s="185" t="s">
        <v>989</v>
      </c>
      <c r="E632" s="185" t="s">
        <v>2003</v>
      </c>
      <c r="F632" s="185" t="s">
        <v>1402</v>
      </c>
      <c r="G632" s="185"/>
      <c r="H632" s="185"/>
      <c r="I632" s="188">
        <v>840</v>
      </c>
      <c r="J632" s="185"/>
      <c r="K632" s="188">
        <v>0</v>
      </c>
      <c r="L632" s="185" t="s">
        <v>1351</v>
      </c>
      <c r="M632" s="185"/>
      <c r="N632" s="185" t="s">
        <v>2190</v>
      </c>
      <c r="O632" s="185" t="s">
        <v>2184</v>
      </c>
      <c r="P632" s="185"/>
      <c r="Q632" s="185"/>
      <c r="R632" s="185"/>
      <c r="S632" s="186">
        <v>42461</v>
      </c>
      <c r="T632" s="186">
        <v>42461</v>
      </c>
      <c r="U632" s="185" t="s">
        <v>1400</v>
      </c>
      <c r="V632" s="185">
        <v>700</v>
      </c>
      <c r="W632" s="185">
        <v>14050</v>
      </c>
      <c r="X632" s="187">
        <v>29504.44</v>
      </c>
      <c r="Y632" s="185">
        <v>14056</v>
      </c>
      <c r="Z632" s="187">
        <v>29504.44</v>
      </c>
      <c r="AA632" s="187">
        <v>0</v>
      </c>
      <c r="AB632" s="187">
        <v>0</v>
      </c>
      <c r="AC632" s="187">
        <v>0</v>
      </c>
      <c r="AD632" s="185">
        <v>54260</v>
      </c>
      <c r="AE632" s="187">
        <v>0</v>
      </c>
      <c r="AF632" s="187">
        <v>0</v>
      </c>
      <c r="AG632" s="187">
        <v>0</v>
      </c>
      <c r="AH632" s="185" t="s">
        <v>989</v>
      </c>
      <c r="AI632" s="185"/>
      <c r="AJ632" s="185"/>
      <c r="AK632" s="185" t="s">
        <v>45</v>
      </c>
      <c r="AL632" s="185" t="s">
        <v>2267</v>
      </c>
      <c r="AM632" s="185" t="s">
        <v>2269</v>
      </c>
      <c r="AN632" s="196"/>
      <c r="AO632" s="196"/>
      <c r="AP632" s="195"/>
      <c r="AQ632" s="194"/>
      <c r="AR632" s="193"/>
      <c r="AS632" s="192"/>
      <c r="AT632" s="192"/>
      <c r="AU632" s="192"/>
      <c r="AV632" s="192"/>
      <c r="AW632" s="191"/>
      <c r="AX632" s="190" t="s">
        <v>72</v>
      </c>
      <c r="AY632" s="184"/>
    </row>
    <row r="633" spans="2:51">
      <c r="B633" s="185">
        <v>2183</v>
      </c>
      <c r="C633" s="189">
        <v>131197</v>
      </c>
      <c r="D633" s="185" t="s">
        <v>989</v>
      </c>
      <c r="E633" s="185" t="s">
        <v>2003</v>
      </c>
      <c r="F633" s="185" t="s">
        <v>1382</v>
      </c>
      <c r="G633" s="185"/>
      <c r="H633" s="185"/>
      <c r="I633" s="188">
        <v>624</v>
      </c>
      <c r="J633" s="185"/>
      <c r="K633" s="188">
        <v>0</v>
      </c>
      <c r="L633" s="185" t="s">
        <v>1351</v>
      </c>
      <c r="M633" s="185"/>
      <c r="N633" s="185" t="s">
        <v>2190</v>
      </c>
      <c r="O633" s="185" t="s">
        <v>2184</v>
      </c>
      <c r="P633" s="185"/>
      <c r="Q633" s="185"/>
      <c r="R633" s="185"/>
      <c r="S633" s="186">
        <v>42458</v>
      </c>
      <c r="T633" s="186">
        <v>42458</v>
      </c>
      <c r="U633" s="185" t="s">
        <v>1400</v>
      </c>
      <c r="V633" s="185">
        <v>700</v>
      </c>
      <c r="W633" s="185">
        <v>14050</v>
      </c>
      <c r="X633" s="187">
        <v>30834.93</v>
      </c>
      <c r="Y633" s="185">
        <v>14056</v>
      </c>
      <c r="Z633" s="187">
        <v>30834.93</v>
      </c>
      <c r="AA633" s="187">
        <v>0</v>
      </c>
      <c r="AB633" s="187">
        <v>0</v>
      </c>
      <c r="AC633" s="187">
        <v>0</v>
      </c>
      <c r="AD633" s="185">
        <v>54260</v>
      </c>
      <c r="AE633" s="187">
        <v>0</v>
      </c>
      <c r="AF633" s="187">
        <v>0</v>
      </c>
      <c r="AG633" s="187">
        <v>0</v>
      </c>
      <c r="AH633" s="185" t="s">
        <v>989</v>
      </c>
      <c r="AI633" s="185"/>
      <c r="AJ633" s="185"/>
      <c r="AK633" s="185" t="s">
        <v>45</v>
      </c>
      <c r="AL633" s="185" t="s">
        <v>2267</v>
      </c>
      <c r="AM633" s="185" t="s">
        <v>2269</v>
      </c>
      <c r="AN633" s="196"/>
      <c r="AO633" s="196"/>
      <c r="AP633" s="195"/>
      <c r="AQ633" s="194"/>
      <c r="AR633" s="193"/>
      <c r="AS633" s="192"/>
      <c r="AT633" s="192"/>
      <c r="AU633" s="192"/>
      <c r="AV633" s="192"/>
      <c r="AW633" s="191"/>
      <c r="AX633" s="190" t="s">
        <v>72</v>
      </c>
      <c r="AY633" s="184"/>
    </row>
    <row r="634" spans="2:51">
      <c r="B634" s="185">
        <v>2183</v>
      </c>
      <c r="C634" s="189">
        <v>129324</v>
      </c>
      <c r="D634" s="185" t="s">
        <v>989</v>
      </c>
      <c r="E634" s="185" t="s">
        <v>2003</v>
      </c>
      <c r="F634" s="185" t="s">
        <v>1403</v>
      </c>
      <c r="G634" s="185"/>
      <c r="H634" s="185"/>
      <c r="I634" s="188">
        <v>500</v>
      </c>
      <c r="J634" s="185"/>
      <c r="K634" s="188">
        <v>0</v>
      </c>
      <c r="L634" s="185" t="s">
        <v>1351</v>
      </c>
      <c r="M634" s="185"/>
      <c r="N634" s="185" t="s">
        <v>2190</v>
      </c>
      <c r="O634" s="185" t="s">
        <v>2184</v>
      </c>
      <c r="P634" s="185"/>
      <c r="Q634" s="185"/>
      <c r="R634" s="185"/>
      <c r="S634" s="186">
        <v>42370</v>
      </c>
      <c r="T634" s="186">
        <v>42370</v>
      </c>
      <c r="U634" s="185" t="s">
        <v>1404</v>
      </c>
      <c r="V634" s="185">
        <v>611</v>
      </c>
      <c r="W634" s="185">
        <v>14050</v>
      </c>
      <c r="X634" s="187">
        <v>17256.13</v>
      </c>
      <c r="Y634" s="185">
        <v>14056</v>
      </c>
      <c r="Z634" s="187">
        <v>17256.13</v>
      </c>
      <c r="AA634" s="187">
        <v>0</v>
      </c>
      <c r="AB634" s="187">
        <v>0</v>
      </c>
      <c r="AC634" s="187">
        <v>0</v>
      </c>
      <c r="AD634" s="185">
        <v>54260</v>
      </c>
      <c r="AE634" s="187">
        <v>0</v>
      </c>
      <c r="AF634" s="187">
        <v>0</v>
      </c>
      <c r="AG634" s="187">
        <v>0</v>
      </c>
      <c r="AH634" s="185" t="s">
        <v>989</v>
      </c>
      <c r="AI634" s="185"/>
      <c r="AJ634" s="185"/>
      <c r="AK634" s="185" t="s">
        <v>45</v>
      </c>
      <c r="AL634" s="185" t="s">
        <v>2267</v>
      </c>
      <c r="AM634" s="185" t="s">
        <v>2269</v>
      </c>
      <c r="AN634" s="196"/>
      <c r="AO634" s="196"/>
      <c r="AP634" s="195"/>
      <c r="AQ634" s="194"/>
      <c r="AR634" s="193"/>
      <c r="AS634" s="192"/>
      <c r="AT634" s="192"/>
      <c r="AU634" s="192"/>
      <c r="AV634" s="192"/>
      <c r="AW634" s="191"/>
      <c r="AX634" s="190" t="s">
        <v>72</v>
      </c>
      <c r="AY634" s="184"/>
    </row>
    <row r="635" spans="2:51">
      <c r="B635" s="185">
        <v>2183</v>
      </c>
      <c r="C635" s="189">
        <v>128910</v>
      </c>
      <c r="D635" s="185" t="s">
        <v>989</v>
      </c>
      <c r="E635" s="185" t="s">
        <v>2003</v>
      </c>
      <c r="F635" s="185" t="s">
        <v>585</v>
      </c>
      <c r="G635" s="185"/>
      <c r="H635" s="185"/>
      <c r="I635" s="188">
        <v>1</v>
      </c>
      <c r="J635" s="185"/>
      <c r="K635" s="188">
        <v>0</v>
      </c>
      <c r="L635" s="185" t="s">
        <v>1145</v>
      </c>
      <c r="M635" s="185"/>
      <c r="N635" s="185" t="s">
        <v>2199</v>
      </c>
      <c r="O635" s="185" t="s">
        <v>2184</v>
      </c>
      <c r="P635" s="185"/>
      <c r="Q635" s="185"/>
      <c r="R635" s="185"/>
      <c r="S635" s="186">
        <v>42346</v>
      </c>
      <c r="T635" s="186">
        <v>42346</v>
      </c>
      <c r="U635" s="185" t="s">
        <v>1405</v>
      </c>
      <c r="V635" s="185">
        <v>300</v>
      </c>
      <c r="W635" s="185">
        <v>14110</v>
      </c>
      <c r="X635" s="187">
        <v>1087.92</v>
      </c>
      <c r="Y635" s="185">
        <v>14116</v>
      </c>
      <c r="Z635" s="187">
        <v>1087.92</v>
      </c>
      <c r="AA635" s="187">
        <v>0</v>
      </c>
      <c r="AB635" s="187">
        <v>0</v>
      </c>
      <c r="AC635" s="187">
        <v>0</v>
      </c>
      <c r="AD635" s="185">
        <v>70260</v>
      </c>
      <c r="AE635" s="187">
        <v>0</v>
      </c>
      <c r="AF635" s="187">
        <v>0</v>
      </c>
      <c r="AG635" s="187">
        <v>0</v>
      </c>
      <c r="AH635" s="185" t="s">
        <v>989</v>
      </c>
      <c r="AI635" s="185"/>
      <c r="AJ635" s="185"/>
      <c r="AK635" s="185" t="s">
        <v>45</v>
      </c>
      <c r="AL635" s="185" t="s">
        <v>2267</v>
      </c>
      <c r="AM635" s="185" t="s">
        <v>2269</v>
      </c>
      <c r="AN635" s="196"/>
      <c r="AO635" s="196"/>
      <c r="AP635" s="195"/>
      <c r="AQ635" s="194"/>
      <c r="AR635" s="193"/>
      <c r="AS635" s="192"/>
      <c r="AT635" s="192"/>
      <c r="AU635" s="192"/>
      <c r="AV635" s="192"/>
      <c r="AW635" s="191"/>
      <c r="AX635" s="190" t="s">
        <v>72</v>
      </c>
      <c r="AY635" s="184"/>
    </row>
    <row r="636" spans="2:51">
      <c r="B636" s="185">
        <v>2183</v>
      </c>
      <c r="C636" s="189">
        <v>128674</v>
      </c>
      <c r="D636" s="185" t="s">
        <v>989</v>
      </c>
      <c r="E636" s="185" t="s">
        <v>2003</v>
      </c>
      <c r="F636" s="185" t="s">
        <v>1406</v>
      </c>
      <c r="G636" s="185"/>
      <c r="H636" s="185"/>
      <c r="I636" s="188">
        <v>1</v>
      </c>
      <c r="J636" s="185" t="s">
        <v>1407</v>
      </c>
      <c r="K636" s="188">
        <v>2016</v>
      </c>
      <c r="L636" s="185" t="s">
        <v>1097</v>
      </c>
      <c r="M636" s="185" t="s">
        <v>1408</v>
      </c>
      <c r="N636" s="185" t="s">
        <v>2183</v>
      </c>
      <c r="O636" s="185" t="s">
        <v>2184</v>
      </c>
      <c r="P636" s="185" t="s">
        <v>2187</v>
      </c>
      <c r="Q636" s="185"/>
      <c r="R636" s="185"/>
      <c r="S636" s="186">
        <v>42361</v>
      </c>
      <c r="T636" s="186">
        <v>42361</v>
      </c>
      <c r="U636" s="185" t="s">
        <v>1409</v>
      </c>
      <c r="V636" s="185">
        <v>1000</v>
      </c>
      <c r="W636" s="185">
        <v>14040</v>
      </c>
      <c r="X636" s="187">
        <v>340829.73</v>
      </c>
      <c r="Y636" s="185">
        <v>14046</v>
      </c>
      <c r="Z636" s="187">
        <v>284024.76</v>
      </c>
      <c r="AA636" s="187">
        <v>0</v>
      </c>
      <c r="AB636" s="187">
        <v>56804.969999999972</v>
      </c>
      <c r="AC636" s="187">
        <v>11361</v>
      </c>
      <c r="AD636" s="185">
        <v>51260</v>
      </c>
      <c r="AE636" s="187">
        <v>2840.25</v>
      </c>
      <c r="AF636" s="187">
        <v>0</v>
      </c>
      <c r="AG636" s="187">
        <v>2840.25</v>
      </c>
      <c r="AH636" s="185" t="s">
        <v>989</v>
      </c>
      <c r="AI636" s="185"/>
      <c r="AJ636" s="185">
        <v>3645</v>
      </c>
      <c r="AK636" s="185" t="s">
        <v>45</v>
      </c>
      <c r="AL636" s="185" t="s">
        <v>2267</v>
      </c>
      <c r="AM636" s="185" t="s">
        <v>2269</v>
      </c>
      <c r="AN636" s="196"/>
      <c r="AO636" s="196"/>
      <c r="AP636" s="195"/>
      <c r="AQ636" s="194"/>
      <c r="AR636" s="193"/>
      <c r="AS636" s="192"/>
      <c r="AT636" s="192"/>
      <c r="AU636" s="192"/>
      <c r="AV636" s="192"/>
      <c r="AW636" s="191"/>
      <c r="AX636" s="190" t="s">
        <v>72</v>
      </c>
      <c r="AY636" s="184"/>
    </row>
    <row r="637" spans="2:51">
      <c r="B637" s="185">
        <v>2183</v>
      </c>
      <c r="C637" s="189">
        <v>128673</v>
      </c>
      <c r="D637" s="185" t="s">
        <v>989</v>
      </c>
      <c r="E637" s="185" t="s">
        <v>2003</v>
      </c>
      <c r="F637" s="185" t="s">
        <v>1410</v>
      </c>
      <c r="G637" s="185"/>
      <c r="H637" s="185"/>
      <c r="I637" s="188">
        <v>1</v>
      </c>
      <c r="J637" s="185" t="s">
        <v>1411</v>
      </c>
      <c r="K637" s="188">
        <v>2016</v>
      </c>
      <c r="L637" s="185" t="s">
        <v>1097</v>
      </c>
      <c r="M637" s="185" t="s">
        <v>1305</v>
      </c>
      <c r="N637" s="185" t="s">
        <v>2183</v>
      </c>
      <c r="O637" s="185" t="s">
        <v>2184</v>
      </c>
      <c r="P637" s="185" t="s">
        <v>2186</v>
      </c>
      <c r="Q637" s="185"/>
      <c r="R637" s="185"/>
      <c r="S637" s="186">
        <v>42369</v>
      </c>
      <c r="T637" s="186">
        <v>42369</v>
      </c>
      <c r="U637" s="185" t="s">
        <v>1412</v>
      </c>
      <c r="V637" s="185">
        <v>1000</v>
      </c>
      <c r="W637" s="185">
        <v>14040</v>
      </c>
      <c r="X637" s="187">
        <v>291925.26</v>
      </c>
      <c r="Y637" s="185">
        <v>14046</v>
      </c>
      <c r="Z637" s="187">
        <v>243271.08</v>
      </c>
      <c r="AA637" s="187">
        <v>0</v>
      </c>
      <c r="AB637" s="187">
        <v>48654.180000000022</v>
      </c>
      <c r="AC637" s="187">
        <v>9730.84</v>
      </c>
      <c r="AD637" s="185">
        <v>51260</v>
      </c>
      <c r="AE637" s="187">
        <v>2432.71</v>
      </c>
      <c r="AF637" s="187">
        <v>0</v>
      </c>
      <c r="AG637" s="187">
        <v>2432.71</v>
      </c>
      <c r="AH637" s="185" t="s">
        <v>989</v>
      </c>
      <c r="AI637" s="185"/>
      <c r="AJ637" s="185">
        <v>1073</v>
      </c>
      <c r="AK637" s="185" t="s">
        <v>45</v>
      </c>
      <c r="AL637" s="185" t="s">
        <v>2267</v>
      </c>
      <c r="AM637" s="185" t="s">
        <v>2269</v>
      </c>
      <c r="AN637" s="196"/>
      <c r="AO637" s="196"/>
      <c r="AP637" s="195"/>
      <c r="AQ637" s="194"/>
      <c r="AR637" s="193"/>
      <c r="AS637" s="192"/>
      <c r="AT637" s="192"/>
      <c r="AU637" s="192"/>
      <c r="AV637" s="192"/>
      <c r="AW637" s="191"/>
      <c r="AX637" s="190" t="s">
        <v>72</v>
      </c>
      <c r="AY637" s="184"/>
    </row>
    <row r="638" spans="2:51">
      <c r="B638" s="185">
        <v>2183</v>
      </c>
      <c r="C638" s="189">
        <v>128432</v>
      </c>
      <c r="D638" s="185" t="s">
        <v>989</v>
      </c>
      <c r="E638" s="185" t="s">
        <v>2003</v>
      </c>
      <c r="F638" s="185" t="s">
        <v>1413</v>
      </c>
      <c r="G638" s="185"/>
      <c r="H638" s="185"/>
      <c r="I638" s="188">
        <v>1</v>
      </c>
      <c r="J638" s="185">
        <v>200254278</v>
      </c>
      <c r="K638" s="188">
        <v>2015</v>
      </c>
      <c r="L638" s="185" t="s">
        <v>1414</v>
      </c>
      <c r="M638" s="185" t="s">
        <v>1415</v>
      </c>
      <c r="N638" s="185" t="s">
        <v>2213</v>
      </c>
      <c r="O638" s="185" t="s">
        <v>2184</v>
      </c>
      <c r="P638" s="185" t="s">
        <v>1416</v>
      </c>
      <c r="Q638" s="185"/>
      <c r="R638" s="185"/>
      <c r="S638" s="186">
        <v>42359</v>
      </c>
      <c r="T638" s="186">
        <v>42359</v>
      </c>
      <c r="U638" s="185" t="s">
        <v>1417</v>
      </c>
      <c r="V638" s="185">
        <v>900</v>
      </c>
      <c r="W638" s="185">
        <v>14030</v>
      </c>
      <c r="X638" s="187">
        <v>11848.3</v>
      </c>
      <c r="Y638" s="185">
        <v>14036</v>
      </c>
      <c r="Z638" s="187">
        <v>10970.68</v>
      </c>
      <c r="AA638" s="187">
        <v>0</v>
      </c>
      <c r="AB638" s="187">
        <v>877.61999999999898</v>
      </c>
      <c r="AC638" s="187">
        <v>438.84</v>
      </c>
      <c r="AD638" s="185">
        <v>51260</v>
      </c>
      <c r="AE638" s="187">
        <v>109.71</v>
      </c>
      <c r="AF638" s="187">
        <v>0</v>
      </c>
      <c r="AG638" s="187">
        <v>109.71</v>
      </c>
      <c r="AH638" s="185" t="s">
        <v>989</v>
      </c>
      <c r="AI638" s="185"/>
      <c r="AJ638" s="185">
        <v>7966</v>
      </c>
      <c r="AK638" s="185" t="s">
        <v>45</v>
      </c>
      <c r="AL638" s="185" t="s">
        <v>2267</v>
      </c>
      <c r="AM638" s="185" t="s">
        <v>2269</v>
      </c>
      <c r="AN638" s="196"/>
      <c r="AO638" s="196"/>
      <c r="AP638" s="195"/>
      <c r="AQ638" s="194"/>
      <c r="AR638" s="193"/>
      <c r="AS638" s="192"/>
      <c r="AT638" s="192"/>
      <c r="AU638" s="192"/>
      <c r="AV638" s="192"/>
      <c r="AW638" s="191"/>
      <c r="AX638" s="190" t="s">
        <v>72</v>
      </c>
      <c r="AY638" s="184"/>
    </row>
    <row r="639" spans="2:51">
      <c r="B639" s="185">
        <v>2183</v>
      </c>
      <c r="C639" s="189">
        <v>128183</v>
      </c>
      <c r="D639" s="185" t="s">
        <v>989</v>
      </c>
      <c r="E639" s="185" t="s">
        <v>2003</v>
      </c>
      <c r="F639" s="185" t="s">
        <v>1418</v>
      </c>
      <c r="G639" s="185"/>
      <c r="H639" s="185"/>
      <c r="I639" s="188">
        <v>288</v>
      </c>
      <c r="J639" s="185"/>
      <c r="K639" s="188">
        <v>0</v>
      </c>
      <c r="L639" s="185" t="s">
        <v>1351</v>
      </c>
      <c r="M639" s="185"/>
      <c r="N639" s="185" t="s">
        <v>2190</v>
      </c>
      <c r="O639" s="185" t="s">
        <v>2184</v>
      </c>
      <c r="P639" s="185"/>
      <c r="Q639" s="185"/>
      <c r="R639" s="185"/>
      <c r="S639" s="186">
        <v>42333</v>
      </c>
      <c r="T639" s="186">
        <v>42333</v>
      </c>
      <c r="U639" s="185" t="s">
        <v>1404</v>
      </c>
      <c r="V639" s="185">
        <v>700</v>
      </c>
      <c r="W639" s="185">
        <v>14050</v>
      </c>
      <c r="X639" s="187">
        <v>16008.28</v>
      </c>
      <c r="Y639" s="185">
        <v>14056</v>
      </c>
      <c r="Z639" s="187">
        <v>16008.28</v>
      </c>
      <c r="AA639" s="187">
        <v>0</v>
      </c>
      <c r="AB639" s="187">
        <v>0</v>
      </c>
      <c r="AC639" s="187">
        <v>0</v>
      </c>
      <c r="AD639" s="185">
        <v>54260</v>
      </c>
      <c r="AE639" s="187">
        <v>0</v>
      </c>
      <c r="AF639" s="187">
        <v>0</v>
      </c>
      <c r="AG639" s="187">
        <v>0</v>
      </c>
      <c r="AH639" s="185" t="s">
        <v>989</v>
      </c>
      <c r="AI639" s="185"/>
      <c r="AJ639" s="185"/>
      <c r="AK639" s="185" t="s">
        <v>45</v>
      </c>
      <c r="AL639" s="185" t="s">
        <v>2267</v>
      </c>
      <c r="AM639" s="185" t="s">
        <v>2269</v>
      </c>
      <c r="AN639" s="196"/>
      <c r="AO639" s="196"/>
      <c r="AP639" s="195"/>
      <c r="AQ639" s="194"/>
      <c r="AR639" s="193"/>
      <c r="AS639" s="192"/>
      <c r="AT639" s="192"/>
      <c r="AU639" s="192"/>
      <c r="AV639" s="192"/>
      <c r="AW639" s="191"/>
      <c r="AX639" s="190" t="s">
        <v>72</v>
      </c>
      <c r="AY639" s="184"/>
    </row>
    <row r="640" spans="2:51">
      <c r="B640" s="185">
        <v>2183</v>
      </c>
      <c r="C640" s="189">
        <v>128182</v>
      </c>
      <c r="D640" s="185" t="s">
        <v>989</v>
      </c>
      <c r="E640" s="185" t="s">
        <v>2003</v>
      </c>
      <c r="F640" s="185" t="s">
        <v>622</v>
      </c>
      <c r="G640" s="185"/>
      <c r="H640" s="185"/>
      <c r="I640" s="188">
        <v>624</v>
      </c>
      <c r="J640" s="185"/>
      <c r="K640" s="188">
        <v>0</v>
      </c>
      <c r="L640" s="185" t="s">
        <v>1351</v>
      </c>
      <c r="M640" s="185"/>
      <c r="N640" s="185" t="s">
        <v>2190</v>
      </c>
      <c r="O640" s="185" t="s">
        <v>2184</v>
      </c>
      <c r="P640" s="185"/>
      <c r="Q640" s="185"/>
      <c r="R640" s="185"/>
      <c r="S640" s="186">
        <v>42325</v>
      </c>
      <c r="T640" s="186">
        <v>42325</v>
      </c>
      <c r="U640" s="185" t="s">
        <v>1404</v>
      </c>
      <c r="V640" s="185">
        <v>700</v>
      </c>
      <c r="W640" s="185">
        <v>14050</v>
      </c>
      <c r="X640" s="187">
        <v>32078.49</v>
      </c>
      <c r="Y640" s="185">
        <v>14056</v>
      </c>
      <c r="Z640" s="187">
        <v>32078.49</v>
      </c>
      <c r="AA640" s="187">
        <v>0</v>
      </c>
      <c r="AB640" s="187">
        <v>0</v>
      </c>
      <c r="AC640" s="187">
        <v>0</v>
      </c>
      <c r="AD640" s="185">
        <v>54260</v>
      </c>
      <c r="AE640" s="187">
        <v>0</v>
      </c>
      <c r="AF640" s="187">
        <v>0</v>
      </c>
      <c r="AG640" s="187">
        <v>0</v>
      </c>
      <c r="AH640" s="185" t="s">
        <v>989</v>
      </c>
      <c r="AI640" s="185"/>
      <c r="AJ640" s="185"/>
      <c r="AK640" s="185" t="s">
        <v>45</v>
      </c>
      <c r="AL640" s="185" t="s">
        <v>2267</v>
      </c>
      <c r="AM640" s="185" t="s">
        <v>2269</v>
      </c>
      <c r="AN640" s="196"/>
      <c r="AO640" s="196"/>
      <c r="AP640" s="195"/>
      <c r="AQ640" s="194"/>
      <c r="AR640" s="193"/>
      <c r="AS640" s="192"/>
      <c r="AT640" s="192"/>
      <c r="AU640" s="192"/>
      <c r="AV640" s="192"/>
      <c r="AW640" s="191"/>
      <c r="AX640" s="190" t="s">
        <v>72</v>
      </c>
      <c r="AY640" s="184"/>
    </row>
    <row r="641" spans="2:51">
      <c r="B641" s="185">
        <v>2183</v>
      </c>
      <c r="C641" s="189">
        <v>128181</v>
      </c>
      <c r="D641" s="185" t="s">
        <v>989</v>
      </c>
      <c r="E641" s="185" t="s">
        <v>2003</v>
      </c>
      <c r="F641" s="185" t="s">
        <v>622</v>
      </c>
      <c r="G641" s="185"/>
      <c r="H641" s="185"/>
      <c r="I641" s="188">
        <v>624</v>
      </c>
      <c r="J641" s="185"/>
      <c r="K641" s="188">
        <v>0</v>
      </c>
      <c r="L641" s="185" t="s">
        <v>1351</v>
      </c>
      <c r="M641" s="185"/>
      <c r="N641" s="185" t="s">
        <v>2190</v>
      </c>
      <c r="O641" s="185" t="s">
        <v>2184</v>
      </c>
      <c r="P641" s="185"/>
      <c r="Q641" s="185"/>
      <c r="R641" s="185"/>
      <c r="S641" s="186">
        <v>42280</v>
      </c>
      <c r="T641" s="186">
        <v>42280</v>
      </c>
      <c r="U641" s="185" t="s">
        <v>1419</v>
      </c>
      <c r="V641" s="185">
        <v>700</v>
      </c>
      <c r="W641" s="185">
        <v>14050</v>
      </c>
      <c r="X641" s="187">
        <v>31816.22</v>
      </c>
      <c r="Y641" s="185">
        <v>14056</v>
      </c>
      <c r="Z641" s="187">
        <v>31816.22</v>
      </c>
      <c r="AA641" s="187">
        <v>0</v>
      </c>
      <c r="AB641" s="187">
        <v>0</v>
      </c>
      <c r="AC641" s="187">
        <v>0</v>
      </c>
      <c r="AD641" s="185">
        <v>54260</v>
      </c>
      <c r="AE641" s="187">
        <v>0</v>
      </c>
      <c r="AF641" s="187">
        <v>0</v>
      </c>
      <c r="AG641" s="187">
        <v>0</v>
      </c>
      <c r="AH641" s="185" t="s">
        <v>989</v>
      </c>
      <c r="AI641" s="185"/>
      <c r="AJ641" s="185"/>
      <c r="AK641" s="185" t="s">
        <v>45</v>
      </c>
      <c r="AL641" s="185" t="s">
        <v>2267</v>
      </c>
      <c r="AM641" s="185" t="s">
        <v>2269</v>
      </c>
      <c r="AN641" s="196"/>
      <c r="AO641" s="196"/>
      <c r="AP641" s="195"/>
      <c r="AQ641" s="194"/>
      <c r="AR641" s="193"/>
      <c r="AS641" s="192"/>
      <c r="AT641" s="192"/>
      <c r="AU641" s="192"/>
      <c r="AV641" s="192"/>
      <c r="AW641" s="191"/>
      <c r="AX641" s="190" t="s">
        <v>72</v>
      </c>
      <c r="AY641" s="184"/>
    </row>
    <row r="642" spans="2:51">
      <c r="B642" s="185">
        <v>2183</v>
      </c>
      <c r="C642" s="189">
        <v>127478</v>
      </c>
      <c r="D642" s="185" t="s">
        <v>989</v>
      </c>
      <c r="E642" s="185" t="s">
        <v>2003</v>
      </c>
      <c r="F642" s="185" t="s">
        <v>1420</v>
      </c>
      <c r="G642" s="185"/>
      <c r="H642" s="185"/>
      <c r="I642" s="188">
        <v>864</v>
      </c>
      <c r="J642" s="185"/>
      <c r="K642" s="188">
        <v>0</v>
      </c>
      <c r="L642" s="185" t="s">
        <v>1351</v>
      </c>
      <c r="M642" s="185"/>
      <c r="N642" s="185" t="s">
        <v>2190</v>
      </c>
      <c r="O642" s="185" t="s">
        <v>2184</v>
      </c>
      <c r="P642" s="185"/>
      <c r="Q642" s="185"/>
      <c r="R642" s="185"/>
      <c r="S642" s="186">
        <v>42320</v>
      </c>
      <c r="T642" s="186">
        <v>42320</v>
      </c>
      <c r="U642" s="185" t="s">
        <v>1404</v>
      </c>
      <c r="V642" s="185">
        <v>700</v>
      </c>
      <c r="W642" s="185">
        <v>14050</v>
      </c>
      <c r="X642" s="187">
        <v>39330.959999999999</v>
      </c>
      <c r="Y642" s="185">
        <v>14056</v>
      </c>
      <c r="Z642" s="187">
        <v>39330.959999999999</v>
      </c>
      <c r="AA642" s="187">
        <v>0</v>
      </c>
      <c r="AB642" s="187">
        <v>0</v>
      </c>
      <c r="AC642" s="187">
        <v>0</v>
      </c>
      <c r="AD642" s="185">
        <v>54260</v>
      </c>
      <c r="AE642" s="187">
        <v>0</v>
      </c>
      <c r="AF642" s="187">
        <v>0</v>
      </c>
      <c r="AG642" s="187">
        <v>0</v>
      </c>
      <c r="AH642" s="185" t="s">
        <v>989</v>
      </c>
      <c r="AI642" s="185"/>
      <c r="AJ642" s="185"/>
      <c r="AK642" s="185" t="s">
        <v>45</v>
      </c>
      <c r="AL642" s="185" t="s">
        <v>2267</v>
      </c>
      <c r="AM642" s="185" t="s">
        <v>2269</v>
      </c>
      <c r="AN642" s="196"/>
      <c r="AO642" s="196"/>
      <c r="AP642" s="195"/>
      <c r="AQ642" s="194"/>
      <c r="AR642" s="193"/>
      <c r="AS642" s="192"/>
      <c r="AT642" s="192"/>
      <c r="AU642" s="192"/>
      <c r="AV642" s="192"/>
      <c r="AW642" s="191"/>
      <c r="AX642" s="190" t="s">
        <v>72</v>
      </c>
      <c r="AY642" s="184"/>
    </row>
    <row r="643" spans="2:51">
      <c r="B643" s="185">
        <v>2183</v>
      </c>
      <c r="C643" s="189">
        <v>126867</v>
      </c>
      <c r="D643" s="185" t="s">
        <v>989</v>
      </c>
      <c r="E643" s="185" t="s">
        <v>2003</v>
      </c>
      <c r="F643" s="185" t="s">
        <v>1421</v>
      </c>
      <c r="G643" s="185"/>
      <c r="H643" s="185"/>
      <c r="I643" s="188">
        <v>5</v>
      </c>
      <c r="J643" s="185"/>
      <c r="K643" s="188">
        <v>0</v>
      </c>
      <c r="L643" s="185" t="s">
        <v>1047</v>
      </c>
      <c r="M643" s="185"/>
      <c r="N643" s="185" t="s">
        <v>2190</v>
      </c>
      <c r="O643" s="185" t="s">
        <v>2184</v>
      </c>
      <c r="P643" s="185"/>
      <c r="Q643" s="185" t="s">
        <v>137</v>
      </c>
      <c r="R643" s="185" t="s">
        <v>2195</v>
      </c>
      <c r="S643" s="186">
        <v>42297</v>
      </c>
      <c r="T643" s="186">
        <v>42297</v>
      </c>
      <c r="U643" s="185" t="s">
        <v>1422</v>
      </c>
      <c r="V643" s="185">
        <v>1200</v>
      </c>
      <c r="W643" s="185">
        <v>14050</v>
      </c>
      <c r="X643" s="187">
        <v>4864.33</v>
      </c>
      <c r="Y643" s="185">
        <v>14056</v>
      </c>
      <c r="Z643" s="187">
        <v>3445.56</v>
      </c>
      <c r="AA643" s="187">
        <v>0</v>
      </c>
      <c r="AB643" s="187">
        <v>1418.77</v>
      </c>
      <c r="AC643" s="187">
        <v>135.12</v>
      </c>
      <c r="AD643" s="185">
        <v>54260</v>
      </c>
      <c r="AE643" s="187">
        <v>33.78</v>
      </c>
      <c r="AF643" s="187">
        <v>0</v>
      </c>
      <c r="AG643" s="187">
        <v>33.78</v>
      </c>
      <c r="AH643" s="185" t="s">
        <v>989</v>
      </c>
      <c r="AI643" s="185"/>
      <c r="AJ643" s="185"/>
      <c r="AK643" s="185" t="s">
        <v>45</v>
      </c>
      <c r="AL643" s="185" t="s">
        <v>2267</v>
      </c>
      <c r="AM643" s="185" t="s">
        <v>2269</v>
      </c>
      <c r="AN643" s="196"/>
      <c r="AO643" s="196"/>
      <c r="AP643" s="195"/>
      <c r="AQ643" s="194"/>
      <c r="AR643" s="193"/>
      <c r="AS643" s="192"/>
      <c r="AT643" s="192"/>
      <c r="AU643" s="192"/>
      <c r="AV643" s="192"/>
      <c r="AW643" s="191"/>
      <c r="AX643" s="190" t="s">
        <v>72</v>
      </c>
      <c r="AY643" s="184"/>
    </row>
    <row r="644" spans="2:51">
      <c r="B644" s="185">
        <v>2183</v>
      </c>
      <c r="C644" s="189">
        <v>126833</v>
      </c>
      <c r="D644" s="185" t="s">
        <v>989</v>
      </c>
      <c r="E644" s="185" t="s">
        <v>2003</v>
      </c>
      <c r="F644" s="185" t="s">
        <v>1423</v>
      </c>
      <c r="G644" s="185"/>
      <c r="H644" s="185"/>
      <c r="I644" s="188">
        <v>15</v>
      </c>
      <c r="J644" s="185"/>
      <c r="K644" s="188">
        <v>0</v>
      </c>
      <c r="L644" s="185" t="s">
        <v>1047</v>
      </c>
      <c r="M644" s="185"/>
      <c r="N644" s="185" t="s">
        <v>2190</v>
      </c>
      <c r="O644" s="185" t="s">
        <v>2184</v>
      </c>
      <c r="P644" s="185"/>
      <c r="Q644" s="185" t="s">
        <v>2208</v>
      </c>
      <c r="R644" s="185" t="s">
        <v>2195</v>
      </c>
      <c r="S644" s="186">
        <v>42297</v>
      </c>
      <c r="T644" s="186">
        <v>42297</v>
      </c>
      <c r="U644" s="185" t="s">
        <v>1422</v>
      </c>
      <c r="V644" s="185">
        <v>1200</v>
      </c>
      <c r="W644" s="185">
        <v>14050</v>
      </c>
      <c r="X644" s="187">
        <v>7092.68</v>
      </c>
      <c r="Y644" s="185">
        <v>14056</v>
      </c>
      <c r="Z644" s="187">
        <v>5023.99</v>
      </c>
      <c r="AA644" s="187">
        <v>0</v>
      </c>
      <c r="AB644" s="187">
        <v>2068.6900000000005</v>
      </c>
      <c r="AC644" s="187">
        <v>197</v>
      </c>
      <c r="AD644" s="185">
        <v>54260</v>
      </c>
      <c r="AE644" s="187">
        <v>49.25</v>
      </c>
      <c r="AF644" s="187">
        <v>0</v>
      </c>
      <c r="AG644" s="187">
        <v>49.25</v>
      </c>
      <c r="AH644" s="185" t="s">
        <v>989</v>
      </c>
      <c r="AI644" s="185"/>
      <c r="AJ644" s="185"/>
      <c r="AK644" s="185" t="s">
        <v>45</v>
      </c>
      <c r="AL644" s="185" t="s">
        <v>2267</v>
      </c>
      <c r="AM644" s="185" t="s">
        <v>2269</v>
      </c>
      <c r="AN644" s="196"/>
      <c r="AO644" s="196"/>
      <c r="AP644" s="195"/>
      <c r="AQ644" s="194"/>
      <c r="AR644" s="193"/>
      <c r="AS644" s="192"/>
      <c r="AT644" s="192"/>
      <c r="AU644" s="192"/>
      <c r="AV644" s="192"/>
      <c r="AW644" s="191"/>
      <c r="AX644" s="190" t="s">
        <v>72</v>
      </c>
      <c r="AY644" s="184"/>
    </row>
    <row r="645" spans="2:51">
      <c r="B645" s="185">
        <v>2183</v>
      </c>
      <c r="C645" s="189">
        <v>126832</v>
      </c>
      <c r="D645" s="185" t="s">
        <v>989</v>
      </c>
      <c r="E645" s="185" t="s">
        <v>2003</v>
      </c>
      <c r="F645" s="185" t="s">
        <v>1396</v>
      </c>
      <c r="G645" s="185"/>
      <c r="H645" s="185"/>
      <c r="I645" s="188">
        <v>2</v>
      </c>
      <c r="J645" s="185"/>
      <c r="K645" s="188">
        <v>0</v>
      </c>
      <c r="L645" s="185" t="s">
        <v>1047</v>
      </c>
      <c r="M645" s="185"/>
      <c r="N645" s="185" t="s">
        <v>2190</v>
      </c>
      <c r="O645" s="185" t="s">
        <v>2184</v>
      </c>
      <c r="P645" s="185"/>
      <c r="Q645" s="185" t="s">
        <v>2194</v>
      </c>
      <c r="R645" s="185" t="s">
        <v>2195</v>
      </c>
      <c r="S645" s="186">
        <v>42292</v>
      </c>
      <c r="T645" s="186">
        <v>42292</v>
      </c>
      <c r="U645" s="185" t="s">
        <v>1424</v>
      </c>
      <c r="V645" s="185">
        <v>1200</v>
      </c>
      <c r="W645" s="185">
        <v>14050</v>
      </c>
      <c r="X645" s="187">
        <v>1728.33</v>
      </c>
      <c r="Y645" s="185">
        <v>14056</v>
      </c>
      <c r="Z645" s="187">
        <v>1236.25</v>
      </c>
      <c r="AA645" s="187">
        <v>0</v>
      </c>
      <c r="AB645" s="187">
        <v>492.07999999999993</v>
      </c>
      <c r="AC645" s="187">
        <v>48</v>
      </c>
      <c r="AD645" s="185">
        <v>54260</v>
      </c>
      <c r="AE645" s="187">
        <v>12</v>
      </c>
      <c r="AF645" s="187">
        <v>0</v>
      </c>
      <c r="AG645" s="187">
        <v>12</v>
      </c>
      <c r="AH645" s="185" t="s">
        <v>989</v>
      </c>
      <c r="AI645" s="185"/>
      <c r="AJ645" s="185"/>
      <c r="AK645" s="185" t="s">
        <v>45</v>
      </c>
      <c r="AL645" s="185" t="s">
        <v>2267</v>
      </c>
      <c r="AM645" s="185" t="s">
        <v>2269</v>
      </c>
      <c r="AN645" s="196"/>
      <c r="AO645" s="196"/>
      <c r="AP645" s="195"/>
      <c r="AQ645" s="194"/>
      <c r="AR645" s="193"/>
      <c r="AS645" s="192"/>
      <c r="AT645" s="192"/>
      <c r="AU645" s="192"/>
      <c r="AV645" s="192"/>
      <c r="AW645" s="191"/>
      <c r="AX645" s="190" t="s">
        <v>72</v>
      </c>
      <c r="AY645" s="184"/>
    </row>
    <row r="646" spans="2:51">
      <c r="B646" s="185">
        <v>2183</v>
      </c>
      <c r="C646" s="189">
        <v>126751</v>
      </c>
      <c r="D646" s="185" t="s">
        <v>989</v>
      </c>
      <c r="E646" s="185" t="s">
        <v>2003</v>
      </c>
      <c r="F646" s="185" t="s">
        <v>1396</v>
      </c>
      <c r="G646" s="185"/>
      <c r="H646" s="185"/>
      <c r="I646" s="188">
        <v>3</v>
      </c>
      <c r="J646" s="185"/>
      <c r="K646" s="188">
        <v>0</v>
      </c>
      <c r="L646" s="185" t="s">
        <v>1047</v>
      </c>
      <c r="M646" s="185"/>
      <c r="N646" s="185" t="s">
        <v>2190</v>
      </c>
      <c r="O646" s="185" t="s">
        <v>2184</v>
      </c>
      <c r="P646" s="185"/>
      <c r="Q646" s="185" t="s">
        <v>2194</v>
      </c>
      <c r="R646" s="185" t="s">
        <v>2195</v>
      </c>
      <c r="S646" s="186">
        <v>42292</v>
      </c>
      <c r="T646" s="186">
        <v>42292</v>
      </c>
      <c r="U646" s="185" t="s">
        <v>1424</v>
      </c>
      <c r="V646" s="185">
        <v>1200</v>
      </c>
      <c r="W646" s="185">
        <v>14050</v>
      </c>
      <c r="X646" s="187">
        <v>2592.5</v>
      </c>
      <c r="Y646" s="185">
        <v>14056</v>
      </c>
      <c r="Z646" s="187">
        <v>1854.33</v>
      </c>
      <c r="AA646" s="187">
        <v>0</v>
      </c>
      <c r="AB646" s="187">
        <v>738.17000000000007</v>
      </c>
      <c r="AC646" s="187">
        <v>72</v>
      </c>
      <c r="AD646" s="185">
        <v>54260</v>
      </c>
      <c r="AE646" s="187">
        <v>18</v>
      </c>
      <c r="AF646" s="187">
        <v>0</v>
      </c>
      <c r="AG646" s="187">
        <v>18</v>
      </c>
      <c r="AH646" s="185" t="s">
        <v>989</v>
      </c>
      <c r="AI646" s="185"/>
      <c r="AJ646" s="185"/>
      <c r="AK646" s="185" t="s">
        <v>45</v>
      </c>
      <c r="AL646" s="185" t="s">
        <v>2267</v>
      </c>
      <c r="AM646" s="185" t="s">
        <v>2269</v>
      </c>
      <c r="AN646" s="196"/>
      <c r="AO646" s="196"/>
      <c r="AP646" s="195"/>
      <c r="AQ646" s="194"/>
      <c r="AR646" s="193"/>
      <c r="AS646" s="192"/>
      <c r="AT646" s="192"/>
      <c r="AU646" s="192"/>
      <c r="AV646" s="192"/>
      <c r="AW646" s="191"/>
      <c r="AX646" s="190" t="s">
        <v>72</v>
      </c>
      <c r="AY646" s="184"/>
    </row>
    <row r="647" spans="2:51">
      <c r="B647" s="185">
        <v>2183</v>
      </c>
      <c r="C647" s="189">
        <v>126750</v>
      </c>
      <c r="D647" s="185" t="s">
        <v>989</v>
      </c>
      <c r="E647" s="185" t="s">
        <v>2003</v>
      </c>
      <c r="F647" s="185" t="s">
        <v>627</v>
      </c>
      <c r="G647" s="185"/>
      <c r="H647" s="185"/>
      <c r="I647" s="188">
        <v>15</v>
      </c>
      <c r="J647" s="185"/>
      <c r="K647" s="188">
        <v>0</v>
      </c>
      <c r="L647" s="185" t="s">
        <v>1047</v>
      </c>
      <c r="M647" s="185"/>
      <c r="N647" s="185" t="s">
        <v>2190</v>
      </c>
      <c r="O647" s="185" t="s">
        <v>2184</v>
      </c>
      <c r="P647" s="185"/>
      <c r="Q647" s="185" t="s">
        <v>2209</v>
      </c>
      <c r="R647" s="185" t="s">
        <v>2195</v>
      </c>
      <c r="S647" s="186">
        <v>42292</v>
      </c>
      <c r="T647" s="186">
        <v>42292</v>
      </c>
      <c r="U647" s="185" t="s">
        <v>1424</v>
      </c>
      <c r="V647" s="185">
        <v>1200</v>
      </c>
      <c r="W647" s="185">
        <v>14050</v>
      </c>
      <c r="X647" s="187">
        <v>6522</v>
      </c>
      <c r="Y647" s="185">
        <v>14056</v>
      </c>
      <c r="Z647" s="187">
        <v>4665.04</v>
      </c>
      <c r="AA647" s="187">
        <v>0</v>
      </c>
      <c r="AB647" s="187">
        <v>1856.96</v>
      </c>
      <c r="AC647" s="187">
        <v>181.16</v>
      </c>
      <c r="AD647" s="185">
        <v>54260</v>
      </c>
      <c r="AE647" s="187">
        <v>45.29</v>
      </c>
      <c r="AF647" s="187">
        <v>0</v>
      </c>
      <c r="AG647" s="187">
        <v>45.29</v>
      </c>
      <c r="AH647" s="185" t="s">
        <v>989</v>
      </c>
      <c r="AI647" s="185"/>
      <c r="AJ647" s="185"/>
      <c r="AK647" s="185" t="s">
        <v>45</v>
      </c>
      <c r="AL647" s="185" t="s">
        <v>2267</v>
      </c>
      <c r="AM647" s="185" t="s">
        <v>2269</v>
      </c>
      <c r="AN647" s="196"/>
      <c r="AO647" s="196"/>
      <c r="AP647" s="195"/>
      <c r="AQ647" s="194"/>
      <c r="AR647" s="193"/>
      <c r="AS647" s="192"/>
      <c r="AT647" s="192"/>
      <c r="AU647" s="192"/>
      <c r="AV647" s="192"/>
      <c r="AW647" s="191"/>
      <c r="AX647" s="190" t="s">
        <v>72</v>
      </c>
      <c r="AY647" s="184"/>
    </row>
    <row r="648" spans="2:51">
      <c r="B648" s="185">
        <v>2183</v>
      </c>
      <c r="C648" s="189">
        <v>126736</v>
      </c>
      <c r="D648" s="185" t="s">
        <v>989</v>
      </c>
      <c r="E648" s="185" t="s">
        <v>2003</v>
      </c>
      <c r="F648" s="185" t="s">
        <v>1425</v>
      </c>
      <c r="G648" s="185"/>
      <c r="H648" s="185"/>
      <c r="I648" s="188">
        <v>1140</v>
      </c>
      <c r="J648" s="185"/>
      <c r="K648" s="188">
        <v>0</v>
      </c>
      <c r="L648" s="185" t="s">
        <v>1351</v>
      </c>
      <c r="M648" s="185"/>
      <c r="N648" s="185" t="s">
        <v>2190</v>
      </c>
      <c r="O648" s="185" t="s">
        <v>2184</v>
      </c>
      <c r="P648" s="185"/>
      <c r="Q648" s="185"/>
      <c r="R648" s="185"/>
      <c r="S648" s="186">
        <v>42270</v>
      </c>
      <c r="T648" s="186">
        <v>42270</v>
      </c>
      <c r="U648" s="185" t="s">
        <v>1419</v>
      </c>
      <c r="V648" s="185">
        <v>700</v>
      </c>
      <c r="W648" s="185">
        <v>14050</v>
      </c>
      <c r="X648" s="187">
        <v>39343.97</v>
      </c>
      <c r="Y648" s="185">
        <v>14056</v>
      </c>
      <c r="Z648" s="187">
        <v>39343.97</v>
      </c>
      <c r="AA648" s="187">
        <v>0</v>
      </c>
      <c r="AB648" s="187">
        <v>0</v>
      </c>
      <c r="AC648" s="187">
        <v>0</v>
      </c>
      <c r="AD648" s="185">
        <v>54260</v>
      </c>
      <c r="AE648" s="187">
        <v>0</v>
      </c>
      <c r="AF648" s="187">
        <v>0</v>
      </c>
      <c r="AG648" s="187">
        <v>0</v>
      </c>
      <c r="AH648" s="185" t="s">
        <v>989</v>
      </c>
      <c r="AI648" s="185"/>
      <c r="AJ648" s="185"/>
      <c r="AK648" s="185" t="s">
        <v>45</v>
      </c>
      <c r="AL648" s="185" t="s">
        <v>2267</v>
      </c>
      <c r="AM648" s="185" t="s">
        <v>2269</v>
      </c>
      <c r="AN648" s="196"/>
      <c r="AO648" s="196"/>
      <c r="AP648" s="195"/>
      <c r="AQ648" s="194"/>
      <c r="AR648" s="193"/>
      <c r="AS648" s="192"/>
      <c r="AT648" s="192"/>
      <c r="AU648" s="192"/>
      <c r="AV648" s="192"/>
      <c r="AW648" s="191"/>
      <c r="AX648" s="190" t="s">
        <v>72</v>
      </c>
      <c r="AY648" s="184"/>
    </row>
    <row r="649" spans="2:51">
      <c r="B649" s="185">
        <v>2183</v>
      </c>
      <c r="C649" s="189">
        <v>126474</v>
      </c>
      <c r="D649" s="185" t="s">
        <v>989</v>
      </c>
      <c r="E649" s="185" t="s">
        <v>2003</v>
      </c>
      <c r="F649" s="185" t="s">
        <v>1426</v>
      </c>
      <c r="G649" s="185"/>
      <c r="H649" s="185"/>
      <c r="I649" s="188">
        <v>432</v>
      </c>
      <c r="J649" s="185"/>
      <c r="K649" s="188">
        <v>0</v>
      </c>
      <c r="L649" s="185" t="s">
        <v>1351</v>
      </c>
      <c r="M649" s="185"/>
      <c r="N649" s="185" t="s">
        <v>2190</v>
      </c>
      <c r="O649" s="185" t="s">
        <v>2184</v>
      </c>
      <c r="P649" s="185"/>
      <c r="Q649" s="185"/>
      <c r="R649" s="185"/>
      <c r="S649" s="186">
        <v>42270</v>
      </c>
      <c r="T649" s="186">
        <v>42270</v>
      </c>
      <c r="U649" s="185" t="s">
        <v>1419</v>
      </c>
      <c r="V649" s="185">
        <v>700</v>
      </c>
      <c r="W649" s="185">
        <v>14050</v>
      </c>
      <c r="X649" s="187">
        <v>20520.12</v>
      </c>
      <c r="Y649" s="185">
        <v>14056</v>
      </c>
      <c r="Z649" s="187">
        <v>20520.12</v>
      </c>
      <c r="AA649" s="187">
        <v>0</v>
      </c>
      <c r="AB649" s="187">
        <v>0</v>
      </c>
      <c r="AC649" s="187">
        <v>0</v>
      </c>
      <c r="AD649" s="185">
        <v>54260</v>
      </c>
      <c r="AE649" s="187">
        <v>0</v>
      </c>
      <c r="AF649" s="187">
        <v>0</v>
      </c>
      <c r="AG649" s="187">
        <v>0</v>
      </c>
      <c r="AH649" s="185" t="s">
        <v>989</v>
      </c>
      <c r="AI649" s="185"/>
      <c r="AJ649" s="185"/>
      <c r="AK649" s="185" t="s">
        <v>45</v>
      </c>
      <c r="AL649" s="185" t="s">
        <v>2267</v>
      </c>
      <c r="AM649" s="185" t="s">
        <v>2269</v>
      </c>
      <c r="AN649" s="196"/>
      <c r="AO649" s="196"/>
      <c r="AP649" s="195"/>
      <c r="AQ649" s="194"/>
      <c r="AR649" s="193"/>
      <c r="AS649" s="192"/>
      <c r="AT649" s="192"/>
      <c r="AU649" s="192"/>
      <c r="AV649" s="192"/>
      <c r="AW649" s="191"/>
      <c r="AX649" s="190" t="s">
        <v>72</v>
      </c>
      <c r="AY649" s="184"/>
    </row>
    <row r="650" spans="2:51">
      <c r="B650" s="185">
        <v>2183</v>
      </c>
      <c r="C650" s="189">
        <v>126473</v>
      </c>
      <c r="D650" s="185" t="s">
        <v>989</v>
      </c>
      <c r="E650" s="185" t="s">
        <v>2003</v>
      </c>
      <c r="F650" s="185" t="s">
        <v>1427</v>
      </c>
      <c r="G650" s="185"/>
      <c r="H650" s="185"/>
      <c r="I650" s="188">
        <v>312</v>
      </c>
      <c r="J650" s="185"/>
      <c r="K650" s="188">
        <v>0</v>
      </c>
      <c r="L650" s="185" t="s">
        <v>1351</v>
      </c>
      <c r="M650" s="185"/>
      <c r="N650" s="185" t="s">
        <v>2190</v>
      </c>
      <c r="O650" s="185" t="s">
        <v>2184</v>
      </c>
      <c r="P650" s="185"/>
      <c r="Q650" s="185"/>
      <c r="R650" s="185"/>
      <c r="S650" s="186">
        <v>42270</v>
      </c>
      <c r="T650" s="186">
        <v>42270</v>
      </c>
      <c r="U650" s="185" t="s">
        <v>1419</v>
      </c>
      <c r="V650" s="185">
        <v>700</v>
      </c>
      <c r="W650" s="185">
        <v>14050</v>
      </c>
      <c r="X650" s="187">
        <v>16893.89</v>
      </c>
      <c r="Y650" s="185">
        <v>14056</v>
      </c>
      <c r="Z650" s="187">
        <v>16893.89</v>
      </c>
      <c r="AA650" s="187">
        <v>0</v>
      </c>
      <c r="AB650" s="187">
        <v>0</v>
      </c>
      <c r="AC650" s="187">
        <v>0</v>
      </c>
      <c r="AD650" s="185">
        <v>54260</v>
      </c>
      <c r="AE650" s="187">
        <v>0</v>
      </c>
      <c r="AF650" s="187">
        <v>0</v>
      </c>
      <c r="AG650" s="187">
        <v>0</v>
      </c>
      <c r="AH650" s="185" t="s">
        <v>989</v>
      </c>
      <c r="AI650" s="185"/>
      <c r="AJ650" s="185"/>
      <c r="AK650" s="185" t="s">
        <v>45</v>
      </c>
      <c r="AL650" s="185" t="s">
        <v>2267</v>
      </c>
      <c r="AM650" s="185" t="s">
        <v>2269</v>
      </c>
      <c r="AN650" s="196"/>
      <c r="AO650" s="196"/>
      <c r="AP650" s="195"/>
      <c r="AQ650" s="194"/>
      <c r="AR650" s="193"/>
      <c r="AS650" s="192"/>
      <c r="AT650" s="192"/>
      <c r="AU650" s="192"/>
      <c r="AV650" s="192"/>
      <c r="AW650" s="191"/>
      <c r="AX650" s="190" t="s">
        <v>72</v>
      </c>
      <c r="AY650" s="184"/>
    </row>
    <row r="651" spans="2:51">
      <c r="B651" s="185">
        <v>2183</v>
      </c>
      <c r="C651" s="189">
        <v>126472</v>
      </c>
      <c r="D651" s="185" t="s">
        <v>989</v>
      </c>
      <c r="E651" s="185" t="s">
        <v>2003</v>
      </c>
      <c r="F651" s="185" t="s">
        <v>1428</v>
      </c>
      <c r="G651" s="185"/>
      <c r="H651" s="185"/>
      <c r="I651" s="188">
        <v>10</v>
      </c>
      <c r="J651" s="185"/>
      <c r="K651" s="188">
        <v>0</v>
      </c>
      <c r="L651" s="185" t="s">
        <v>1047</v>
      </c>
      <c r="M651" s="185"/>
      <c r="N651" s="185" t="s">
        <v>2190</v>
      </c>
      <c r="O651" s="185" t="s">
        <v>2184</v>
      </c>
      <c r="P651" s="185"/>
      <c r="Q651" s="185" t="s">
        <v>2214</v>
      </c>
      <c r="R651" s="185" t="s">
        <v>2195</v>
      </c>
      <c r="S651" s="186">
        <v>42286</v>
      </c>
      <c r="T651" s="186">
        <v>42286</v>
      </c>
      <c r="U651" s="185" t="s">
        <v>1424</v>
      </c>
      <c r="V651" s="185">
        <v>1200</v>
      </c>
      <c r="W651" s="185">
        <v>14050</v>
      </c>
      <c r="X651" s="187">
        <v>6282.86</v>
      </c>
      <c r="Y651" s="185">
        <v>14056</v>
      </c>
      <c r="Z651" s="187">
        <v>4493.97</v>
      </c>
      <c r="AA651" s="187">
        <v>0</v>
      </c>
      <c r="AB651" s="187">
        <v>1788.8899999999994</v>
      </c>
      <c r="AC651" s="187">
        <v>174.52</v>
      </c>
      <c r="AD651" s="185">
        <v>54260</v>
      </c>
      <c r="AE651" s="187">
        <v>43.63</v>
      </c>
      <c r="AF651" s="187">
        <v>0</v>
      </c>
      <c r="AG651" s="187">
        <v>43.63</v>
      </c>
      <c r="AH651" s="185" t="s">
        <v>989</v>
      </c>
      <c r="AI651" s="185"/>
      <c r="AJ651" s="185"/>
      <c r="AK651" s="185" t="s">
        <v>45</v>
      </c>
      <c r="AL651" s="185" t="s">
        <v>2267</v>
      </c>
      <c r="AM651" s="185" t="s">
        <v>2269</v>
      </c>
      <c r="AN651" s="196"/>
      <c r="AO651" s="196"/>
      <c r="AP651" s="195"/>
      <c r="AQ651" s="194"/>
      <c r="AR651" s="193"/>
      <c r="AS651" s="192"/>
      <c r="AT651" s="192"/>
      <c r="AU651" s="192"/>
      <c r="AV651" s="192"/>
      <c r="AW651" s="191"/>
      <c r="AX651" s="190" t="s">
        <v>72</v>
      </c>
      <c r="AY651" s="184"/>
    </row>
    <row r="652" spans="2:51">
      <c r="B652" s="185">
        <v>2183</v>
      </c>
      <c r="C652" s="189">
        <v>126400</v>
      </c>
      <c r="D652" s="185" t="s">
        <v>989</v>
      </c>
      <c r="E652" s="185" t="s">
        <v>2003</v>
      </c>
      <c r="F652" s="185" t="s">
        <v>578</v>
      </c>
      <c r="G652" s="185"/>
      <c r="H652" s="185"/>
      <c r="I652" s="188">
        <v>1</v>
      </c>
      <c r="J652" s="185"/>
      <c r="K652" s="188">
        <v>0</v>
      </c>
      <c r="L652" s="185"/>
      <c r="M652" s="185"/>
      <c r="N652" s="185" t="s">
        <v>2198</v>
      </c>
      <c r="O652" s="185" t="s">
        <v>2184</v>
      </c>
      <c r="P652" s="185"/>
      <c r="Q652" s="185"/>
      <c r="R652" s="185"/>
      <c r="S652" s="186">
        <v>42248</v>
      </c>
      <c r="T652" s="186">
        <v>42248</v>
      </c>
      <c r="U652" s="185" t="s">
        <v>1429</v>
      </c>
      <c r="V652" s="185">
        <v>500</v>
      </c>
      <c r="W652" s="185">
        <v>14070</v>
      </c>
      <c r="X652" s="187">
        <v>11499.37</v>
      </c>
      <c r="Y652" s="185">
        <v>14076</v>
      </c>
      <c r="Z652" s="187">
        <v>11499.37</v>
      </c>
      <c r="AA652" s="187">
        <v>0</v>
      </c>
      <c r="AB652" s="187">
        <v>0</v>
      </c>
      <c r="AC652" s="187">
        <v>0</v>
      </c>
      <c r="AD652" s="185">
        <v>51260</v>
      </c>
      <c r="AE652" s="187">
        <v>0</v>
      </c>
      <c r="AF652" s="187">
        <v>0</v>
      </c>
      <c r="AG652" s="187">
        <v>0</v>
      </c>
      <c r="AH652" s="185" t="s">
        <v>989</v>
      </c>
      <c r="AI652" s="185"/>
      <c r="AJ652" s="185"/>
      <c r="AK652" s="185" t="s">
        <v>45</v>
      </c>
      <c r="AL652" s="185" t="s">
        <v>2267</v>
      </c>
      <c r="AM652" s="185" t="s">
        <v>2269</v>
      </c>
      <c r="AN652" s="196"/>
      <c r="AO652" s="196"/>
      <c r="AP652" s="195"/>
      <c r="AQ652" s="194"/>
      <c r="AR652" s="193"/>
      <c r="AS652" s="192"/>
      <c r="AT652" s="192"/>
      <c r="AU652" s="192"/>
      <c r="AV652" s="192"/>
      <c r="AW652" s="191"/>
      <c r="AX652" s="190" t="s">
        <v>72</v>
      </c>
      <c r="AY652" s="184"/>
    </row>
    <row r="653" spans="2:51" hidden="1">
      <c r="B653" s="185">
        <v>2183</v>
      </c>
      <c r="C653" s="189">
        <v>125758</v>
      </c>
      <c r="D653" s="185">
        <v>126400</v>
      </c>
      <c r="E653" s="185" t="s">
        <v>2003</v>
      </c>
      <c r="F653" s="185" t="s">
        <v>1430</v>
      </c>
      <c r="G653" s="185"/>
      <c r="H653" s="185"/>
      <c r="I653" s="188">
        <v>1</v>
      </c>
      <c r="J653" s="185"/>
      <c r="K653" s="188">
        <v>0</v>
      </c>
      <c r="L653" s="185" t="s">
        <v>1431</v>
      </c>
      <c r="M653" s="185"/>
      <c r="N653" s="185" t="s">
        <v>2198</v>
      </c>
      <c r="O653" s="185" t="s">
        <v>2184</v>
      </c>
      <c r="P653" s="185"/>
      <c r="Q653" s="185"/>
      <c r="R653" s="185"/>
      <c r="S653" s="186">
        <v>42248</v>
      </c>
      <c r="T653" s="186">
        <v>42248</v>
      </c>
      <c r="U653" s="185" t="s">
        <v>1429</v>
      </c>
      <c r="V653" s="185">
        <v>500</v>
      </c>
      <c r="W653" s="185">
        <v>14070</v>
      </c>
      <c r="X653" s="187">
        <v>1195.7</v>
      </c>
      <c r="Y653" s="185">
        <v>14076</v>
      </c>
      <c r="Z653" s="187">
        <v>1195.7</v>
      </c>
      <c r="AA653" s="187">
        <v>0</v>
      </c>
      <c r="AB653" s="187">
        <v>0</v>
      </c>
      <c r="AC653" s="187">
        <v>0</v>
      </c>
      <c r="AD653" s="185">
        <v>51260</v>
      </c>
      <c r="AE653" s="187">
        <v>0</v>
      </c>
      <c r="AF653" s="187">
        <v>0</v>
      </c>
      <c r="AG653" s="187">
        <v>0</v>
      </c>
      <c r="AH653" s="185" t="s">
        <v>989</v>
      </c>
      <c r="AI653" s="185"/>
      <c r="AJ653" s="185"/>
      <c r="AK653" s="185" t="s">
        <v>45</v>
      </c>
      <c r="AL653" s="185" t="s">
        <v>2267</v>
      </c>
      <c r="AM653" s="185" t="s">
        <v>2269</v>
      </c>
      <c r="AN653" s="196"/>
      <c r="AO653" s="196"/>
      <c r="AP653" s="195"/>
      <c r="AQ653" s="194"/>
      <c r="AR653" s="193"/>
      <c r="AS653" s="192"/>
      <c r="AT653" s="192"/>
      <c r="AU653" s="192"/>
      <c r="AV653" s="192"/>
      <c r="AW653" s="191"/>
      <c r="AX653" s="190" t="s">
        <v>72</v>
      </c>
      <c r="AY653" s="184"/>
    </row>
    <row r="654" spans="2:51">
      <c r="B654" s="185">
        <v>2183</v>
      </c>
      <c r="C654" s="189">
        <v>125074</v>
      </c>
      <c r="D654" s="185" t="s">
        <v>989</v>
      </c>
      <c r="E654" s="185" t="s">
        <v>2003</v>
      </c>
      <c r="F654" s="185" t="s">
        <v>579</v>
      </c>
      <c r="G654" s="185"/>
      <c r="H654" s="185"/>
      <c r="I654" s="188">
        <v>1</v>
      </c>
      <c r="J654" s="185"/>
      <c r="K654" s="188">
        <v>0</v>
      </c>
      <c r="L654" s="185" t="s">
        <v>1432</v>
      </c>
      <c r="M654" s="185"/>
      <c r="N654" s="185" t="s">
        <v>2189</v>
      </c>
      <c r="O654" s="185" t="s">
        <v>2184</v>
      </c>
      <c r="P654" s="185"/>
      <c r="Q654" s="185"/>
      <c r="R654" s="185"/>
      <c r="S654" s="186">
        <v>42211</v>
      </c>
      <c r="T654" s="186">
        <v>42211</v>
      </c>
      <c r="U654" s="185" t="s">
        <v>1433</v>
      </c>
      <c r="V654" s="185">
        <v>1000</v>
      </c>
      <c r="W654" s="185">
        <v>14010</v>
      </c>
      <c r="X654" s="187">
        <v>5978.5</v>
      </c>
      <c r="Y654" s="185">
        <v>14016</v>
      </c>
      <c r="Z654" s="187">
        <v>5231.1899999999996</v>
      </c>
      <c r="AA654" s="187">
        <v>0</v>
      </c>
      <c r="AB654" s="187">
        <v>747.3100000000004</v>
      </c>
      <c r="AC654" s="187">
        <v>199.28</v>
      </c>
      <c r="AD654" s="185">
        <v>57260</v>
      </c>
      <c r="AE654" s="187">
        <v>49.82</v>
      </c>
      <c r="AF654" s="187">
        <v>0</v>
      </c>
      <c r="AG654" s="187">
        <v>49.82</v>
      </c>
      <c r="AH654" s="185" t="s">
        <v>989</v>
      </c>
      <c r="AI654" s="185"/>
      <c r="AJ654" s="185"/>
      <c r="AK654" s="185" t="s">
        <v>45</v>
      </c>
      <c r="AL654" s="185" t="s">
        <v>2267</v>
      </c>
      <c r="AM654" s="185" t="s">
        <v>2269</v>
      </c>
      <c r="AN654" s="196"/>
      <c r="AO654" s="196"/>
      <c r="AP654" s="195"/>
      <c r="AQ654" s="194"/>
      <c r="AR654" s="193"/>
      <c r="AS654" s="192"/>
      <c r="AT654" s="192"/>
      <c r="AU654" s="192"/>
      <c r="AV654" s="192"/>
      <c r="AW654" s="191"/>
      <c r="AX654" s="190" t="s">
        <v>72</v>
      </c>
      <c r="AY654" s="184"/>
    </row>
    <row r="655" spans="2:51">
      <c r="B655" s="185">
        <v>2183</v>
      </c>
      <c r="C655" s="189">
        <v>124973</v>
      </c>
      <c r="D655" s="185" t="s">
        <v>989</v>
      </c>
      <c r="E655" s="185" t="s">
        <v>2003</v>
      </c>
      <c r="F655" s="185" t="s">
        <v>1434</v>
      </c>
      <c r="G655" s="185"/>
      <c r="H655" s="185"/>
      <c r="I655" s="188">
        <v>11</v>
      </c>
      <c r="J655" s="185"/>
      <c r="K655" s="188">
        <v>0</v>
      </c>
      <c r="L655" s="185" t="s">
        <v>1435</v>
      </c>
      <c r="M655" s="185"/>
      <c r="N655" s="185" t="s">
        <v>2190</v>
      </c>
      <c r="O655" s="185" t="s">
        <v>2184</v>
      </c>
      <c r="P655" s="185"/>
      <c r="Q655" s="185" t="s">
        <v>2208</v>
      </c>
      <c r="R655" s="185" t="s">
        <v>2195</v>
      </c>
      <c r="S655" s="186">
        <v>42216</v>
      </c>
      <c r="T655" s="186">
        <v>42216</v>
      </c>
      <c r="U655" s="185" t="s">
        <v>1436</v>
      </c>
      <c r="V655" s="185">
        <v>1200</v>
      </c>
      <c r="W655" s="185">
        <v>14050</v>
      </c>
      <c r="X655" s="187">
        <v>6028.5</v>
      </c>
      <c r="Y655" s="185">
        <v>14056</v>
      </c>
      <c r="Z655" s="187">
        <v>4395.8</v>
      </c>
      <c r="AA655" s="187">
        <v>0</v>
      </c>
      <c r="AB655" s="187">
        <v>1632.6999999999998</v>
      </c>
      <c r="AC655" s="187">
        <v>167.44</v>
      </c>
      <c r="AD655" s="185">
        <v>54260</v>
      </c>
      <c r="AE655" s="187">
        <v>41.86</v>
      </c>
      <c r="AF655" s="187">
        <v>0</v>
      </c>
      <c r="AG655" s="187">
        <v>41.86</v>
      </c>
      <c r="AH655" s="185" t="s">
        <v>989</v>
      </c>
      <c r="AI655" s="185"/>
      <c r="AJ655" s="185"/>
      <c r="AK655" s="185" t="s">
        <v>45</v>
      </c>
      <c r="AL655" s="185" t="s">
        <v>2267</v>
      </c>
      <c r="AM655" s="185" t="s">
        <v>2269</v>
      </c>
      <c r="AN655" s="196"/>
      <c r="AO655" s="196"/>
      <c r="AP655" s="195"/>
      <c r="AQ655" s="194"/>
      <c r="AR655" s="193"/>
      <c r="AS655" s="192"/>
      <c r="AT655" s="192"/>
      <c r="AU655" s="192"/>
      <c r="AV655" s="192"/>
      <c r="AW655" s="191"/>
      <c r="AX655" s="190" t="s">
        <v>72</v>
      </c>
      <c r="AY655" s="184"/>
    </row>
    <row r="656" spans="2:51">
      <c r="B656" s="185">
        <v>2183</v>
      </c>
      <c r="C656" s="189">
        <v>124972</v>
      </c>
      <c r="D656" s="185" t="s">
        <v>989</v>
      </c>
      <c r="E656" s="185" t="s">
        <v>2003</v>
      </c>
      <c r="F656" s="185" t="s">
        <v>1437</v>
      </c>
      <c r="G656" s="185"/>
      <c r="H656" s="185"/>
      <c r="I656" s="188">
        <v>11</v>
      </c>
      <c r="J656" s="185"/>
      <c r="K656" s="188">
        <v>0</v>
      </c>
      <c r="L656" s="185" t="s">
        <v>1435</v>
      </c>
      <c r="M656" s="185"/>
      <c r="N656" s="185" t="s">
        <v>2190</v>
      </c>
      <c r="O656" s="185" t="s">
        <v>2184</v>
      </c>
      <c r="P656" s="185"/>
      <c r="Q656" s="185" t="s">
        <v>2200</v>
      </c>
      <c r="R656" s="185" t="s">
        <v>2195</v>
      </c>
      <c r="S656" s="186">
        <v>42216</v>
      </c>
      <c r="T656" s="186">
        <v>42216</v>
      </c>
      <c r="U656" s="185" t="s">
        <v>1436</v>
      </c>
      <c r="V656" s="185">
        <v>1200</v>
      </c>
      <c r="W656" s="185">
        <v>14050</v>
      </c>
      <c r="X656" s="187">
        <v>5705.66</v>
      </c>
      <c r="Y656" s="185">
        <v>14056</v>
      </c>
      <c r="Z656" s="187">
        <v>4160.17</v>
      </c>
      <c r="AA656" s="187">
        <v>0</v>
      </c>
      <c r="AB656" s="187">
        <v>1545.4899999999998</v>
      </c>
      <c r="AC656" s="187">
        <v>158.47999999999999</v>
      </c>
      <c r="AD656" s="185">
        <v>54260</v>
      </c>
      <c r="AE656" s="187">
        <v>39.619999999999997</v>
      </c>
      <c r="AF656" s="187">
        <v>0</v>
      </c>
      <c r="AG656" s="187">
        <v>39.619999999999997</v>
      </c>
      <c r="AH656" s="185" t="s">
        <v>989</v>
      </c>
      <c r="AI656" s="185"/>
      <c r="AJ656" s="185"/>
      <c r="AK656" s="185" t="s">
        <v>45</v>
      </c>
      <c r="AL656" s="185" t="s">
        <v>2267</v>
      </c>
      <c r="AM656" s="185" t="s">
        <v>2269</v>
      </c>
      <c r="AN656" s="196"/>
      <c r="AO656" s="196"/>
      <c r="AP656" s="195"/>
      <c r="AQ656" s="194"/>
      <c r="AR656" s="193"/>
      <c r="AS656" s="192"/>
      <c r="AT656" s="192"/>
      <c r="AU656" s="192"/>
      <c r="AV656" s="192"/>
      <c r="AW656" s="191"/>
      <c r="AX656" s="190" t="s">
        <v>72</v>
      </c>
      <c r="AY656" s="184"/>
    </row>
    <row r="657" spans="2:51">
      <c r="B657" s="185">
        <v>2183</v>
      </c>
      <c r="C657" s="189">
        <v>124971</v>
      </c>
      <c r="D657" s="185" t="s">
        <v>989</v>
      </c>
      <c r="E657" s="185" t="s">
        <v>2003</v>
      </c>
      <c r="F657" s="185" t="s">
        <v>1438</v>
      </c>
      <c r="G657" s="185"/>
      <c r="H657" s="185"/>
      <c r="I657" s="188">
        <v>11</v>
      </c>
      <c r="J657" s="185"/>
      <c r="K657" s="188">
        <v>0</v>
      </c>
      <c r="L657" s="185" t="s">
        <v>1435</v>
      </c>
      <c r="M657" s="185"/>
      <c r="N657" s="185" t="s">
        <v>2190</v>
      </c>
      <c r="O657" s="185" t="s">
        <v>2184</v>
      </c>
      <c r="P657" s="185"/>
      <c r="Q657" s="185" t="s">
        <v>2209</v>
      </c>
      <c r="R657" s="185" t="s">
        <v>2195</v>
      </c>
      <c r="S657" s="186">
        <v>42216</v>
      </c>
      <c r="T657" s="186">
        <v>42216</v>
      </c>
      <c r="U657" s="185" t="s">
        <v>1436</v>
      </c>
      <c r="V657" s="185">
        <v>1200</v>
      </c>
      <c r="W657" s="185">
        <v>14050</v>
      </c>
      <c r="X657" s="187">
        <v>5287.17</v>
      </c>
      <c r="Y657" s="185">
        <v>14056</v>
      </c>
      <c r="Z657" s="187">
        <v>3855.26</v>
      </c>
      <c r="AA657" s="187">
        <v>0</v>
      </c>
      <c r="AB657" s="187">
        <v>1431.9099999999999</v>
      </c>
      <c r="AC657" s="187">
        <v>146.88</v>
      </c>
      <c r="AD657" s="185">
        <v>54260</v>
      </c>
      <c r="AE657" s="187">
        <v>36.72</v>
      </c>
      <c r="AF657" s="187">
        <v>0</v>
      </c>
      <c r="AG657" s="187">
        <v>36.72</v>
      </c>
      <c r="AH657" s="185" t="s">
        <v>989</v>
      </c>
      <c r="AI657" s="185"/>
      <c r="AJ657" s="185"/>
      <c r="AK657" s="185" t="s">
        <v>45</v>
      </c>
      <c r="AL657" s="185" t="s">
        <v>2267</v>
      </c>
      <c r="AM657" s="185" t="s">
        <v>2269</v>
      </c>
      <c r="AN657" s="196"/>
      <c r="AO657" s="196"/>
      <c r="AP657" s="195"/>
      <c r="AQ657" s="194"/>
      <c r="AR657" s="193"/>
      <c r="AS657" s="192"/>
      <c r="AT657" s="192"/>
      <c r="AU657" s="192"/>
      <c r="AV657" s="192"/>
      <c r="AW657" s="191"/>
      <c r="AX657" s="190" t="s">
        <v>72</v>
      </c>
      <c r="AY657" s="184"/>
    </row>
    <row r="658" spans="2:51">
      <c r="B658" s="185">
        <v>2183</v>
      </c>
      <c r="C658" s="189">
        <v>124970</v>
      </c>
      <c r="D658" s="185" t="s">
        <v>989</v>
      </c>
      <c r="E658" s="185" t="s">
        <v>2003</v>
      </c>
      <c r="F658" s="185" t="s">
        <v>1439</v>
      </c>
      <c r="G658" s="185"/>
      <c r="H658" s="185"/>
      <c r="I658" s="188">
        <v>11</v>
      </c>
      <c r="J658" s="185"/>
      <c r="K658" s="188">
        <v>0</v>
      </c>
      <c r="L658" s="185" t="s">
        <v>1435</v>
      </c>
      <c r="M658" s="185"/>
      <c r="N658" s="185" t="s">
        <v>2190</v>
      </c>
      <c r="O658" s="185" t="s">
        <v>2184</v>
      </c>
      <c r="P658" s="185"/>
      <c r="Q658" s="185" t="s">
        <v>2194</v>
      </c>
      <c r="R658" s="185" t="s">
        <v>2195</v>
      </c>
      <c r="S658" s="186">
        <v>42216</v>
      </c>
      <c r="T658" s="186">
        <v>42216</v>
      </c>
      <c r="U658" s="185" t="s">
        <v>1436</v>
      </c>
      <c r="V658" s="185">
        <v>1200</v>
      </c>
      <c r="W658" s="185">
        <v>14050</v>
      </c>
      <c r="X658" s="187">
        <v>8862.32</v>
      </c>
      <c r="Y658" s="185">
        <v>14056</v>
      </c>
      <c r="Z658" s="187">
        <v>6462.12</v>
      </c>
      <c r="AA658" s="187">
        <v>0</v>
      </c>
      <c r="AB658" s="187">
        <v>2400.1999999999998</v>
      </c>
      <c r="AC658" s="187">
        <v>246.16</v>
      </c>
      <c r="AD658" s="185">
        <v>54260</v>
      </c>
      <c r="AE658" s="187">
        <v>61.54</v>
      </c>
      <c r="AF658" s="187">
        <v>0</v>
      </c>
      <c r="AG658" s="187">
        <v>61.54</v>
      </c>
      <c r="AH658" s="185" t="s">
        <v>989</v>
      </c>
      <c r="AI658" s="185"/>
      <c r="AJ658" s="185"/>
      <c r="AK658" s="185" t="s">
        <v>45</v>
      </c>
      <c r="AL658" s="185" t="s">
        <v>2267</v>
      </c>
      <c r="AM658" s="185" t="s">
        <v>2269</v>
      </c>
      <c r="AN658" s="196"/>
      <c r="AO658" s="196"/>
      <c r="AP658" s="195"/>
      <c r="AQ658" s="194"/>
      <c r="AR658" s="193"/>
      <c r="AS658" s="192"/>
      <c r="AT658" s="192"/>
      <c r="AU658" s="192"/>
      <c r="AV658" s="192"/>
      <c r="AW658" s="191"/>
      <c r="AX658" s="190" t="s">
        <v>72</v>
      </c>
      <c r="AY658" s="184"/>
    </row>
    <row r="659" spans="2:51">
      <c r="B659" s="185">
        <v>2183</v>
      </c>
      <c r="C659" s="189">
        <v>124969</v>
      </c>
      <c r="D659" s="185" t="s">
        <v>989</v>
      </c>
      <c r="E659" s="185" t="s">
        <v>2003</v>
      </c>
      <c r="F659" s="185" t="s">
        <v>1440</v>
      </c>
      <c r="G659" s="185"/>
      <c r="H659" s="185"/>
      <c r="I659" s="188">
        <v>11</v>
      </c>
      <c r="J659" s="185"/>
      <c r="K659" s="188">
        <v>0</v>
      </c>
      <c r="L659" s="185" t="s">
        <v>1435</v>
      </c>
      <c r="M659" s="185"/>
      <c r="N659" s="185" t="s">
        <v>2190</v>
      </c>
      <c r="O659" s="185" t="s">
        <v>2184</v>
      </c>
      <c r="P659" s="185"/>
      <c r="Q659" s="185" t="s">
        <v>2214</v>
      </c>
      <c r="R659" s="185" t="s">
        <v>2195</v>
      </c>
      <c r="S659" s="186">
        <v>42216</v>
      </c>
      <c r="T659" s="186">
        <v>42216</v>
      </c>
      <c r="U659" s="185" t="s">
        <v>1436</v>
      </c>
      <c r="V659" s="185">
        <v>1200</v>
      </c>
      <c r="W659" s="185">
        <v>14050</v>
      </c>
      <c r="X659" s="187">
        <v>6662.22</v>
      </c>
      <c r="Y659" s="185">
        <v>14056</v>
      </c>
      <c r="Z659" s="187">
        <v>4857.93</v>
      </c>
      <c r="AA659" s="187">
        <v>0</v>
      </c>
      <c r="AB659" s="187">
        <v>1804.29</v>
      </c>
      <c r="AC659" s="187">
        <v>185.08</v>
      </c>
      <c r="AD659" s="185">
        <v>54260</v>
      </c>
      <c r="AE659" s="187">
        <v>46.27</v>
      </c>
      <c r="AF659" s="187">
        <v>0</v>
      </c>
      <c r="AG659" s="187">
        <v>46.27</v>
      </c>
      <c r="AH659" s="185" t="s">
        <v>989</v>
      </c>
      <c r="AI659" s="185"/>
      <c r="AJ659" s="185"/>
      <c r="AK659" s="185" t="s">
        <v>45</v>
      </c>
      <c r="AL659" s="185" t="s">
        <v>2267</v>
      </c>
      <c r="AM659" s="185" t="s">
        <v>2269</v>
      </c>
      <c r="AN659" s="196"/>
      <c r="AO659" s="196"/>
      <c r="AP659" s="195"/>
      <c r="AQ659" s="194"/>
      <c r="AR659" s="193"/>
      <c r="AS659" s="192"/>
      <c r="AT659" s="192"/>
      <c r="AU659" s="192"/>
      <c r="AV659" s="192"/>
      <c r="AW659" s="191"/>
      <c r="AX659" s="190" t="s">
        <v>72</v>
      </c>
      <c r="AY659" s="184"/>
    </row>
    <row r="660" spans="2:51" hidden="1">
      <c r="B660" s="185">
        <v>2183</v>
      </c>
      <c r="C660" s="189">
        <v>124606</v>
      </c>
      <c r="D660" s="185">
        <v>61120</v>
      </c>
      <c r="E660" s="185" t="s">
        <v>2003</v>
      </c>
      <c r="F660" s="185" t="s">
        <v>1441</v>
      </c>
      <c r="G660" s="185"/>
      <c r="H660" s="185"/>
      <c r="I660" s="188">
        <v>1</v>
      </c>
      <c r="J660" s="185"/>
      <c r="K660" s="188">
        <v>0</v>
      </c>
      <c r="L660" s="185" t="s">
        <v>1442</v>
      </c>
      <c r="M660" s="185"/>
      <c r="N660" s="185" t="s">
        <v>2183</v>
      </c>
      <c r="O660" s="185" t="s">
        <v>2184</v>
      </c>
      <c r="P660" s="185" t="s">
        <v>1028</v>
      </c>
      <c r="Q660" s="185"/>
      <c r="R660" s="185"/>
      <c r="S660" s="186">
        <v>42185</v>
      </c>
      <c r="T660" s="186">
        <v>42185</v>
      </c>
      <c r="U660" s="185" t="s">
        <v>1443</v>
      </c>
      <c r="V660" s="185">
        <v>300</v>
      </c>
      <c r="W660" s="185">
        <v>14040</v>
      </c>
      <c r="X660" s="187">
        <v>10023.450000000001</v>
      </c>
      <c r="Y660" s="185">
        <v>14046</v>
      </c>
      <c r="Z660" s="187">
        <v>10023.450000000001</v>
      </c>
      <c r="AA660" s="187">
        <v>0</v>
      </c>
      <c r="AB660" s="187">
        <v>0</v>
      </c>
      <c r="AC660" s="187">
        <v>0</v>
      </c>
      <c r="AD660" s="185">
        <v>51260</v>
      </c>
      <c r="AE660" s="187">
        <v>0</v>
      </c>
      <c r="AF660" s="187">
        <v>0</v>
      </c>
      <c r="AG660" s="187">
        <v>0</v>
      </c>
      <c r="AH660" s="185" t="s">
        <v>989</v>
      </c>
      <c r="AI660" s="185"/>
      <c r="AJ660" s="185"/>
      <c r="AK660" s="185" t="s">
        <v>45</v>
      </c>
      <c r="AL660" s="185" t="s">
        <v>2267</v>
      </c>
      <c r="AM660" s="185" t="s">
        <v>2269</v>
      </c>
      <c r="AN660" s="196"/>
      <c r="AO660" s="196"/>
      <c r="AP660" s="195"/>
      <c r="AQ660" s="194"/>
      <c r="AR660" s="193"/>
      <c r="AS660" s="192"/>
      <c r="AT660" s="192"/>
      <c r="AU660" s="192"/>
      <c r="AV660" s="192"/>
      <c r="AW660" s="191"/>
      <c r="AX660" s="190" t="s">
        <v>72</v>
      </c>
      <c r="AY660" s="184"/>
    </row>
    <row r="661" spans="2:51">
      <c r="B661" s="185">
        <v>2183</v>
      </c>
      <c r="C661" s="189">
        <v>124524</v>
      </c>
      <c r="D661" s="185" t="s">
        <v>989</v>
      </c>
      <c r="E661" s="185" t="s">
        <v>2003</v>
      </c>
      <c r="F661" s="185" t="s">
        <v>1444</v>
      </c>
      <c r="G661" s="185"/>
      <c r="H661" s="185"/>
      <c r="I661" s="188">
        <v>6</v>
      </c>
      <c r="J661" s="185"/>
      <c r="K661" s="188">
        <v>0</v>
      </c>
      <c r="L661" s="185" t="s">
        <v>1047</v>
      </c>
      <c r="M661" s="185"/>
      <c r="N661" s="185" t="s">
        <v>2190</v>
      </c>
      <c r="O661" s="185" t="s">
        <v>2184</v>
      </c>
      <c r="P661" s="185"/>
      <c r="Q661" s="185"/>
      <c r="R661" s="185"/>
      <c r="S661" s="186">
        <v>42124</v>
      </c>
      <c r="T661" s="186">
        <v>42124</v>
      </c>
      <c r="U661" s="185" t="s">
        <v>1445</v>
      </c>
      <c r="V661" s="185">
        <v>1200</v>
      </c>
      <c r="W661" s="185">
        <v>14050</v>
      </c>
      <c r="X661" s="187">
        <v>40590</v>
      </c>
      <c r="Y661" s="185">
        <v>14056</v>
      </c>
      <c r="Z661" s="187">
        <v>30442.52</v>
      </c>
      <c r="AA661" s="187">
        <v>0</v>
      </c>
      <c r="AB661" s="187">
        <v>10147.48</v>
      </c>
      <c r="AC661" s="187">
        <v>1127.52</v>
      </c>
      <c r="AD661" s="185">
        <v>54260</v>
      </c>
      <c r="AE661" s="187">
        <v>281.88</v>
      </c>
      <c r="AF661" s="187">
        <v>0</v>
      </c>
      <c r="AG661" s="187">
        <v>281.88</v>
      </c>
      <c r="AH661" s="185" t="s">
        <v>989</v>
      </c>
      <c r="AI661" s="185"/>
      <c r="AJ661" s="185"/>
      <c r="AK661" s="185" t="s">
        <v>45</v>
      </c>
      <c r="AL661" s="185" t="s">
        <v>2267</v>
      </c>
      <c r="AM661" s="185" t="s">
        <v>2269</v>
      </c>
      <c r="AN661" s="196"/>
      <c r="AO661" s="196"/>
      <c r="AP661" s="195"/>
      <c r="AQ661" s="194"/>
      <c r="AR661" s="193"/>
      <c r="AS661" s="192"/>
      <c r="AT661" s="192"/>
      <c r="AU661" s="192"/>
      <c r="AV661" s="192"/>
      <c r="AW661" s="191"/>
      <c r="AX661" s="190" t="s">
        <v>72</v>
      </c>
      <c r="AY661" s="184"/>
    </row>
    <row r="662" spans="2:51">
      <c r="B662" s="185">
        <v>2183</v>
      </c>
      <c r="C662" s="189">
        <v>123666</v>
      </c>
      <c r="D662" s="185" t="s">
        <v>989</v>
      </c>
      <c r="E662" s="185" t="s">
        <v>2003</v>
      </c>
      <c r="F662" s="185" t="s">
        <v>1446</v>
      </c>
      <c r="G662" s="185"/>
      <c r="H662" s="185"/>
      <c r="I662" s="188">
        <v>624</v>
      </c>
      <c r="J662" s="185"/>
      <c r="K662" s="188">
        <v>0</v>
      </c>
      <c r="L662" s="185" t="s">
        <v>1018</v>
      </c>
      <c r="M662" s="185"/>
      <c r="N662" s="185" t="s">
        <v>2190</v>
      </c>
      <c r="O662" s="185" t="s">
        <v>2184</v>
      </c>
      <c r="P662" s="185"/>
      <c r="Q662" s="185"/>
      <c r="R662" s="185"/>
      <c r="S662" s="186">
        <v>42178</v>
      </c>
      <c r="T662" s="186">
        <v>42178</v>
      </c>
      <c r="U662" s="185" t="s">
        <v>1447</v>
      </c>
      <c r="V662" s="185">
        <v>700</v>
      </c>
      <c r="W662" s="185">
        <v>14050</v>
      </c>
      <c r="X662" s="187">
        <v>32155.37</v>
      </c>
      <c r="Y662" s="185">
        <v>14056</v>
      </c>
      <c r="Z662" s="187">
        <v>32155.37</v>
      </c>
      <c r="AA662" s="187">
        <v>0</v>
      </c>
      <c r="AB662" s="187">
        <v>0</v>
      </c>
      <c r="AC662" s="187">
        <v>0</v>
      </c>
      <c r="AD662" s="185">
        <v>54260</v>
      </c>
      <c r="AE662" s="187">
        <v>0</v>
      </c>
      <c r="AF662" s="187">
        <v>0</v>
      </c>
      <c r="AG662" s="187">
        <v>0</v>
      </c>
      <c r="AH662" s="185" t="s">
        <v>989</v>
      </c>
      <c r="AI662" s="185"/>
      <c r="AJ662" s="185"/>
      <c r="AK662" s="185" t="s">
        <v>45</v>
      </c>
      <c r="AL662" s="185" t="s">
        <v>2267</v>
      </c>
      <c r="AM662" s="185" t="s">
        <v>2269</v>
      </c>
      <c r="AN662" s="196"/>
      <c r="AO662" s="196"/>
      <c r="AP662" s="195"/>
      <c r="AQ662" s="194"/>
      <c r="AR662" s="193"/>
      <c r="AS662" s="192"/>
      <c r="AT662" s="192"/>
      <c r="AU662" s="192"/>
      <c r="AV662" s="192"/>
      <c r="AW662" s="191"/>
      <c r="AX662" s="190" t="s">
        <v>72</v>
      </c>
      <c r="AY662" s="184"/>
    </row>
    <row r="663" spans="2:51">
      <c r="B663" s="185">
        <v>2183</v>
      </c>
      <c r="C663" s="189">
        <v>123665</v>
      </c>
      <c r="D663" s="185" t="s">
        <v>989</v>
      </c>
      <c r="E663" s="185" t="s">
        <v>2003</v>
      </c>
      <c r="F663" s="185" t="s">
        <v>1448</v>
      </c>
      <c r="G663" s="185"/>
      <c r="H663" s="185"/>
      <c r="I663" s="188">
        <v>180</v>
      </c>
      <c r="J663" s="185"/>
      <c r="K663" s="188">
        <v>0</v>
      </c>
      <c r="L663" s="185" t="s">
        <v>1018</v>
      </c>
      <c r="M663" s="185"/>
      <c r="N663" s="185" t="s">
        <v>2190</v>
      </c>
      <c r="O663" s="185" t="s">
        <v>2184</v>
      </c>
      <c r="P663" s="185"/>
      <c r="Q663" s="185"/>
      <c r="R663" s="185"/>
      <c r="S663" s="186">
        <v>42178</v>
      </c>
      <c r="T663" s="186">
        <v>42178</v>
      </c>
      <c r="U663" s="185" t="s">
        <v>1447</v>
      </c>
      <c r="V663" s="185">
        <v>700</v>
      </c>
      <c r="W663" s="185">
        <v>14050</v>
      </c>
      <c r="X663" s="187">
        <v>8569.2000000000007</v>
      </c>
      <c r="Y663" s="185">
        <v>14056</v>
      </c>
      <c r="Z663" s="187">
        <v>8569.2000000000007</v>
      </c>
      <c r="AA663" s="187">
        <v>0</v>
      </c>
      <c r="AB663" s="187">
        <v>0</v>
      </c>
      <c r="AC663" s="187">
        <v>0</v>
      </c>
      <c r="AD663" s="185">
        <v>54260</v>
      </c>
      <c r="AE663" s="187">
        <v>0</v>
      </c>
      <c r="AF663" s="187">
        <v>0</v>
      </c>
      <c r="AG663" s="187">
        <v>0</v>
      </c>
      <c r="AH663" s="185" t="s">
        <v>989</v>
      </c>
      <c r="AI663" s="185"/>
      <c r="AJ663" s="185"/>
      <c r="AK663" s="185" t="s">
        <v>45</v>
      </c>
      <c r="AL663" s="185" t="s">
        <v>2267</v>
      </c>
      <c r="AM663" s="185" t="s">
        <v>2269</v>
      </c>
      <c r="AN663" s="196"/>
      <c r="AO663" s="196"/>
      <c r="AP663" s="195"/>
      <c r="AQ663" s="194"/>
      <c r="AR663" s="193"/>
      <c r="AS663" s="192"/>
      <c r="AT663" s="192"/>
      <c r="AU663" s="192"/>
      <c r="AV663" s="192"/>
      <c r="AW663" s="191"/>
      <c r="AX663" s="190" t="s">
        <v>72</v>
      </c>
      <c r="AY663" s="184"/>
    </row>
    <row r="664" spans="2:51">
      <c r="B664" s="185">
        <v>2183</v>
      </c>
      <c r="C664" s="189">
        <v>123664</v>
      </c>
      <c r="D664" s="185" t="s">
        <v>989</v>
      </c>
      <c r="E664" s="185" t="s">
        <v>2003</v>
      </c>
      <c r="F664" s="185" t="s">
        <v>1449</v>
      </c>
      <c r="G664" s="185"/>
      <c r="H664" s="185"/>
      <c r="I664" s="188">
        <v>276</v>
      </c>
      <c r="J664" s="185"/>
      <c r="K664" s="188">
        <v>0</v>
      </c>
      <c r="L664" s="185" t="s">
        <v>1018</v>
      </c>
      <c r="M664" s="185"/>
      <c r="N664" s="185" t="s">
        <v>2190</v>
      </c>
      <c r="O664" s="185" t="s">
        <v>2184</v>
      </c>
      <c r="P664" s="185"/>
      <c r="Q664" s="185"/>
      <c r="R664" s="185"/>
      <c r="S664" s="186">
        <v>42178</v>
      </c>
      <c r="T664" s="186">
        <v>42178</v>
      </c>
      <c r="U664" s="185" t="s">
        <v>1447</v>
      </c>
      <c r="V664" s="185">
        <v>700</v>
      </c>
      <c r="W664" s="185">
        <v>14050</v>
      </c>
      <c r="X664" s="187">
        <v>14190.57</v>
      </c>
      <c r="Y664" s="185">
        <v>14056</v>
      </c>
      <c r="Z664" s="187">
        <v>14190.57</v>
      </c>
      <c r="AA664" s="187">
        <v>0</v>
      </c>
      <c r="AB664" s="187">
        <v>0</v>
      </c>
      <c r="AC664" s="187">
        <v>0</v>
      </c>
      <c r="AD664" s="185">
        <v>54260</v>
      </c>
      <c r="AE664" s="187">
        <v>0</v>
      </c>
      <c r="AF664" s="187">
        <v>0</v>
      </c>
      <c r="AG664" s="187">
        <v>0</v>
      </c>
      <c r="AH664" s="185" t="s">
        <v>989</v>
      </c>
      <c r="AI664" s="185"/>
      <c r="AJ664" s="185"/>
      <c r="AK664" s="185" t="s">
        <v>45</v>
      </c>
      <c r="AL664" s="185" t="s">
        <v>2267</v>
      </c>
      <c r="AM664" s="185" t="s">
        <v>2269</v>
      </c>
      <c r="AN664" s="196"/>
      <c r="AO664" s="196"/>
      <c r="AP664" s="195"/>
      <c r="AQ664" s="194"/>
      <c r="AR664" s="193"/>
      <c r="AS664" s="192"/>
      <c r="AT664" s="192"/>
      <c r="AU664" s="192"/>
      <c r="AV664" s="192"/>
      <c r="AW664" s="191"/>
      <c r="AX664" s="190" t="s">
        <v>72</v>
      </c>
      <c r="AY664" s="184"/>
    </row>
    <row r="665" spans="2:51">
      <c r="B665" s="185">
        <v>2183</v>
      </c>
      <c r="C665" s="189">
        <v>123663</v>
      </c>
      <c r="D665" s="185" t="s">
        <v>989</v>
      </c>
      <c r="E665" s="185" t="s">
        <v>2003</v>
      </c>
      <c r="F665" s="185" t="s">
        <v>1450</v>
      </c>
      <c r="G665" s="185"/>
      <c r="H665" s="185"/>
      <c r="I665" s="188">
        <v>192</v>
      </c>
      <c r="J665" s="185"/>
      <c r="K665" s="188">
        <v>0</v>
      </c>
      <c r="L665" s="185" t="s">
        <v>1018</v>
      </c>
      <c r="M665" s="185"/>
      <c r="N665" s="185" t="s">
        <v>2190</v>
      </c>
      <c r="O665" s="185" t="s">
        <v>2184</v>
      </c>
      <c r="P665" s="185"/>
      <c r="Q665" s="185"/>
      <c r="R665" s="185"/>
      <c r="S665" s="186">
        <v>42178</v>
      </c>
      <c r="T665" s="186">
        <v>42178</v>
      </c>
      <c r="U665" s="185" t="s">
        <v>1447</v>
      </c>
      <c r="V665" s="185">
        <v>700</v>
      </c>
      <c r="W665" s="185">
        <v>14050</v>
      </c>
      <c r="X665" s="187">
        <v>9871.7000000000007</v>
      </c>
      <c r="Y665" s="185">
        <v>14056</v>
      </c>
      <c r="Z665" s="187">
        <v>9871.7000000000007</v>
      </c>
      <c r="AA665" s="187">
        <v>0</v>
      </c>
      <c r="AB665" s="187">
        <v>0</v>
      </c>
      <c r="AC665" s="187">
        <v>0</v>
      </c>
      <c r="AD665" s="185">
        <v>54260</v>
      </c>
      <c r="AE665" s="187">
        <v>0</v>
      </c>
      <c r="AF665" s="187">
        <v>0</v>
      </c>
      <c r="AG665" s="187">
        <v>0</v>
      </c>
      <c r="AH665" s="185" t="s">
        <v>989</v>
      </c>
      <c r="AI665" s="185"/>
      <c r="AJ665" s="185"/>
      <c r="AK665" s="185" t="s">
        <v>45</v>
      </c>
      <c r="AL665" s="185" t="s">
        <v>2267</v>
      </c>
      <c r="AM665" s="185" t="s">
        <v>2269</v>
      </c>
      <c r="AN665" s="196"/>
      <c r="AO665" s="196"/>
      <c r="AP665" s="195"/>
      <c r="AQ665" s="194"/>
      <c r="AR665" s="193"/>
      <c r="AS665" s="192"/>
      <c r="AT665" s="192"/>
      <c r="AU665" s="192"/>
      <c r="AV665" s="192"/>
      <c r="AW665" s="191"/>
      <c r="AX665" s="190" t="s">
        <v>72</v>
      </c>
      <c r="AY665" s="184"/>
    </row>
    <row r="666" spans="2:51">
      <c r="B666" s="185">
        <v>2183</v>
      </c>
      <c r="C666" s="189">
        <v>123662</v>
      </c>
      <c r="D666" s="185" t="s">
        <v>989</v>
      </c>
      <c r="E666" s="185" t="s">
        <v>2003</v>
      </c>
      <c r="F666" s="185" t="s">
        <v>1451</v>
      </c>
      <c r="G666" s="185"/>
      <c r="H666" s="185"/>
      <c r="I666" s="188">
        <v>840</v>
      </c>
      <c r="J666" s="185"/>
      <c r="K666" s="188">
        <v>0</v>
      </c>
      <c r="L666" s="185" t="s">
        <v>1018</v>
      </c>
      <c r="M666" s="185"/>
      <c r="N666" s="185" t="s">
        <v>2190</v>
      </c>
      <c r="O666" s="185" t="s">
        <v>2184</v>
      </c>
      <c r="P666" s="185"/>
      <c r="Q666" s="185"/>
      <c r="R666" s="185"/>
      <c r="S666" s="186">
        <v>42178</v>
      </c>
      <c r="T666" s="186">
        <v>42178</v>
      </c>
      <c r="U666" s="185" t="s">
        <v>1447</v>
      </c>
      <c r="V666" s="185">
        <v>700</v>
      </c>
      <c r="W666" s="185">
        <v>14050</v>
      </c>
      <c r="X666" s="187">
        <v>32103.19</v>
      </c>
      <c r="Y666" s="185">
        <v>14056</v>
      </c>
      <c r="Z666" s="187">
        <v>32103.19</v>
      </c>
      <c r="AA666" s="187">
        <v>0</v>
      </c>
      <c r="AB666" s="187">
        <v>0</v>
      </c>
      <c r="AC666" s="187">
        <v>0</v>
      </c>
      <c r="AD666" s="185">
        <v>54260</v>
      </c>
      <c r="AE666" s="187">
        <v>0</v>
      </c>
      <c r="AF666" s="187">
        <v>0</v>
      </c>
      <c r="AG666" s="187">
        <v>0</v>
      </c>
      <c r="AH666" s="185" t="s">
        <v>989</v>
      </c>
      <c r="AI666" s="185"/>
      <c r="AJ666" s="185"/>
      <c r="AK666" s="185" t="s">
        <v>45</v>
      </c>
      <c r="AL666" s="185" t="s">
        <v>2267</v>
      </c>
      <c r="AM666" s="185" t="s">
        <v>2269</v>
      </c>
      <c r="AN666" s="196"/>
      <c r="AO666" s="196"/>
      <c r="AP666" s="195"/>
      <c r="AQ666" s="194"/>
      <c r="AR666" s="193"/>
      <c r="AS666" s="192"/>
      <c r="AT666" s="192"/>
      <c r="AU666" s="192"/>
      <c r="AV666" s="192"/>
      <c r="AW666" s="191"/>
      <c r="AX666" s="190" t="s">
        <v>72</v>
      </c>
      <c r="AY666" s="184"/>
    </row>
    <row r="667" spans="2:51">
      <c r="B667" s="185">
        <v>2183</v>
      </c>
      <c r="C667" s="189">
        <v>123661</v>
      </c>
      <c r="D667" s="185" t="s">
        <v>989</v>
      </c>
      <c r="E667" s="185" t="s">
        <v>2003</v>
      </c>
      <c r="F667" s="185" t="s">
        <v>1353</v>
      </c>
      <c r="G667" s="185"/>
      <c r="H667" s="185"/>
      <c r="I667" s="188">
        <v>648</v>
      </c>
      <c r="J667" s="185"/>
      <c r="K667" s="188">
        <v>0</v>
      </c>
      <c r="L667" s="185" t="s">
        <v>1018</v>
      </c>
      <c r="M667" s="185"/>
      <c r="N667" s="185" t="s">
        <v>2190</v>
      </c>
      <c r="O667" s="185" t="s">
        <v>2184</v>
      </c>
      <c r="P667" s="185"/>
      <c r="Q667" s="185"/>
      <c r="R667" s="185"/>
      <c r="S667" s="186">
        <v>42104</v>
      </c>
      <c r="T667" s="186">
        <v>42104</v>
      </c>
      <c r="U667" s="185" t="s">
        <v>1452</v>
      </c>
      <c r="V667" s="185">
        <v>700</v>
      </c>
      <c r="W667" s="185">
        <v>14050</v>
      </c>
      <c r="X667" s="187">
        <v>30802.93</v>
      </c>
      <c r="Y667" s="185">
        <v>14056</v>
      </c>
      <c r="Z667" s="187">
        <v>30802.93</v>
      </c>
      <c r="AA667" s="187">
        <v>0</v>
      </c>
      <c r="AB667" s="187">
        <v>0</v>
      </c>
      <c r="AC667" s="187">
        <v>0</v>
      </c>
      <c r="AD667" s="185">
        <v>54260</v>
      </c>
      <c r="AE667" s="187">
        <v>0</v>
      </c>
      <c r="AF667" s="187">
        <v>0</v>
      </c>
      <c r="AG667" s="187">
        <v>0</v>
      </c>
      <c r="AH667" s="185" t="s">
        <v>989</v>
      </c>
      <c r="AI667" s="185"/>
      <c r="AJ667" s="185"/>
      <c r="AK667" s="185" t="s">
        <v>45</v>
      </c>
      <c r="AL667" s="185" t="s">
        <v>2267</v>
      </c>
      <c r="AM667" s="185" t="s">
        <v>2269</v>
      </c>
      <c r="AN667" s="196"/>
      <c r="AO667" s="196"/>
      <c r="AP667" s="195"/>
      <c r="AQ667" s="194"/>
      <c r="AR667" s="193"/>
      <c r="AS667" s="192"/>
      <c r="AT667" s="192"/>
      <c r="AU667" s="192"/>
      <c r="AV667" s="192"/>
      <c r="AW667" s="191"/>
      <c r="AX667" s="190" t="s">
        <v>72</v>
      </c>
      <c r="AY667" s="184"/>
    </row>
    <row r="668" spans="2:51">
      <c r="B668" s="185">
        <v>2183</v>
      </c>
      <c r="C668" s="189">
        <v>123660</v>
      </c>
      <c r="D668" s="185" t="s">
        <v>989</v>
      </c>
      <c r="E668" s="185" t="s">
        <v>2003</v>
      </c>
      <c r="F668" s="185" t="s">
        <v>1453</v>
      </c>
      <c r="G668" s="185"/>
      <c r="H668" s="185"/>
      <c r="I668" s="188">
        <v>156</v>
      </c>
      <c r="J668" s="185"/>
      <c r="K668" s="188">
        <v>0</v>
      </c>
      <c r="L668" s="185" t="s">
        <v>1018</v>
      </c>
      <c r="M668" s="185"/>
      <c r="N668" s="185" t="s">
        <v>2190</v>
      </c>
      <c r="O668" s="185" t="s">
        <v>2184</v>
      </c>
      <c r="P668" s="185"/>
      <c r="Q668" s="185"/>
      <c r="R668" s="185"/>
      <c r="S668" s="186">
        <v>42104</v>
      </c>
      <c r="T668" s="186">
        <v>42104</v>
      </c>
      <c r="U668" s="185" t="s">
        <v>1452</v>
      </c>
      <c r="V668" s="185">
        <v>700</v>
      </c>
      <c r="W668" s="185">
        <v>14050</v>
      </c>
      <c r="X668" s="187">
        <v>8180.16</v>
      </c>
      <c r="Y668" s="185">
        <v>14056</v>
      </c>
      <c r="Z668" s="187">
        <v>8180.16</v>
      </c>
      <c r="AA668" s="187">
        <v>0</v>
      </c>
      <c r="AB668" s="187">
        <v>0</v>
      </c>
      <c r="AC668" s="187">
        <v>0</v>
      </c>
      <c r="AD668" s="185">
        <v>54260</v>
      </c>
      <c r="AE668" s="187">
        <v>0</v>
      </c>
      <c r="AF668" s="187">
        <v>0</v>
      </c>
      <c r="AG668" s="187">
        <v>0</v>
      </c>
      <c r="AH668" s="185" t="s">
        <v>989</v>
      </c>
      <c r="AI668" s="185"/>
      <c r="AJ668" s="185"/>
      <c r="AK668" s="185" t="s">
        <v>45</v>
      </c>
      <c r="AL668" s="185" t="s">
        <v>2267</v>
      </c>
      <c r="AM668" s="185" t="s">
        <v>2269</v>
      </c>
      <c r="AN668" s="196"/>
      <c r="AO668" s="196"/>
      <c r="AP668" s="195"/>
      <c r="AQ668" s="194"/>
      <c r="AR668" s="193"/>
      <c r="AS668" s="192"/>
      <c r="AT668" s="192"/>
      <c r="AU668" s="192"/>
      <c r="AV668" s="192"/>
      <c r="AW668" s="191"/>
      <c r="AX668" s="190" t="s">
        <v>72</v>
      </c>
      <c r="AY668" s="184"/>
    </row>
    <row r="669" spans="2:51">
      <c r="B669" s="185">
        <v>2183</v>
      </c>
      <c r="C669" s="189">
        <v>123659</v>
      </c>
      <c r="D669" s="185" t="s">
        <v>989</v>
      </c>
      <c r="E669" s="185" t="s">
        <v>2003</v>
      </c>
      <c r="F669" s="185" t="s">
        <v>1454</v>
      </c>
      <c r="G669" s="185"/>
      <c r="H669" s="185"/>
      <c r="I669" s="188">
        <v>624</v>
      </c>
      <c r="J669" s="185"/>
      <c r="K669" s="188">
        <v>0</v>
      </c>
      <c r="L669" s="185" t="s">
        <v>1018</v>
      </c>
      <c r="M669" s="185"/>
      <c r="N669" s="185" t="s">
        <v>2190</v>
      </c>
      <c r="O669" s="185" t="s">
        <v>2184</v>
      </c>
      <c r="P669" s="185"/>
      <c r="Q669" s="185"/>
      <c r="R669" s="185"/>
      <c r="S669" s="186">
        <v>42102</v>
      </c>
      <c r="T669" s="186">
        <v>42102</v>
      </c>
      <c r="U669" s="185" t="s">
        <v>1452</v>
      </c>
      <c r="V669" s="185">
        <v>700</v>
      </c>
      <c r="W669" s="185">
        <v>14050</v>
      </c>
      <c r="X669" s="187">
        <v>33250.239999999998</v>
      </c>
      <c r="Y669" s="185">
        <v>14056</v>
      </c>
      <c r="Z669" s="187">
        <v>33250.239999999998</v>
      </c>
      <c r="AA669" s="187">
        <v>0</v>
      </c>
      <c r="AB669" s="187">
        <v>0</v>
      </c>
      <c r="AC669" s="187">
        <v>0</v>
      </c>
      <c r="AD669" s="185">
        <v>54260</v>
      </c>
      <c r="AE669" s="187">
        <v>0</v>
      </c>
      <c r="AF669" s="187">
        <v>0</v>
      </c>
      <c r="AG669" s="187">
        <v>0</v>
      </c>
      <c r="AH669" s="185" t="s">
        <v>989</v>
      </c>
      <c r="AI669" s="185"/>
      <c r="AJ669" s="185"/>
      <c r="AK669" s="185" t="s">
        <v>45</v>
      </c>
      <c r="AL669" s="185" t="s">
        <v>2267</v>
      </c>
      <c r="AM669" s="185" t="s">
        <v>2269</v>
      </c>
      <c r="AN669" s="196"/>
      <c r="AO669" s="196"/>
      <c r="AP669" s="195"/>
      <c r="AQ669" s="194"/>
      <c r="AR669" s="193"/>
      <c r="AS669" s="192"/>
      <c r="AT669" s="192"/>
      <c r="AU669" s="192"/>
      <c r="AV669" s="192"/>
      <c r="AW669" s="191"/>
      <c r="AX669" s="190" t="s">
        <v>72</v>
      </c>
      <c r="AY669" s="184"/>
    </row>
    <row r="670" spans="2:51" hidden="1">
      <c r="B670" s="185">
        <v>2183</v>
      </c>
      <c r="C670" s="189">
        <v>122012</v>
      </c>
      <c r="D670" s="185">
        <v>61125</v>
      </c>
      <c r="E670" s="185" t="s">
        <v>2003</v>
      </c>
      <c r="F670" s="185" t="s">
        <v>1455</v>
      </c>
      <c r="G670" s="185"/>
      <c r="H670" s="185"/>
      <c r="I670" s="188">
        <v>1</v>
      </c>
      <c r="J670" s="185"/>
      <c r="K670" s="188">
        <v>0</v>
      </c>
      <c r="L670" s="185" t="s">
        <v>1456</v>
      </c>
      <c r="M670" s="185"/>
      <c r="N670" s="185" t="s">
        <v>2183</v>
      </c>
      <c r="O670" s="185" t="s">
        <v>2184</v>
      </c>
      <c r="P670" s="185" t="s">
        <v>1028</v>
      </c>
      <c r="Q670" s="185"/>
      <c r="R670" s="185"/>
      <c r="S670" s="186">
        <v>42059</v>
      </c>
      <c r="T670" s="186">
        <v>42059</v>
      </c>
      <c r="U670" s="185" t="s">
        <v>1457</v>
      </c>
      <c r="V670" s="185">
        <v>300</v>
      </c>
      <c r="W670" s="185">
        <v>14040</v>
      </c>
      <c r="X670" s="187">
        <v>5574.98</v>
      </c>
      <c r="Y670" s="185">
        <v>14046</v>
      </c>
      <c r="Z670" s="187">
        <v>5574.98</v>
      </c>
      <c r="AA670" s="187">
        <v>0</v>
      </c>
      <c r="AB670" s="187">
        <v>0</v>
      </c>
      <c r="AC670" s="187">
        <v>0</v>
      </c>
      <c r="AD670" s="185">
        <v>51260</v>
      </c>
      <c r="AE670" s="187">
        <v>0</v>
      </c>
      <c r="AF670" s="187">
        <v>0</v>
      </c>
      <c r="AG670" s="187">
        <v>0</v>
      </c>
      <c r="AH670" s="185" t="s">
        <v>989</v>
      </c>
      <c r="AI670" s="185"/>
      <c r="AJ670" s="185"/>
      <c r="AK670" s="185" t="s">
        <v>45</v>
      </c>
      <c r="AL670" s="185" t="s">
        <v>2267</v>
      </c>
      <c r="AM670" s="185" t="s">
        <v>2269</v>
      </c>
      <c r="AN670" s="196"/>
      <c r="AO670" s="196"/>
      <c r="AP670" s="195"/>
      <c r="AQ670" s="194"/>
      <c r="AR670" s="193"/>
      <c r="AS670" s="192"/>
      <c r="AT670" s="192"/>
      <c r="AU670" s="192"/>
      <c r="AV670" s="192"/>
      <c r="AW670" s="191"/>
      <c r="AX670" s="190" t="s">
        <v>72</v>
      </c>
      <c r="AY670" s="184"/>
    </row>
    <row r="671" spans="2:51">
      <c r="B671" s="185">
        <v>2183</v>
      </c>
      <c r="C671" s="189">
        <v>121103</v>
      </c>
      <c r="D671" s="185" t="s">
        <v>989</v>
      </c>
      <c r="E671" s="185" t="s">
        <v>2003</v>
      </c>
      <c r="F671" s="185" t="s">
        <v>572</v>
      </c>
      <c r="G671" s="185"/>
      <c r="H671" s="185"/>
      <c r="I671" s="188">
        <v>1</v>
      </c>
      <c r="J671" s="185"/>
      <c r="K671" s="188">
        <v>0</v>
      </c>
      <c r="L671" s="185" t="s">
        <v>1145</v>
      </c>
      <c r="M671" s="185"/>
      <c r="N671" s="185" t="s">
        <v>2199</v>
      </c>
      <c r="O671" s="185" t="s">
        <v>2184</v>
      </c>
      <c r="P671" s="185"/>
      <c r="Q671" s="185"/>
      <c r="R671" s="185"/>
      <c r="S671" s="186">
        <v>42087</v>
      </c>
      <c r="T671" s="186">
        <v>42087</v>
      </c>
      <c r="U671" s="185" t="s">
        <v>1458</v>
      </c>
      <c r="V671" s="185">
        <v>300</v>
      </c>
      <c r="W671" s="185">
        <v>14110</v>
      </c>
      <c r="X671" s="187">
        <v>1077.07</v>
      </c>
      <c r="Y671" s="185">
        <v>14116</v>
      </c>
      <c r="Z671" s="187">
        <v>1077.07</v>
      </c>
      <c r="AA671" s="187">
        <v>0</v>
      </c>
      <c r="AB671" s="187">
        <v>0</v>
      </c>
      <c r="AC671" s="187">
        <v>0</v>
      </c>
      <c r="AD671" s="185">
        <v>70260</v>
      </c>
      <c r="AE671" s="187">
        <v>0</v>
      </c>
      <c r="AF671" s="187">
        <v>0</v>
      </c>
      <c r="AG671" s="187">
        <v>0</v>
      </c>
      <c r="AH671" s="185" t="s">
        <v>989</v>
      </c>
      <c r="AI671" s="185"/>
      <c r="AJ671" s="185"/>
      <c r="AK671" s="185" t="s">
        <v>45</v>
      </c>
      <c r="AL671" s="185" t="s">
        <v>2267</v>
      </c>
      <c r="AM671" s="185" t="s">
        <v>2269</v>
      </c>
      <c r="AN671" s="196"/>
      <c r="AO671" s="196"/>
      <c r="AP671" s="195"/>
      <c r="AQ671" s="194"/>
      <c r="AR671" s="193"/>
      <c r="AS671" s="192"/>
      <c r="AT671" s="192"/>
      <c r="AU671" s="192"/>
      <c r="AV671" s="192"/>
      <c r="AW671" s="191"/>
      <c r="AX671" s="190" t="s">
        <v>72</v>
      </c>
      <c r="AY671" s="184"/>
    </row>
    <row r="672" spans="2:51">
      <c r="B672" s="185">
        <v>2183</v>
      </c>
      <c r="C672" s="189">
        <v>121057</v>
      </c>
      <c r="D672" s="185" t="s">
        <v>989</v>
      </c>
      <c r="E672" s="185" t="s">
        <v>2003</v>
      </c>
      <c r="F672" s="185" t="s">
        <v>573</v>
      </c>
      <c r="G672" s="185"/>
      <c r="H672" s="185"/>
      <c r="I672" s="188">
        <v>1</v>
      </c>
      <c r="J672" s="185"/>
      <c r="K672" s="188">
        <v>0</v>
      </c>
      <c r="L672" s="185" t="s">
        <v>1145</v>
      </c>
      <c r="M672" s="185"/>
      <c r="N672" s="185" t="s">
        <v>2199</v>
      </c>
      <c r="O672" s="185" t="s">
        <v>2184</v>
      </c>
      <c r="P672" s="185"/>
      <c r="Q672" s="185"/>
      <c r="R672" s="185"/>
      <c r="S672" s="186">
        <v>42087</v>
      </c>
      <c r="T672" s="186">
        <v>42087</v>
      </c>
      <c r="U672" s="185" t="s">
        <v>1459</v>
      </c>
      <c r="V672" s="185">
        <v>300</v>
      </c>
      <c r="W672" s="185">
        <v>14110</v>
      </c>
      <c r="X672" s="187">
        <v>1088.46</v>
      </c>
      <c r="Y672" s="185">
        <v>14116</v>
      </c>
      <c r="Z672" s="187">
        <v>1088.46</v>
      </c>
      <c r="AA672" s="187">
        <v>0</v>
      </c>
      <c r="AB672" s="187">
        <v>0</v>
      </c>
      <c r="AC672" s="187">
        <v>0</v>
      </c>
      <c r="AD672" s="185">
        <v>70260</v>
      </c>
      <c r="AE672" s="187">
        <v>0</v>
      </c>
      <c r="AF672" s="187">
        <v>0</v>
      </c>
      <c r="AG672" s="187">
        <v>0</v>
      </c>
      <c r="AH672" s="185" t="s">
        <v>989</v>
      </c>
      <c r="AI672" s="185"/>
      <c r="AJ672" s="185"/>
      <c r="AK672" s="185" t="s">
        <v>45</v>
      </c>
      <c r="AL672" s="185" t="s">
        <v>2267</v>
      </c>
      <c r="AM672" s="185" t="s">
        <v>2269</v>
      </c>
      <c r="AN672" s="196"/>
      <c r="AO672" s="196"/>
      <c r="AP672" s="195"/>
      <c r="AQ672" s="194"/>
      <c r="AR672" s="193"/>
      <c r="AS672" s="192"/>
      <c r="AT672" s="192"/>
      <c r="AU672" s="192"/>
      <c r="AV672" s="192"/>
      <c r="AW672" s="191"/>
      <c r="AX672" s="190" t="s">
        <v>72</v>
      </c>
      <c r="AY672" s="184"/>
    </row>
    <row r="673" spans="2:51">
      <c r="B673" s="185">
        <v>2183</v>
      </c>
      <c r="C673" s="189">
        <v>121056</v>
      </c>
      <c r="D673" s="185" t="s">
        <v>989</v>
      </c>
      <c r="E673" s="185" t="s">
        <v>2003</v>
      </c>
      <c r="F673" s="185" t="s">
        <v>574</v>
      </c>
      <c r="G673" s="185"/>
      <c r="H673" s="185"/>
      <c r="I673" s="188">
        <v>1</v>
      </c>
      <c r="J673" s="185"/>
      <c r="K673" s="188">
        <v>0</v>
      </c>
      <c r="L673" s="185" t="s">
        <v>1145</v>
      </c>
      <c r="M673" s="185"/>
      <c r="N673" s="185" t="s">
        <v>2199</v>
      </c>
      <c r="O673" s="185" t="s">
        <v>2184</v>
      </c>
      <c r="P673" s="185"/>
      <c r="Q673" s="185"/>
      <c r="R673" s="185"/>
      <c r="S673" s="186">
        <v>42073</v>
      </c>
      <c r="T673" s="186">
        <v>42073</v>
      </c>
      <c r="U673" s="185" t="s">
        <v>1460</v>
      </c>
      <c r="V673" s="185">
        <v>300</v>
      </c>
      <c r="W673" s="185">
        <v>14110</v>
      </c>
      <c r="X673" s="187">
        <v>2903.73</v>
      </c>
      <c r="Y673" s="185">
        <v>14116</v>
      </c>
      <c r="Z673" s="187">
        <v>2903.73</v>
      </c>
      <c r="AA673" s="187">
        <v>0</v>
      </c>
      <c r="AB673" s="187">
        <v>0</v>
      </c>
      <c r="AC673" s="187">
        <v>0</v>
      </c>
      <c r="AD673" s="185">
        <v>70260</v>
      </c>
      <c r="AE673" s="187">
        <v>0</v>
      </c>
      <c r="AF673" s="187">
        <v>0</v>
      </c>
      <c r="AG673" s="187">
        <v>0</v>
      </c>
      <c r="AH673" s="185" t="s">
        <v>989</v>
      </c>
      <c r="AI673" s="185"/>
      <c r="AJ673" s="185"/>
      <c r="AK673" s="185" t="s">
        <v>45</v>
      </c>
      <c r="AL673" s="185" t="s">
        <v>2267</v>
      </c>
      <c r="AM673" s="185" t="s">
        <v>2269</v>
      </c>
      <c r="AN673" s="196"/>
      <c r="AO673" s="196"/>
      <c r="AP673" s="195"/>
      <c r="AQ673" s="194"/>
      <c r="AR673" s="193"/>
      <c r="AS673" s="192"/>
      <c r="AT673" s="192"/>
      <c r="AU673" s="192"/>
      <c r="AV673" s="192"/>
      <c r="AW673" s="191"/>
      <c r="AX673" s="190" t="s">
        <v>72</v>
      </c>
      <c r="AY673" s="184"/>
    </row>
    <row r="674" spans="2:51">
      <c r="B674" s="185">
        <v>2183</v>
      </c>
      <c r="C674" s="189">
        <v>121055</v>
      </c>
      <c r="D674" s="185" t="s">
        <v>989</v>
      </c>
      <c r="E674" s="185" t="s">
        <v>2003</v>
      </c>
      <c r="F674" s="185" t="s">
        <v>575</v>
      </c>
      <c r="G674" s="185"/>
      <c r="H674" s="185"/>
      <c r="I674" s="188">
        <v>1</v>
      </c>
      <c r="J674" s="185"/>
      <c r="K674" s="188">
        <v>0</v>
      </c>
      <c r="L674" s="185" t="s">
        <v>1145</v>
      </c>
      <c r="M674" s="185"/>
      <c r="N674" s="185" t="s">
        <v>2199</v>
      </c>
      <c r="O674" s="185" t="s">
        <v>2184</v>
      </c>
      <c r="P674" s="185"/>
      <c r="Q674" s="185"/>
      <c r="R674" s="185"/>
      <c r="S674" s="186">
        <v>42073</v>
      </c>
      <c r="T674" s="186">
        <v>42073</v>
      </c>
      <c r="U674" s="185" t="s">
        <v>1461</v>
      </c>
      <c r="V674" s="185">
        <v>300</v>
      </c>
      <c r="W674" s="185">
        <v>14110</v>
      </c>
      <c r="X674" s="187">
        <v>6120.34</v>
      </c>
      <c r="Y674" s="185">
        <v>14116</v>
      </c>
      <c r="Z674" s="187">
        <v>6120.34</v>
      </c>
      <c r="AA674" s="187">
        <v>0</v>
      </c>
      <c r="AB674" s="187">
        <v>0</v>
      </c>
      <c r="AC674" s="187">
        <v>0</v>
      </c>
      <c r="AD674" s="185">
        <v>70260</v>
      </c>
      <c r="AE674" s="187">
        <v>0</v>
      </c>
      <c r="AF674" s="187">
        <v>0</v>
      </c>
      <c r="AG674" s="187">
        <v>0</v>
      </c>
      <c r="AH674" s="185" t="s">
        <v>989</v>
      </c>
      <c r="AI674" s="185"/>
      <c r="AJ674" s="185"/>
      <c r="AK674" s="185" t="s">
        <v>45</v>
      </c>
      <c r="AL674" s="185" t="s">
        <v>2267</v>
      </c>
      <c r="AM674" s="185" t="s">
        <v>2269</v>
      </c>
      <c r="AN674" s="196"/>
      <c r="AO674" s="196"/>
      <c r="AP674" s="195"/>
      <c r="AQ674" s="194"/>
      <c r="AR674" s="193"/>
      <c r="AS674" s="192"/>
      <c r="AT674" s="192"/>
      <c r="AU674" s="192"/>
      <c r="AV674" s="192"/>
      <c r="AW674" s="191"/>
      <c r="AX674" s="190" t="s">
        <v>72</v>
      </c>
      <c r="AY674" s="184"/>
    </row>
    <row r="675" spans="2:51">
      <c r="B675" s="185">
        <v>2183</v>
      </c>
      <c r="C675" s="189">
        <v>120388</v>
      </c>
      <c r="D675" s="185" t="s">
        <v>989</v>
      </c>
      <c r="E675" s="185" t="s">
        <v>2003</v>
      </c>
      <c r="F675" s="185" t="s">
        <v>576</v>
      </c>
      <c r="G675" s="185"/>
      <c r="H675" s="185"/>
      <c r="I675" s="188">
        <v>1</v>
      </c>
      <c r="J675" s="185"/>
      <c r="K675" s="188">
        <v>0</v>
      </c>
      <c r="L675" s="185" t="s">
        <v>1145</v>
      </c>
      <c r="M675" s="185"/>
      <c r="N675" s="185" t="s">
        <v>2199</v>
      </c>
      <c r="O675" s="185" t="s">
        <v>2184</v>
      </c>
      <c r="P675" s="185"/>
      <c r="Q675" s="185"/>
      <c r="R675" s="185"/>
      <c r="S675" s="186">
        <v>42041</v>
      </c>
      <c r="T675" s="186">
        <v>42041</v>
      </c>
      <c r="U675" s="185" t="s">
        <v>1462</v>
      </c>
      <c r="V675" s="185">
        <v>300</v>
      </c>
      <c r="W675" s="185">
        <v>14110</v>
      </c>
      <c r="X675" s="187">
        <v>1090.0999999999999</v>
      </c>
      <c r="Y675" s="185">
        <v>14116</v>
      </c>
      <c r="Z675" s="187">
        <v>1090.0999999999999</v>
      </c>
      <c r="AA675" s="187">
        <v>0</v>
      </c>
      <c r="AB675" s="187">
        <v>0</v>
      </c>
      <c r="AC675" s="187">
        <v>0</v>
      </c>
      <c r="AD675" s="185">
        <v>70260</v>
      </c>
      <c r="AE675" s="187">
        <v>0</v>
      </c>
      <c r="AF675" s="187">
        <v>0</v>
      </c>
      <c r="AG675" s="187">
        <v>0</v>
      </c>
      <c r="AH675" s="185" t="s">
        <v>989</v>
      </c>
      <c r="AI675" s="185"/>
      <c r="AJ675" s="185"/>
      <c r="AK675" s="185" t="s">
        <v>45</v>
      </c>
      <c r="AL675" s="185" t="s">
        <v>2267</v>
      </c>
      <c r="AM675" s="185" t="s">
        <v>2269</v>
      </c>
      <c r="AN675" s="196"/>
      <c r="AO675" s="196"/>
      <c r="AP675" s="195"/>
      <c r="AQ675" s="194"/>
      <c r="AR675" s="193"/>
      <c r="AS675" s="192"/>
      <c r="AT675" s="192"/>
      <c r="AU675" s="192"/>
      <c r="AV675" s="192"/>
      <c r="AW675" s="191"/>
      <c r="AX675" s="190" t="s">
        <v>72</v>
      </c>
      <c r="AY675" s="184"/>
    </row>
    <row r="676" spans="2:51">
      <c r="B676" s="185">
        <v>2183</v>
      </c>
      <c r="C676" s="189">
        <v>120169</v>
      </c>
      <c r="D676" s="185" t="s">
        <v>989</v>
      </c>
      <c r="E676" s="185" t="s">
        <v>2003</v>
      </c>
      <c r="F676" s="185" t="s">
        <v>1451</v>
      </c>
      <c r="G676" s="185"/>
      <c r="H676" s="185"/>
      <c r="I676" s="188">
        <v>1404</v>
      </c>
      <c r="J676" s="185"/>
      <c r="K676" s="188">
        <v>0</v>
      </c>
      <c r="L676" s="185" t="s">
        <v>1351</v>
      </c>
      <c r="M676" s="185"/>
      <c r="N676" s="185" t="s">
        <v>2190</v>
      </c>
      <c r="O676" s="185" t="s">
        <v>2184</v>
      </c>
      <c r="P676" s="185"/>
      <c r="Q676" s="185"/>
      <c r="R676" s="185"/>
      <c r="S676" s="186">
        <v>42045</v>
      </c>
      <c r="T676" s="186">
        <v>42045</v>
      </c>
      <c r="U676" s="185" t="s">
        <v>1463</v>
      </c>
      <c r="V676" s="185">
        <v>700</v>
      </c>
      <c r="W676" s="185">
        <v>14050</v>
      </c>
      <c r="X676" s="187">
        <v>55764.93</v>
      </c>
      <c r="Y676" s="185">
        <v>14056</v>
      </c>
      <c r="Z676" s="187">
        <v>55764.93</v>
      </c>
      <c r="AA676" s="187">
        <v>0</v>
      </c>
      <c r="AB676" s="187">
        <v>0</v>
      </c>
      <c r="AC676" s="187">
        <v>0</v>
      </c>
      <c r="AD676" s="185">
        <v>54260</v>
      </c>
      <c r="AE676" s="187">
        <v>0</v>
      </c>
      <c r="AF676" s="187">
        <v>0</v>
      </c>
      <c r="AG676" s="187">
        <v>0</v>
      </c>
      <c r="AH676" s="185" t="s">
        <v>989</v>
      </c>
      <c r="AI676" s="185"/>
      <c r="AJ676" s="185"/>
      <c r="AK676" s="185" t="s">
        <v>45</v>
      </c>
      <c r="AL676" s="185" t="s">
        <v>2267</v>
      </c>
      <c r="AM676" s="185" t="s">
        <v>2269</v>
      </c>
      <c r="AN676" s="196"/>
      <c r="AO676" s="196"/>
      <c r="AP676" s="195"/>
      <c r="AQ676" s="194"/>
      <c r="AR676" s="193"/>
      <c r="AS676" s="192"/>
      <c r="AT676" s="192"/>
      <c r="AU676" s="192"/>
      <c r="AV676" s="192"/>
      <c r="AW676" s="191"/>
      <c r="AX676" s="190" t="s">
        <v>72</v>
      </c>
      <c r="AY676" s="184"/>
    </row>
    <row r="677" spans="2:51">
      <c r="B677" s="185">
        <v>2183</v>
      </c>
      <c r="C677" s="189">
        <v>120168</v>
      </c>
      <c r="D677" s="185" t="s">
        <v>989</v>
      </c>
      <c r="E677" s="185" t="s">
        <v>2003</v>
      </c>
      <c r="F677" s="185" t="s">
        <v>1464</v>
      </c>
      <c r="G677" s="185"/>
      <c r="H677" s="185"/>
      <c r="I677" s="188">
        <v>624</v>
      </c>
      <c r="J677" s="185"/>
      <c r="K677" s="188">
        <v>0</v>
      </c>
      <c r="L677" s="185" t="s">
        <v>1351</v>
      </c>
      <c r="M677" s="185"/>
      <c r="N677" s="185" t="s">
        <v>2190</v>
      </c>
      <c r="O677" s="185" t="s">
        <v>2184</v>
      </c>
      <c r="P677" s="185"/>
      <c r="Q677" s="185"/>
      <c r="R677" s="185"/>
      <c r="S677" s="186">
        <v>42034</v>
      </c>
      <c r="T677" s="186">
        <v>42034</v>
      </c>
      <c r="U677" s="185" t="s">
        <v>1465</v>
      </c>
      <c r="V677" s="185">
        <v>700</v>
      </c>
      <c r="W677" s="185">
        <v>14050</v>
      </c>
      <c r="X677" s="187">
        <v>33703.620000000003</v>
      </c>
      <c r="Y677" s="185">
        <v>14056</v>
      </c>
      <c r="Z677" s="187">
        <v>33703.620000000003</v>
      </c>
      <c r="AA677" s="187">
        <v>0</v>
      </c>
      <c r="AB677" s="187">
        <v>0</v>
      </c>
      <c r="AC677" s="187">
        <v>0</v>
      </c>
      <c r="AD677" s="185">
        <v>54260</v>
      </c>
      <c r="AE677" s="187">
        <v>0</v>
      </c>
      <c r="AF677" s="187">
        <v>0</v>
      </c>
      <c r="AG677" s="187">
        <v>0</v>
      </c>
      <c r="AH677" s="185" t="s">
        <v>989</v>
      </c>
      <c r="AI677" s="185"/>
      <c r="AJ677" s="185"/>
      <c r="AK677" s="185" t="s">
        <v>45</v>
      </c>
      <c r="AL677" s="185" t="s">
        <v>2267</v>
      </c>
      <c r="AM677" s="185" t="s">
        <v>2269</v>
      </c>
      <c r="AN677" s="196"/>
      <c r="AO677" s="196"/>
      <c r="AP677" s="195"/>
      <c r="AQ677" s="194"/>
      <c r="AR677" s="193"/>
      <c r="AS677" s="192"/>
      <c r="AT677" s="192"/>
      <c r="AU677" s="192"/>
      <c r="AV677" s="192"/>
      <c r="AW677" s="191"/>
      <c r="AX677" s="190" t="s">
        <v>72</v>
      </c>
      <c r="AY677" s="184"/>
    </row>
    <row r="678" spans="2:51">
      <c r="B678" s="185">
        <v>2183</v>
      </c>
      <c r="C678" s="189">
        <v>120167</v>
      </c>
      <c r="D678" s="185" t="s">
        <v>989</v>
      </c>
      <c r="E678" s="185" t="s">
        <v>2003</v>
      </c>
      <c r="F678" s="185" t="s">
        <v>1466</v>
      </c>
      <c r="G678" s="185"/>
      <c r="H678" s="185"/>
      <c r="I678" s="188">
        <v>360</v>
      </c>
      <c r="J678" s="185"/>
      <c r="K678" s="188">
        <v>0</v>
      </c>
      <c r="L678" s="185" t="s">
        <v>1351</v>
      </c>
      <c r="M678" s="185"/>
      <c r="N678" s="185" t="s">
        <v>2190</v>
      </c>
      <c r="O678" s="185" t="s">
        <v>2184</v>
      </c>
      <c r="P678" s="185"/>
      <c r="Q678" s="185"/>
      <c r="R678" s="185"/>
      <c r="S678" s="186">
        <v>42035</v>
      </c>
      <c r="T678" s="186">
        <v>42035</v>
      </c>
      <c r="U678" s="185" t="s">
        <v>1467</v>
      </c>
      <c r="V678" s="185">
        <v>700</v>
      </c>
      <c r="W678" s="185">
        <v>14050</v>
      </c>
      <c r="X678" s="187">
        <v>19252</v>
      </c>
      <c r="Y678" s="185">
        <v>14056</v>
      </c>
      <c r="Z678" s="187">
        <v>19252</v>
      </c>
      <c r="AA678" s="187">
        <v>0</v>
      </c>
      <c r="AB678" s="187">
        <v>0</v>
      </c>
      <c r="AC678" s="187">
        <v>0</v>
      </c>
      <c r="AD678" s="185">
        <v>54260</v>
      </c>
      <c r="AE678" s="187">
        <v>0</v>
      </c>
      <c r="AF678" s="187">
        <v>0</v>
      </c>
      <c r="AG678" s="187">
        <v>0</v>
      </c>
      <c r="AH678" s="185" t="s">
        <v>989</v>
      </c>
      <c r="AI678" s="185"/>
      <c r="AJ678" s="185"/>
      <c r="AK678" s="185" t="s">
        <v>45</v>
      </c>
      <c r="AL678" s="185" t="s">
        <v>2267</v>
      </c>
      <c r="AM678" s="185" t="s">
        <v>2269</v>
      </c>
      <c r="AN678" s="196"/>
      <c r="AO678" s="196"/>
      <c r="AP678" s="195"/>
      <c r="AQ678" s="194"/>
      <c r="AR678" s="193"/>
      <c r="AS678" s="192"/>
      <c r="AT678" s="192"/>
      <c r="AU678" s="192"/>
      <c r="AV678" s="192"/>
      <c r="AW678" s="191"/>
      <c r="AX678" s="190" t="s">
        <v>72</v>
      </c>
      <c r="AY678" s="184"/>
    </row>
    <row r="679" spans="2:51">
      <c r="B679" s="185">
        <v>2183</v>
      </c>
      <c r="C679" s="189">
        <v>120166</v>
      </c>
      <c r="D679" s="185" t="s">
        <v>989</v>
      </c>
      <c r="E679" s="185" t="s">
        <v>2003</v>
      </c>
      <c r="F679" s="185" t="s">
        <v>1468</v>
      </c>
      <c r="G679" s="185"/>
      <c r="H679" s="185"/>
      <c r="I679" s="188">
        <v>360</v>
      </c>
      <c r="J679" s="185"/>
      <c r="K679" s="188">
        <v>0</v>
      </c>
      <c r="L679" s="185" t="s">
        <v>1351</v>
      </c>
      <c r="M679" s="185"/>
      <c r="N679" s="185" t="s">
        <v>2190</v>
      </c>
      <c r="O679" s="185" t="s">
        <v>2184</v>
      </c>
      <c r="P679" s="185"/>
      <c r="Q679" s="185"/>
      <c r="R679" s="185"/>
      <c r="S679" s="186">
        <v>42035</v>
      </c>
      <c r="T679" s="186">
        <v>42035</v>
      </c>
      <c r="U679" s="185" t="s">
        <v>1469</v>
      </c>
      <c r="V679" s="185">
        <v>700</v>
      </c>
      <c r="W679" s="185">
        <v>14050</v>
      </c>
      <c r="X679" s="187">
        <v>17686.53</v>
      </c>
      <c r="Y679" s="185">
        <v>14056</v>
      </c>
      <c r="Z679" s="187">
        <v>17686.53</v>
      </c>
      <c r="AA679" s="187">
        <v>0</v>
      </c>
      <c r="AB679" s="187">
        <v>0</v>
      </c>
      <c r="AC679" s="187">
        <v>0</v>
      </c>
      <c r="AD679" s="185">
        <v>54260</v>
      </c>
      <c r="AE679" s="187">
        <v>0</v>
      </c>
      <c r="AF679" s="187">
        <v>0</v>
      </c>
      <c r="AG679" s="187">
        <v>0</v>
      </c>
      <c r="AH679" s="185" t="s">
        <v>989</v>
      </c>
      <c r="AI679" s="185"/>
      <c r="AJ679" s="185"/>
      <c r="AK679" s="185" t="s">
        <v>45</v>
      </c>
      <c r="AL679" s="185" t="s">
        <v>2267</v>
      </c>
      <c r="AM679" s="185" t="s">
        <v>2269</v>
      </c>
      <c r="AN679" s="196"/>
      <c r="AO679" s="196"/>
      <c r="AP679" s="195"/>
      <c r="AQ679" s="194"/>
      <c r="AR679" s="193"/>
      <c r="AS679" s="192"/>
      <c r="AT679" s="192"/>
      <c r="AU679" s="192"/>
      <c r="AV679" s="192"/>
      <c r="AW679" s="191"/>
      <c r="AX679" s="190" t="s">
        <v>72</v>
      </c>
      <c r="AY679" s="184"/>
    </row>
    <row r="680" spans="2:51">
      <c r="B680" s="185">
        <v>2183</v>
      </c>
      <c r="C680" s="189">
        <v>118761</v>
      </c>
      <c r="D680" s="185" t="s">
        <v>989</v>
      </c>
      <c r="E680" s="185" t="s">
        <v>2003</v>
      </c>
      <c r="F680" s="185" t="s">
        <v>2215</v>
      </c>
      <c r="G680" s="185"/>
      <c r="H680" s="185"/>
      <c r="I680" s="188">
        <v>1</v>
      </c>
      <c r="J680" s="185"/>
      <c r="K680" s="188">
        <v>0</v>
      </c>
      <c r="L680" s="185" t="s">
        <v>2216</v>
      </c>
      <c r="M680" s="185"/>
      <c r="N680" s="185" t="s">
        <v>2198</v>
      </c>
      <c r="O680" s="185" t="s">
        <v>2184</v>
      </c>
      <c r="P680" s="185"/>
      <c r="Q680" s="185"/>
      <c r="R680" s="185"/>
      <c r="S680" s="186">
        <v>42002</v>
      </c>
      <c r="T680" s="186">
        <v>42002</v>
      </c>
      <c r="U680" s="185" t="s">
        <v>2217</v>
      </c>
      <c r="V680" s="185">
        <v>500</v>
      </c>
      <c r="W680" s="185">
        <v>14070</v>
      </c>
      <c r="X680" s="187">
        <v>7879.66</v>
      </c>
      <c r="Y680" s="185">
        <v>14076</v>
      </c>
      <c r="Z680" s="187">
        <v>7879.66</v>
      </c>
      <c r="AA680" s="187">
        <v>0</v>
      </c>
      <c r="AB680" s="187">
        <v>0</v>
      </c>
      <c r="AC680" s="187">
        <v>0</v>
      </c>
      <c r="AD680" s="185">
        <v>51260</v>
      </c>
      <c r="AE680" s="187">
        <v>0</v>
      </c>
      <c r="AF680" s="187">
        <v>0</v>
      </c>
      <c r="AG680" s="187">
        <v>0</v>
      </c>
      <c r="AH680" s="185" t="s">
        <v>989</v>
      </c>
      <c r="AI680" s="185"/>
      <c r="AJ680" s="185"/>
      <c r="AK680" s="185" t="s">
        <v>45</v>
      </c>
      <c r="AL680" s="185" t="s">
        <v>2267</v>
      </c>
      <c r="AM680" s="185" t="s">
        <v>2269</v>
      </c>
      <c r="AN680" s="196"/>
      <c r="AO680" s="196"/>
      <c r="AP680" s="195"/>
      <c r="AQ680" s="194"/>
      <c r="AR680" s="193"/>
      <c r="AS680" s="192"/>
      <c r="AT680" s="192"/>
      <c r="AU680" s="192"/>
      <c r="AV680" s="192"/>
      <c r="AW680" s="191"/>
      <c r="AX680" s="190" t="s">
        <v>72</v>
      </c>
      <c r="AY680" s="184"/>
    </row>
    <row r="681" spans="2:51" hidden="1">
      <c r="B681" s="185">
        <v>2183</v>
      </c>
      <c r="C681" s="189">
        <v>118758</v>
      </c>
      <c r="D681" s="185">
        <v>118138</v>
      </c>
      <c r="E681" s="185" t="s">
        <v>2003</v>
      </c>
      <c r="F681" s="185" t="s">
        <v>1470</v>
      </c>
      <c r="G681" s="185"/>
      <c r="H681" s="185"/>
      <c r="I681" s="188">
        <v>1</v>
      </c>
      <c r="J681" s="185"/>
      <c r="K681" s="188">
        <v>0</v>
      </c>
      <c r="L681" s="185" t="s">
        <v>993</v>
      </c>
      <c r="M681" s="185"/>
      <c r="N681" s="185" t="s">
        <v>2190</v>
      </c>
      <c r="O681" s="185" t="s">
        <v>2184</v>
      </c>
      <c r="P681" s="185"/>
      <c r="Q681" s="185"/>
      <c r="R681" s="185"/>
      <c r="S681" s="186">
        <v>42004</v>
      </c>
      <c r="T681" s="186">
        <v>42004</v>
      </c>
      <c r="U681" s="185" t="s">
        <v>1471</v>
      </c>
      <c r="V681" s="185">
        <v>500</v>
      </c>
      <c r="W681" s="185">
        <v>14050</v>
      </c>
      <c r="X681" s="187">
        <v>51081.75</v>
      </c>
      <c r="Y681" s="185">
        <v>14056</v>
      </c>
      <c r="Z681" s="187">
        <v>51081.75</v>
      </c>
      <c r="AA681" s="187">
        <v>0</v>
      </c>
      <c r="AB681" s="187">
        <v>0</v>
      </c>
      <c r="AC681" s="187">
        <v>0</v>
      </c>
      <c r="AD681" s="185">
        <v>54260</v>
      </c>
      <c r="AE681" s="187">
        <v>0</v>
      </c>
      <c r="AF681" s="187">
        <v>0</v>
      </c>
      <c r="AG681" s="187">
        <v>0</v>
      </c>
      <c r="AH681" s="185" t="s">
        <v>989</v>
      </c>
      <c r="AI681" s="185"/>
      <c r="AJ681" s="185"/>
      <c r="AK681" s="185" t="s">
        <v>45</v>
      </c>
      <c r="AL681" s="185" t="s">
        <v>2267</v>
      </c>
      <c r="AM681" s="185" t="s">
        <v>2269</v>
      </c>
      <c r="AN681" s="196"/>
      <c r="AO681" s="196"/>
      <c r="AP681" s="195"/>
      <c r="AQ681" s="194"/>
      <c r="AR681" s="193"/>
      <c r="AS681" s="192"/>
      <c r="AT681" s="192"/>
      <c r="AU681" s="192"/>
      <c r="AV681" s="192"/>
      <c r="AW681" s="191"/>
      <c r="AX681" s="190" t="s">
        <v>72</v>
      </c>
      <c r="AY681" s="184"/>
    </row>
    <row r="682" spans="2:51">
      <c r="B682" s="185">
        <v>2183</v>
      </c>
      <c r="C682" s="189">
        <v>118278</v>
      </c>
      <c r="D682" s="185" t="s">
        <v>989</v>
      </c>
      <c r="E682" s="185" t="s">
        <v>2003</v>
      </c>
      <c r="F682" s="185" t="s">
        <v>1472</v>
      </c>
      <c r="G682" s="185"/>
      <c r="H682" s="185"/>
      <c r="I682" s="188">
        <v>1</v>
      </c>
      <c r="J682" s="185"/>
      <c r="K682" s="188">
        <v>0</v>
      </c>
      <c r="L682" s="185" t="s">
        <v>1473</v>
      </c>
      <c r="M682" s="185"/>
      <c r="N682" s="185" t="s">
        <v>2196</v>
      </c>
      <c r="O682" s="185" t="s">
        <v>2184</v>
      </c>
      <c r="P682" s="185"/>
      <c r="Q682" s="185"/>
      <c r="R682" s="185"/>
      <c r="S682" s="186">
        <v>42002</v>
      </c>
      <c r="T682" s="186">
        <v>42002</v>
      </c>
      <c r="U682" s="185" t="s">
        <v>1474</v>
      </c>
      <c r="V682" s="185">
        <v>1000</v>
      </c>
      <c r="W682" s="185">
        <v>14080</v>
      </c>
      <c r="X682" s="187">
        <v>2760.98</v>
      </c>
      <c r="Y682" s="185">
        <v>14086</v>
      </c>
      <c r="Z682" s="187">
        <v>2576.94</v>
      </c>
      <c r="AA682" s="187">
        <v>0</v>
      </c>
      <c r="AB682" s="187">
        <v>184.03999999999996</v>
      </c>
      <c r="AC682" s="187">
        <v>92.04</v>
      </c>
      <c r="AD682" s="185">
        <v>57260</v>
      </c>
      <c r="AE682" s="187">
        <v>23.01</v>
      </c>
      <c r="AF682" s="187">
        <v>0</v>
      </c>
      <c r="AG682" s="187">
        <v>23.01</v>
      </c>
      <c r="AH682" s="185" t="s">
        <v>989</v>
      </c>
      <c r="AI682" s="185"/>
      <c r="AJ682" s="185"/>
      <c r="AK682" s="185" t="s">
        <v>45</v>
      </c>
      <c r="AL682" s="185" t="s">
        <v>2267</v>
      </c>
      <c r="AM682" s="185" t="s">
        <v>2269</v>
      </c>
      <c r="AN682" s="196"/>
      <c r="AO682" s="196"/>
      <c r="AP682" s="195"/>
      <c r="AQ682" s="194"/>
      <c r="AR682" s="193"/>
      <c r="AS682" s="192"/>
      <c r="AT682" s="192"/>
      <c r="AU682" s="192"/>
      <c r="AV682" s="192"/>
      <c r="AW682" s="191"/>
      <c r="AX682" s="190" t="s">
        <v>72</v>
      </c>
      <c r="AY682" s="184"/>
    </row>
    <row r="683" spans="2:51">
      <c r="B683" s="185">
        <v>2183</v>
      </c>
      <c r="C683" s="189">
        <v>118138</v>
      </c>
      <c r="D683" s="185" t="s">
        <v>989</v>
      </c>
      <c r="E683" s="185" t="s">
        <v>2003</v>
      </c>
      <c r="F683" s="185" t="s">
        <v>1475</v>
      </c>
      <c r="G683" s="185"/>
      <c r="H683" s="185"/>
      <c r="I683" s="188">
        <v>1</v>
      </c>
      <c r="J683" s="185"/>
      <c r="K683" s="188">
        <v>0</v>
      </c>
      <c r="L683" s="185"/>
      <c r="M683" s="185"/>
      <c r="N683" s="185" t="s">
        <v>2190</v>
      </c>
      <c r="O683" s="185" t="s">
        <v>2184</v>
      </c>
      <c r="P683" s="185"/>
      <c r="Q683" s="185"/>
      <c r="R683" s="185"/>
      <c r="S683" s="186">
        <v>42004</v>
      </c>
      <c r="T683" s="186">
        <v>42004</v>
      </c>
      <c r="U683" s="185" t="s">
        <v>1471</v>
      </c>
      <c r="V683" s="185">
        <v>500</v>
      </c>
      <c r="W683" s="185">
        <v>14050</v>
      </c>
      <c r="X683" s="187">
        <v>23609.1</v>
      </c>
      <c r="Y683" s="185">
        <v>14056</v>
      </c>
      <c r="Z683" s="187">
        <v>23609.1</v>
      </c>
      <c r="AA683" s="187">
        <v>0</v>
      </c>
      <c r="AB683" s="187">
        <v>0</v>
      </c>
      <c r="AC683" s="187">
        <v>0</v>
      </c>
      <c r="AD683" s="185">
        <v>54260</v>
      </c>
      <c r="AE683" s="187">
        <v>0</v>
      </c>
      <c r="AF683" s="187">
        <v>0</v>
      </c>
      <c r="AG683" s="187">
        <v>0</v>
      </c>
      <c r="AH683" s="185" t="s">
        <v>989</v>
      </c>
      <c r="AI683" s="185"/>
      <c r="AJ683" s="185"/>
      <c r="AK683" s="185" t="s">
        <v>45</v>
      </c>
      <c r="AL683" s="185" t="s">
        <v>2267</v>
      </c>
      <c r="AM683" s="185" t="s">
        <v>2269</v>
      </c>
      <c r="AN683" s="196"/>
      <c r="AO683" s="196"/>
      <c r="AP683" s="195"/>
      <c r="AQ683" s="194"/>
      <c r="AR683" s="193"/>
      <c r="AS683" s="192"/>
      <c r="AT683" s="192"/>
      <c r="AU683" s="192"/>
      <c r="AV683" s="192"/>
      <c r="AW683" s="191"/>
      <c r="AX683" s="190" t="s">
        <v>72</v>
      </c>
      <c r="AY683" s="184"/>
    </row>
    <row r="684" spans="2:51">
      <c r="B684" s="185">
        <v>2183</v>
      </c>
      <c r="C684" s="189">
        <v>117322</v>
      </c>
      <c r="D684" s="185" t="s">
        <v>989</v>
      </c>
      <c r="E684" s="185" t="s">
        <v>2003</v>
      </c>
      <c r="F684" s="185" t="s">
        <v>1476</v>
      </c>
      <c r="G684" s="185"/>
      <c r="H684" s="185"/>
      <c r="I684" s="188">
        <v>1</v>
      </c>
      <c r="J684" s="185" t="s">
        <v>1477</v>
      </c>
      <c r="K684" s="188">
        <v>2015</v>
      </c>
      <c r="L684" s="185" t="s">
        <v>2210</v>
      </c>
      <c r="M684" s="185" t="s">
        <v>2211</v>
      </c>
      <c r="N684" s="185" t="s">
        <v>2183</v>
      </c>
      <c r="O684" s="185" t="s">
        <v>2184</v>
      </c>
      <c r="P684" s="185" t="s">
        <v>2187</v>
      </c>
      <c r="Q684" s="185"/>
      <c r="R684" s="185"/>
      <c r="S684" s="186">
        <v>41973</v>
      </c>
      <c r="T684" s="186">
        <v>41973</v>
      </c>
      <c r="U684" s="185" t="s">
        <v>1478</v>
      </c>
      <c r="V684" s="185">
        <v>1000</v>
      </c>
      <c r="W684" s="185">
        <v>14040</v>
      </c>
      <c r="X684" s="187">
        <v>330302.59000000003</v>
      </c>
      <c r="Y684" s="185">
        <v>14046</v>
      </c>
      <c r="Z684" s="187">
        <v>311034.94</v>
      </c>
      <c r="AA684" s="187">
        <v>0</v>
      </c>
      <c r="AB684" s="187">
        <v>19267.650000000023</v>
      </c>
      <c r="AC684" s="187">
        <v>11010.08</v>
      </c>
      <c r="AD684" s="185">
        <v>51260</v>
      </c>
      <c r="AE684" s="187">
        <v>2752.52</v>
      </c>
      <c r="AF684" s="187">
        <v>0</v>
      </c>
      <c r="AG684" s="187">
        <v>2752.52</v>
      </c>
      <c r="AH684" s="185" t="s">
        <v>989</v>
      </c>
      <c r="AI684" s="185"/>
      <c r="AJ684" s="185">
        <v>3640</v>
      </c>
      <c r="AK684" s="185" t="s">
        <v>45</v>
      </c>
      <c r="AL684" s="185" t="s">
        <v>2267</v>
      </c>
      <c r="AM684" s="185" t="s">
        <v>2269</v>
      </c>
      <c r="AN684" s="196"/>
      <c r="AO684" s="196"/>
      <c r="AP684" s="195"/>
      <c r="AQ684" s="194"/>
      <c r="AR684" s="193"/>
      <c r="AS684" s="192"/>
      <c r="AT684" s="192"/>
      <c r="AU684" s="192"/>
      <c r="AV684" s="192"/>
      <c r="AW684" s="191"/>
      <c r="AX684" s="190" t="s">
        <v>72</v>
      </c>
      <c r="AY684" s="184"/>
    </row>
    <row r="685" spans="2:51">
      <c r="B685" s="185">
        <v>2183</v>
      </c>
      <c r="C685" s="189">
        <v>117321</v>
      </c>
      <c r="D685" s="185" t="s">
        <v>989</v>
      </c>
      <c r="E685" s="185" t="s">
        <v>2003</v>
      </c>
      <c r="F685" s="185" t="s">
        <v>1476</v>
      </c>
      <c r="G685" s="185"/>
      <c r="H685" s="185"/>
      <c r="I685" s="188">
        <v>1</v>
      </c>
      <c r="J685" s="185" t="s">
        <v>1479</v>
      </c>
      <c r="K685" s="188">
        <v>2015</v>
      </c>
      <c r="L685" s="185" t="s">
        <v>2210</v>
      </c>
      <c r="M685" s="185" t="s">
        <v>2211</v>
      </c>
      <c r="N685" s="185" t="s">
        <v>2183</v>
      </c>
      <c r="O685" s="185" t="s">
        <v>2184</v>
      </c>
      <c r="P685" s="185" t="s">
        <v>2187</v>
      </c>
      <c r="Q685" s="185"/>
      <c r="R685" s="185"/>
      <c r="S685" s="186">
        <v>41973</v>
      </c>
      <c r="T685" s="186">
        <v>41973</v>
      </c>
      <c r="U685" s="185" t="s">
        <v>1480</v>
      </c>
      <c r="V685" s="185">
        <v>1000</v>
      </c>
      <c r="W685" s="185">
        <v>14040</v>
      </c>
      <c r="X685" s="187">
        <v>330416.48</v>
      </c>
      <c r="Y685" s="185">
        <v>14046</v>
      </c>
      <c r="Z685" s="187">
        <v>311142.2</v>
      </c>
      <c r="AA685" s="187">
        <v>0</v>
      </c>
      <c r="AB685" s="187">
        <v>19274.27999999997</v>
      </c>
      <c r="AC685" s="187">
        <v>11013.88</v>
      </c>
      <c r="AD685" s="185">
        <v>51260</v>
      </c>
      <c r="AE685" s="187">
        <v>2753.47</v>
      </c>
      <c r="AF685" s="187">
        <v>0</v>
      </c>
      <c r="AG685" s="187">
        <v>2753.47</v>
      </c>
      <c r="AH685" s="185" t="s">
        <v>989</v>
      </c>
      <c r="AI685" s="185"/>
      <c r="AJ685" s="185">
        <v>3639</v>
      </c>
      <c r="AK685" s="185" t="s">
        <v>45</v>
      </c>
      <c r="AL685" s="185" t="s">
        <v>2267</v>
      </c>
      <c r="AM685" s="185" t="s">
        <v>2269</v>
      </c>
      <c r="AN685" s="196"/>
      <c r="AO685" s="196"/>
      <c r="AP685" s="195"/>
      <c r="AQ685" s="194"/>
      <c r="AR685" s="193"/>
      <c r="AS685" s="192"/>
      <c r="AT685" s="192"/>
      <c r="AU685" s="192"/>
      <c r="AV685" s="192"/>
      <c r="AW685" s="191"/>
      <c r="AX685" s="190" t="s">
        <v>72</v>
      </c>
      <c r="AY685" s="184"/>
    </row>
    <row r="686" spans="2:51">
      <c r="B686" s="185">
        <v>2183</v>
      </c>
      <c r="C686" s="189">
        <v>117226</v>
      </c>
      <c r="D686" s="185" t="s">
        <v>989</v>
      </c>
      <c r="E686" s="185" t="s">
        <v>2003</v>
      </c>
      <c r="F686" s="185" t="s">
        <v>1481</v>
      </c>
      <c r="G686" s="185"/>
      <c r="H686" s="185"/>
      <c r="I686" s="188">
        <v>8</v>
      </c>
      <c r="J686" s="185"/>
      <c r="K686" s="188">
        <v>0</v>
      </c>
      <c r="L686" s="185" t="s">
        <v>1059</v>
      </c>
      <c r="M686" s="185"/>
      <c r="N686" s="185" t="s">
        <v>2190</v>
      </c>
      <c r="O686" s="185" t="s">
        <v>2184</v>
      </c>
      <c r="P686" s="185"/>
      <c r="Q686" s="185" t="s">
        <v>2214</v>
      </c>
      <c r="R686" s="185" t="s">
        <v>2195</v>
      </c>
      <c r="S686" s="186">
        <v>41944</v>
      </c>
      <c r="T686" s="186">
        <v>41944</v>
      </c>
      <c r="U686" s="185" t="s">
        <v>1482</v>
      </c>
      <c r="V686" s="185">
        <v>1200</v>
      </c>
      <c r="W686" s="185">
        <v>14050</v>
      </c>
      <c r="X686" s="187">
        <v>4869.76</v>
      </c>
      <c r="Y686" s="185">
        <v>14056</v>
      </c>
      <c r="Z686" s="187">
        <v>3855.25</v>
      </c>
      <c r="AA686" s="187">
        <v>0</v>
      </c>
      <c r="AB686" s="187">
        <v>1014.5100000000002</v>
      </c>
      <c r="AC686" s="187">
        <v>135.28</v>
      </c>
      <c r="AD686" s="185">
        <v>54260</v>
      </c>
      <c r="AE686" s="187">
        <v>33.82</v>
      </c>
      <c r="AF686" s="187">
        <v>0</v>
      </c>
      <c r="AG686" s="187">
        <v>33.82</v>
      </c>
      <c r="AH686" s="185" t="s">
        <v>989</v>
      </c>
      <c r="AI686" s="185"/>
      <c r="AJ686" s="185"/>
      <c r="AK686" s="185" t="s">
        <v>45</v>
      </c>
      <c r="AL686" s="185" t="s">
        <v>2267</v>
      </c>
      <c r="AM686" s="185" t="s">
        <v>2269</v>
      </c>
      <c r="AN686" s="196"/>
      <c r="AO686" s="196"/>
      <c r="AP686" s="195"/>
      <c r="AQ686" s="194"/>
      <c r="AR686" s="193"/>
      <c r="AS686" s="192"/>
      <c r="AT686" s="192"/>
      <c r="AU686" s="192"/>
      <c r="AV686" s="192"/>
      <c r="AW686" s="191"/>
      <c r="AX686" s="190" t="s">
        <v>72</v>
      </c>
      <c r="AY686" s="184"/>
    </row>
    <row r="687" spans="2:51">
      <c r="B687" s="185">
        <v>2183</v>
      </c>
      <c r="C687" s="189">
        <v>117225</v>
      </c>
      <c r="D687" s="185" t="s">
        <v>989</v>
      </c>
      <c r="E687" s="185" t="s">
        <v>2003</v>
      </c>
      <c r="F687" s="185" t="s">
        <v>1483</v>
      </c>
      <c r="G687" s="185"/>
      <c r="H687" s="185"/>
      <c r="I687" s="188">
        <v>10</v>
      </c>
      <c r="J687" s="185"/>
      <c r="K687" s="188">
        <v>0</v>
      </c>
      <c r="L687" s="185" t="s">
        <v>1059</v>
      </c>
      <c r="M687" s="185"/>
      <c r="N687" s="185" t="s">
        <v>2190</v>
      </c>
      <c r="O687" s="185" t="s">
        <v>2184</v>
      </c>
      <c r="P687" s="185"/>
      <c r="Q687" s="185"/>
      <c r="R687" s="185"/>
      <c r="S687" s="186">
        <v>41944</v>
      </c>
      <c r="T687" s="186">
        <v>41944</v>
      </c>
      <c r="U687" s="185" t="s">
        <v>1484</v>
      </c>
      <c r="V687" s="185">
        <v>1200</v>
      </c>
      <c r="W687" s="185">
        <v>14050</v>
      </c>
      <c r="X687" s="187">
        <v>8098.15</v>
      </c>
      <c r="Y687" s="185">
        <v>14056</v>
      </c>
      <c r="Z687" s="187">
        <v>6411.09</v>
      </c>
      <c r="AA687" s="187">
        <v>0</v>
      </c>
      <c r="AB687" s="187">
        <v>1687.0599999999995</v>
      </c>
      <c r="AC687" s="187">
        <v>224.96</v>
      </c>
      <c r="AD687" s="185">
        <v>54260</v>
      </c>
      <c r="AE687" s="187">
        <v>56.24</v>
      </c>
      <c r="AF687" s="187">
        <v>0</v>
      </c>
      <c r="AG687" s="187">
        <v>56.24</v>
      </c>
      <c r="AH687" s="185" t="s">
        <v>989</v>
      </c>
      <c r="AI687" s="185"/>
      <c r="AJ687" s="185"/>
      <c r="AK687" s="185" t="s">
        <v>45</v>
      </c>
      <c r="AL687" s="185" t="s">
        <v>2267</v>
      </c>
      <c r="AM687" s="185" t="s">
        <v>2269</v>
      </c>
      <c r="AN687" s="196"/>
      <c r="AO687" s="196"/>
      <c r="AP687" s="195"/>
      <c r="AQ687" s="194"/>
      <c r="AR687" s="193"/>
      <c r="AS687" s="192"/>
      <c r="AT687" s="192"/>
      <c r="AU687" s="192"/>
      <c r="AV687" s="192"/>
      <c r="AW687" s="191"/>
      <c r="AX687" s="190" t="s">
        <v>72</v>
      </c>
      <c r="AY687" s="184"/>
    </row>
    <row r="688" spans="2:51">
      <c r="B688" s="185">
        <v>2183</v>
      </c>
      <c r="C688" s="189">
        <v>117224</v>
      </c>
      <c r="D688" s="185" t="s">
        <v>989</v>
      </c>
      <c r="E688" s="185" t="s">
        <v>2003</v>
      </c>
      <c r="F688" s="185" t="s">
        <v>1485</v>
      </c>
      <c r="G688" s="185"/>
      <c r="H688" s="185"/>
      <c r="I688" s="188">
        <v>5</v>
      </c>
      <c r="J688" s="185"/>
      <c r="K688" s="188">
        <v>0</v>
      </c>
      <c r="L688" s="185" t="s">
        <v>1059</v>
      </c>
      <c r="M688" s="185"/>
      <c r="N688" s="185" t="s">
        <v>2190</v>
      </c>
      <c r="O688" s="185" t="s">
        <v>2184</v>
      </c>
      <c r="P688" s="185"/>
      <c r="Q688" s="185" t="s">
        <v>2203</v>
      </c>
      <c r="R688" s="185" t="s">
        <v>2195</v>
      </c>
      <c r="S688" s="186">
        <v>41944</v>
      </c>
      <c r="T688" s="186">
        <v>41944</v>
      </c>
      <c r="U688" s="185" t="s">
        <v>1484</v>
      </c>
      <c r="V688" s="185">
        <v>1200</v>
      </c>
      <c r="W688" s="185">
        <v>14050</v>
      </c>
      <c r="X688" s="187">
        <v>3206.65</v>
      </c>
      <c r="Y688" s="185">
        <v>14056</v>
      </c>
      <c r="Z688" s="187">
        <v>2538.6</v>
      </c>
      <c r="AA688" s="187">
        <v>0</v>
      </c>
      <c r="AB688" s="187">
        <v>668.05000000000018</v>
      </c>
      <c r="AC688" s="187">
        <v>89.08</v>
      </c>
      <c r="AD688" s="185">
        <v>54260</v>
      </c>
      <c r="AE688" s="187">
        <v>22.27</v>
      </c>
      <c r="AF688" s="187">
        <v>0</v>
      </c>
      <c r="AG688" s="187">
        <v>22.27</v>
      </c>
      <c r="AH688" s="185" t="s">
        <v>989</v>
      </c>
      <c r="AI688" s="185"/>
      <c r="AJ688" s="185"/>
      <c r="AK688" s="185" t="s">
        <v>45</v>
      </c>
      <c r="AL688" s="185" t="s">
        <v>2267</v>
      </c>
      <c r="AM688" s="185" t="s">
        <v>2269</v>
      </c>
      <c r="AN688" s="196"/>
      <c r="AO688" s="196"/>
      <c r="AP688" s="195"/>
      <c r="AQ688" s="194"/>
      <c r="AR688" s="193"/>
      <c r="AS688" s="192"/>
      <c r="AT688" s="192"/>
      <c r="AU688" s="192"/>
      <c r="AV688" s="192"/>
      <c r="AW688" s="191"/>
      <c r="AX688" s="190" t="s">
        <v>72</v>
      </c>
      <c r="AY688" s="184"/>
    </row>
    <row r="689" spans="2:51">
      <c r="B689" s="185">
        <v>2183</v>
      </c>
      <c r="C689" s="189">
        <v>117223</v>
      </c>
      <c r="D689" s="185" t="s">
        <v>989</v>
      </c>
      <c r="E689" s="185" t="s">
        <v>2003</v>
      </c>
      <c r="F689" s="185" t="s">
        <v>1486</v>
      </c>
      <c r="G689" s="185"/>
      <c r="H689" s="185"/>
      <c r="I689" s="188">
        <v>15</v>
      </c>
      <c r="J689" s="185"/>
      <c r="K689" s="188">
        <v>0</v>
      </c>
      <c r="L689" s="185" t="s">
        <v>1059</v>
      </c>
      <c r="M689" s="185"/>
      <c r="N689" s="185" t="s">
        <v>2190</v>
      </c>
      <c r="O689" s="185" t="s">
        <v>2184</v>
      </c>
      <c r="P689" s="185"/>
      <c r="Q689" s="185" t="s">
        <v>2208</v>
      </c>
      <c r="R689" s="185" t="s">
        <v>2195</v>
      </c>
      <c r="S689" s="186">
        <v>41944</v>
      </c>
      <c r="T689" s="186">
        <v>41944</v>
      </c>
      <c r="U689" s="185" t="s">
        <v>1484</v>
      </c>
      <c r="V689" s="185">
        <v>1200</v>
      </c>
      <c r="W689" s="185">
        <v>14050</v>
      </c>
      <c r="X689" s="187">
        <v>7907.93</v>
      </c>
      <c r="Y689" s="185">
        <v>14056</v>
      </c>
      <c r="Z689" s="187">
        <v>6260.51</v>
      </c>
      <c r="AA689" s="187">
        <v>0</v>
      </c>
      <c r="AB689" s="187">
        <v>1647.42</v>
      </c>
      <c r="AC689" s="187">
        <v>219.68</v>
      </c>
      <c r="AD689" s="185">
        <v>54260</v>
      </c>
      <c r="AE689" s="187">
        <v>54.92</v>
      </c>
      <c r="AF689" s="187">
        <v>0</v>
      </c>
      <c r="AG689" s="187">
        <v>54.92</v>
      </c>
      <c r="AH689" s="185" t="s">
        <v>989</v>
      </c>
      <c r="AI689" s="185"/>
      <c r="AJ689" s="185"/>
      <c r="AK689" s="185" t="s">
        <v>45</v>
      </c>
      <c r="AL689" s="185" t="s">
        <v>2267</v>
      </c>
      <c r="AM689" s="185" t="s">
        <v>2269</v>
      </c>
      <c r="AN689" s="196"/>
      <c r="AO689" s="196"/>
      <c r="AP689" s="195"/>
      <c r="AQ689" s="194"/>
      <c r="AR689" s="193"/>
      <c r="AS689" s="192"/>
      <c r="AT689" s="192"/>
      <c r="AU689" s="192"/>
      <c r="AV689" s="192"/>
      <c r="AW689" s="191"/>
      <c r="AX689" s="190" t="s">
        <v>72</v>
      </c>
      <c r="AY689" s="184"/>
    </row>
    <row r="690" spans="2:51" hidden="1">
      <c r="B690" s="185">
        <v>2183</v>
      </c>
      <c r="C690" s="189">
        <v>117220</v>
      </c>
      <c r="D690" s="185">
        <v>114271</v>
      </c>
      <c r="E690" s="185" t="s">
        <v>2003</v>
      </c>
      <c r="F690" s="185" t="s">
        <v>1487</v>
      </c>
      <c r="G690" s="185"/>
      <c r="H690" s="185"/>
      <c r="I690" s="188">
        <v>1</v>
      </c>
      <c r="J690" s="185"/>
      <c r="K690" s="188">
        <v>0</v>
      </c>
      <c r="L690" s="185" t="s">
        <v>1175</v>
      </c>
      <c r="M690" s="185"/>
      <c r="N690" s="185" t="s">
        <v>2183</v>
      </c>
      <c r="O690" s="185" t="s">
        <v>2184</v>
      </c>
      <c r="P690" s="185" t="s">
        <v>1028</v>
      </c>
      <c r="Q690" s="185"/>
      <c r="R690" s="185"/>
      <c r="S690" s="186">
        <v>41944</v>
      </c>
      <c r="T690" s="186">
        <v>41944</v>
      </c>
      <c r="U690" s="185" t="s">
        <v>1488</v>
      </c>
      <c r="V690" s="185">
        <v>300</v>
      </c>
      <c r="W690" s="185">
        <v>14040</v>
      </c>
      <c r="X690" s="187">
        <v>7331.82</v>
      </c>
      <c r="Y690" s="185">
        <v>14046</v>
      </c>
      <c r="Z690" s="187">
        <v>7331.82</v>
      </c>
      <c r="AA690" s="187">
        <v>0</v>
      </c>
      <c r="AB690" s="187">
        <v>0</v>
      </c>
      <c r="AC690" s="187">
        <v>0</v>
      </c>
      <c r="AD690" s="185">
        <v>51260</v>
      </c>
      <c r="AE690" s="187">
        <v>0</v>
      </c>
      <c r="AF690" s="187">
        <v>0</v>
      </c>
      <c r="AG690" s="187">
        <v>0</v>
      </c>
      <c r="AH690" s="185" t="s">
        <v>989</v>
      </c>
      <c r="AI690" s="185"/>
      <c r="AJ690" s="185"/>
      <c r="AK690" s="185" t="s">
        <v>45</v>
      </c>
      <c r="AL690" s="185" t="s">
        <v>2267</v>
      </c>
      <c r="AM690" s="185" t="s">
        <v>2269</v>
      </c>
      <c r="AN690" s="196"/>
      <c r="AO690" s="196"/>
      <c r="AP690" s="195"/>
      <c r="AQ690" s="194"/>
      <c r="AR690" s="193"/>
      <c r="AS690" s="192"/>
      <c r="AT690" s="192"/>
      <c r="AU690" s="192"/>
      <c r="AV690" s="192"/>
      <c r="AW690" s="191"/>
      <c r="AX690" s="190" t="s">
        <v>72</v>
      </c>
      <c r="AY690" s="184"/>
    </row>
    <row r="691" spans="2:51">
      <c r="B691" s="185">
        <v>2183</v>
      </c>
      <c r="C691" s="189">
        <v>116682</v>
      </c>
      <c r="D691" s="185" t="s">
        <v>989</v>
      </c>
      <c r="E691" s="185" t="s">
        <v>2003</v>
      </c>
      <c r="F691" s="185" t="s">
        <v>615</v>
      </c>
      <c r="G691" s="185"/>
      <c r="H691" s="185"/>
      <c r="I691" s="188">
        <v>480</v>
      </c>
      <c r="J691" s="185"/>
      <c r="K691" s="188">
        <v>0</v>
      </c>
      <c r="L691" s="185" t="s">
        <v>1351</v>
      </c>
      <c r="M691" s="185"/>
      <c r="N691" s="185" t="s">
        <v>2190</v>
      </c>
      <c r="O691" s="185" t="s">
        <v>2184</v>
      </c>
      <c r="P691" s="185"/>
      <c r="Q691" s="185"/>
      <c r="R691" s="185"/>
      <c r="S691" s="186">
        <v>41922</v>
      </c>
      <c r="T691" s="186">
        <v>41922</v>
      </c>
      <c r="U691" s="185" t="s">
        <v>1489</v>
      </c>
      <c r="V691" s="185">
        <v>700</v>
      </c>
      <c r="W691" s="185">
        <v>14050</v>
      </c>
      <c r="X691" s="187">
        <v>20039.759999999998</v>
      </c>
      <c r="Y691" s="185">
        <v>14056</v>
      </c>
      <c r="Z691" s="187">
        <v>20039.759999999998</v>
      </c>
      <c r="AA691" s="187">
        <v>0</v>
      </c>
      <c r="AB691" s="187">
        <v>0</v>
      </c>
      <c r="AC691" s="187">
        <v>0</v>
      </c>
      <c r="AD691" s="185">
        <v>54260</v>
      </c>
      <c r="AE691" s="187">
        <v>0</v>
      </c>
      <c r="AF691" s="187">
        <v>0</v>
      </c>
      <c r="AG691" s="187">
        <v>0</v>
      </c>
      <c r="AH691" s="185" t="s">
        <v>989</v>
      </c>
      <c r="AI691" s="185"/>
      <c r="AJ691" s="185"/>
      <c r="AK691" s="185" t="s">
        <v>45</v>
      </c>
      <c r="AL691" s="185" t="s">
        <v>2267</v>
      </c>
      <c r="AM691" s="185" t="s">
        <v>2269</v>
      </c>
      <c r="AN691" s="196"/>
      <c r="AO691" s="196"/>
      <c r="AP691" s="195"/>
      <c r="AQ691" s="194"/>
      <c r="AR691" s="193"/>
      <c r="AS691" s="192"/>
      <c r="AT691" s="192"/>
      <c r="AU691" s="192"/>
      <c r="AV691" s="192"/>
      <c r="AW691" s="191"/>
      <c r="AX691" s="190" t="s">
        <v>72</v>
      </c>
      <c r="AY691" s="184"/>
    </row>
    <row r="692" spans="2:51">
      <c r="B692" s="185">
        <v>2183</v>
      </c>
      <c r="C692" s="189">
        <v>116681</v>
      </c>
      <c r="D692" s="185" t="s">
        <v>989</v>
      </c>
      <c r="E692" s="185" t="s">
        <v>2003</v>
      </c>
      <c r="F692" s="185" t="s">
        <v>614</v>
      </c>
      <c r="G692" s="185"/>
      <c r="H692" s="185"/>
      <c r="I692" s="188">
        <v>312</v>
      </c>
      <c r="J692" s="185"/>
      <c r="K692" s="188">
        <v>0</v>
      </c>
      <c r="L692" s="185" t="s">
        <v>1351</v>
      </c>
      <c r="M692" s="185"/>
      <c r="N692" s="185" t="s">
        <v>2190</v>
      </c>
      <c r="O692" s="185" t="s">
        <v>2184</v>
      </c>
      <c r="P692" s="185"/>
      <c r="Q692" s="185"/>
      <c r="R692" s="185"/>
      <c r="S692" s="186">
        <v>41922</v>
      </c>
      <c r="T692" s="186">
        <v>41922</v>
      </c>
      <c r="U692" s="185" t="s">
        <v>1489</v>
      </c>
      <c r="V692" s="185">
        <v>700</v>
      </c>
      <c r="W692" s="185">
        <v>14050</v>
      </c>
      <c r="X692" s="187">
        <v>17502.7</v>
      </c>
      <c r="Y692" s="185">
        <v>14056</v>
      </c>
      <c r="Z692" s="187">
        <v>17502.7</v>
      </c>
      <c r="AA692" s="187">
        <v>0</v>
      </c>
      <c r="AB692" s="187">
        <v>0</v>
      </c>
      <c r="AC692" s="187">
        <v>0</v>
      </c>
      <c r="AD692" s="185">
        <v>54260</v>
      </c>
      <c r="AE692" s="187">
        <v>0</v>
      </c>
      <c r="AF692" s="187">
        <v>0</v>
      </c>
      <c r="AG692" s="187">
        <v>0</v>
      </c>
      <c r="AH692" s="185" t="s">
        <v>989</v>
      </c>
      <c r="AI692" s="185"/>
      <c r="AJ692" s="185"/>
      <c r="AK692" s="185" t="s">
        <v>45</v>
      </c>
      <c r="AL692" s="185" t="s">
        <v>2267</v>
      </c>
      <c r="AM692" s="185" t="s">
        <v>2269</v>
      </c>
      <c r="AN692" s="196"/>
      <c r="AO692" s="196"/>
      <c r="AP692" s="195"/>
      <c r="AQ692" s="194"/>
      <c r="AR692" s="193"/>
      <c r="AS692" s="192"/>
      <c r="AT692" s="192"/>
      <c r="AU692" s="192"/>
      <c r="AV692" s="192"/>
      <c r="AW692" s="191"/>
      <c r="AX692" s="190" t="s">
        <v>72</v>
      </c>
      <c r="AY692" s="184"/>
    </row>
    <row r="693" spans="2:51">
      <c r="B693" s="185">
        <v>2183</v>
      </c>
      <c r="C693" s="189">
        <v>116680</v>
      </c>
      <c r="D693" s="185" t="s">
        <v>989</v>
      </c>
      <c r="E693" s="185" t="s">
        <v>2003</v>
      </c>
      <c r="F693" s="185" t="s">
        <v>1490</v>
      </c>
      <c r="G693" s="185"/>
      <c r="H693" s="185"/>
      <c r="I693" s="188">
        <v>15</v>
      </c>
      <c r="J693" s="185"/>
      <c r="K693" s="188">
        <v>0</v>
      </c>
      <c r="L693" s="185" t="s">
        <v>1047</v>
      </c>
      <c r="M693" s="185"/>
      <c r="N693" s="185" t="s">
        <v>2190</v>
      </c>
      <c r="O693" s="185" t="s">
        <v>2184</v>
      </c>
      <c r="P693" s="185"/>
      <c r="Q693" s="185" t="s">
        <v>2209</v>
      </c>
      <c r="R693" s="185" t="s">
        <v>2195</v>
      </c>
      <c r="S693" s="186">
        <v>41943</v>
      </c>
      <c r="T693" s="186">
        <v>41943</v>
      </c>
      <c r="U693" s="185" t="s">
        <v>1482</v>
      </c>
      <c r="V693" s="185">
        <v>1200</v>
      </c>
      <c r="W693" s="185">
        <v>14050</v>
      </c>
      <c r="X693" s="187">
        <v>6799.19</v>
      </c>
      <c r="Y693" s="185">
        <v>14056</v>
      </c>
      <c r="Z693" s="187">
        <v>5382.71</v>
      </c>
      <c r="AA693" s="187">
        <v>0</v>
      </c>
      <c r="AB693" s="187">
        <v>1416.4799999999996</v>
      </c>
      <c r="AC693" s="187">
        <v>188.88</v>
      </c>
      <c r="AD693" s="185">
        <v>54260</v>
      </c>
      <c r="AE693" s="187">
        <v>47.22</v>
      </c>
      <c r="AF693" s="187">
        <v>0</v>
      </c>
      <c r="AG693" s="187">
        <v>47.22</v>
      </c>
      <c r="AH693" s="185" t="s">
        <v>989</v>
      </c>
      <c r="AI693" s="185"/>
      <c r="AJ693" s="185"/>
      <c r="AK693" s="185" t="s">
        <v>45</v>
      </c>
      <c r="AL693" s="185" t="s">
        <v>2267</v>
      </c>
      <c r="AM693" s="185" t="s">
        <v>2269</v>
      </c>
      <c r="AN693" s="196"/>
      <c r="AO693" s="196"/>
      <c r="AP693" s="195"/>
      <c r="AQ693" s="194"/>
      <c r="AR693" s="193"/>
      <c r="AS693" s="192"/>
      <c r="AT693" s="192"/>
      <c r="AU693" s="192"/>
      <c r="AV693" s="192"/>
      <c r="AW693" s="191"/>
      <c r="AX693" s="190" t="s">
        <v>72</v>
      </c>
      <c r="AY693" s="184"/>
    </row>
    <row r="694" spans="2:51">
      <c r="B694" s="185">
        <v>2183</v>
      </c>
      <c r="C694" s="189">
        <v>116679</v>
      </c>
      <c r="D694" s="185" t="s">
        <v>989</v>
      </c>
      <c r="E694" s="185" t="s">
        <v>2003</v>
      </c>
      <c r="F694" s="185" t="s">
        <v>1491</v>
      </c>
      <c r="G694" s="185"/>
      <c r="H694" s="185"/>
      <c r="I694" s="188">
        <v>20</v>
      </c>
      <c r="J694" s="185"/>
      <c r="K694" s="188">
        <v>0</v>
      </c>
      <c r="L694" s="185" t="s">
        <v>1047</v>
      </c>
      <c r="M694" s="185"/>
      <c r="N694" s="185" t="s">
        <v>2190</v>
      </c>
      <c r="O694" s="185" t="s">
        <v>2184</v>
      </c>
      <c r="P694" s="185"/>
      <c r="Q694" s="185" t="s">
        <v>2208</v>
      </c>
      <c r="R694" s="185" t="s">
        <v>2195</v>
      </c>
      <c r="S694" s="186">
        <v>41943</v>
      </c>
      <c r="T694" s="186">
        <v>41943</v>
      </c>
      <c r="U694" s="185" t="s">
        <v>1482</v>
      </c>
      <c r="V694" s="185">
        <v>1200</v>
      </c>
      <c r="W694" s="185">
        <v>14050</v>
      </c>
      <c r="X694" s="187">
        <v>10761.3</v>
      </c>
      <c r="Y694" s="185">
        <v>14056</v>
      </c>
      <c r="Z694" s="187">
        <v>8519.4</v>
      </c>
      <c r="AA694" s="187">
        <v>0</v>
      </c>
      <c r="AB694" s="187">
        <v>2241.8999999999996</v>
      </c>
      <c r="AC694" s="187">
        <v>298.92</v>
      </c>
      <c r="AD694" s="185">
        <v>54260</v>
      </c>
      <c r="AE694" s="187">
        <v>74.73</v>
      </c>
      <c r="AF694" s="187">
        <v>0</v>
      </c>
      <c r="AG694" s="187">
        <v>74.73</v>
      </c>
      <c r="AH694" s="185" t="s">
        <v>989</v>
      </c>
      <c r="AI694" s="185"/>
      <c r="AJ694" s="185"/>
      <c r="AK694" s="185" t="s">
        <v>45</v>
      </c>
      <c r="AL694" s="185" t="s">
        <v>2267</v>
      </c>
      <c r="AM694" s="185" t="s">
        <v>2269</v>
      </c>
      <c r="AN694" s="196"/>
      <c r="AO694" s="196"/>
      <c r="AP694" s="195"/>
      <c r="AQ694" s="194"/>
      <c r="AR694" s="193"/>
      <c r="AS694" s="192"/>
      <c r="AT694" s="192"/>
      <c r="AU694" s="192"/>
      <c r="AV694" s="192"/>
      <c r="AW694" s="191"/>
      <c r="AX694" s="190" t="s">
        <v>72</v>
      </c>
      <c r="AY694" s="184"/>
    </row>
    <row r="695" spans="2:51">
      <c r="B695" s="185">
        <v>2183</v>
      </c>
      <c r="C695" s="189">
        <v>116678</v>
      </c>
      <c r="D695" s="185" t="s">
        <v>989</v>
      </c>
      <c r="E695" s="185" t="s">
        <v>2003</v>
      </c>
      <c r="F695" s="185" t="s">
        <v>1492</v>
      </c>
      <c r="G695" s="185"/>
      <c r="H695" s="185"/>
      <c r="I695" s="188">
        <v>15</v>
      </c>
      <c r="J695" s="185"/>
      <c r="K695" s="188">
        <v>0</v>
      </c>
      <c r="L695" s="185" t="s">
        <v>1047</v>
      </c>
      <c r="M695" s="185"/>
      <c r="N695" s="185" t="s">
        <v>2190</v>
      </c>
      <c r="O695" s="185" t="s">
        <v>2184</v>
      </c>
      <c r="P695" s="185"/>
      <c r="Q695" s="185" t="s">
        <v>2200</v>
      </c>
      <c r="R695" s="185" t="s">
        <v>2195</v>
      </c>
      <c r="S695" s="186">
        <v>41943</v>
      </c>
      <c r="T695" s="186">
        <v>41943</v>
      </c>
      <c r="U695" s="185" t="s">
        <v>1482</v>
      </c>
      <c r="V695" s="185">
        <v>1200</v>
      </c>
      <c r="W695" s="185">
        <v>14050</v>
      </c>
      <c r="X695" s="187">
        <v>7272.03</v>
      </c>
      <c r="Y695" s="185">
        <v>14056</v>
      </c>
      <c r="Z695" s="187">
        <v>5757</v>
      </c>
      <c r="AA695" s="187">
        <v>0</v>
      </c>
      <c r="AB695" s="187">
        <v>1515.0299999999997</v>
      </c>
      <c r="AC695" s="187">
        <v>202</v>
      </c>
      <c r="AD695" s="185">
        <v>54260</v>
      </c>
      <c r="AE695" s="187">
        <v>50.5</v>
      </c>
      <c r="AF695" s="187">
        <v>0</v>
      </c>
      <c r="AG695" s="187">
        <v>50.5</v>
      </c>
      <c r="AH695" s="185" t="s">
        <v>989</v>
      </c>
      <c r="AI695" s="185"/>
      <c r="AJ695" s="185"/>
      <c r="AK695" s="185" t="s">
        <v>45</v>
      </c>
      <c r="AL695" s="185" t="s">
        <v>2267</v>
      </c>
      <c r="AM695" s="185" t="s">
        <v>2269</v>
      </c>
      <c r="AN695" s="196"/>
      <c r="AO695" s="196"/>
      <c r="AP695" s="195"/>
      <c r="AQ695" s="194"/>
      <c r="AR695" s="193"/>
      <c r="AS695" s="192"/>
      <c r="AT695" s="192"/>
      <c r="AU695" s="192"/>
      <c r="AV695" s="192"/>
      <c r="AW695" s="191"/>
      <c r="AX695" s="190" t="s">
        <v>72</v>
      </c>
      <c r="AY695" s="184"/>
    </row>
    <row r="696" spans="2:51">
      <c r="B696" s="185">
        <v>2183</v>
      </c>
      <c r="C696" s="189">
        <v>116108</v>
      </c>
      <c r="D696" s="185" t="s">
        <v>989</v>
      </c>
      <c r="E696" s="185" t="s">
        <v>2003</v>
      </c>
      <c r="F696" s="185" t="s">
        <v>518</v>
      </c>
      <c r="G696" s="185"/>
      <c r="H696" s="185"/>
      <c r="I696" s="188">
        <v>1</v>
      </c>
      <c r="J696" s="185"/>
      <c r="K696" s="188">
        <v>0</v>
      </c>
      <c r="L696" s="185" t="s">
        <v>1145</v>
      </c>
      <c r="M696" s="185"/>
      <c r="N696" s="185" t="s">
        <v>2199</v>
      </c>
      <c r="O696" s="185" t="s">
        <v>2184</v>
      </c>
      <c r="P696" s="185"/>
      <c r="Q696" s="185"/>
      <c r="R696" s="185"/>
      <c r="S696" s="186">
        <v>41852</v>
      </c>
      <c r="T696" s="186">
        <v>41852</v>
      </c>
      <c r="U696" s="185" t="s">
        <v>1493</v>
      </c>
      <c r="V696" s="185">
        <v>200</v>
      </c>
      <c r="W696" s="185">
        <v>14110</v>
      </c>
      <c r="X696" s="187">
        <v>1817.83</v>
      </c>
      <c r="Y696" s="185">
        <v>14116</v>
      </c>
      <c r="Z696" s="187">
        <v>1817.83</v>
      </c>
      <c r="AA696" s="187">
        <v>0</v>
      </c>
      <c r="AB696" s="187">
        <v>0</v>
      </c>
      <c r="AC696" s="187">
        <v>0</v>
      </c>
      <c r="AD696" s="185">
        <v>70260</v>
      </c>
      <c r="AE696" s="187">
        <v>0</v>
      </c>
      <c r="AF696" s="187">
        <v>0</v>
      </c>
      <c r="AG696" s="187">
        <v>0</v>
      </c>
      <c r="AH696" s="185" t="s">
        <v>989</v>
      </c>
      <c r="AI696" s="185"/>
      <c r="AJ696" s="185"/>
      <c r="AK696" s="185" t="s">
        <v>45</v>
      </c>
      <c r="AL696" s="185" t="s">
        <v>2267</v>
      </c>
      <c r="AM696" s="185" t="s">
        <v>2269</v>
      </c>
      <c r="AN696" s="196"/>
      <c r="AO696" s="196"/>
      <c r="AP696" s="195"/>
      <c r="AQ696" s="194"/>
      <c r="AR696" s="193"/>
      <c r="AS696" s="192"/>
      <c r="AT696" s="192"/>
      <c r="AU696" s="192"/>
      <c r="AV696" s="192"/>
      <c r="AW696" s="191"/>
      <c r="AX696" s="190" t="s">
        <v>72</v>
      </c>
      <c r="AY696" s="184"/>
    </row>
    <row r="697" spans="2:51">
      <c r="B697" s="185">
        <v>2183</v>
      </c>
      <c r="C697" s="189">
        <v>115427</v>
      </c>
      <c r="D697" s="185" t="s">
        <v>989</v>
      </c>
      <c r="E697" s="185" t="s">
        <v>2003</v>
      </c>
      <c r="F697" s="185" t="s">
        <v>1494</v>
      </c>
      <c r="G697" s="185"/>
      <c r="H697" s="185"/>
      <c r="I697" s="188">
        <v>1</v>
      </c>
      <c r="J697" s="185"/>
      <c r="K697" s="188">
        <v>0</v>
      </c>
      <c r="L697" s="185" t="s">
        <v>1495</v>
      </c>
      <c r="M697" s="185"/>
      <c r="N697" s="185" t="s">
        <v>2199</v>
      </c>
      <c r="O697" s="185" t="s">
        <v>2184</v>
      </c>
      <c r="P697" s="185"/>
      <c r="Q697" s="185"/>
      <c r="R697" s="185"/>
      <c r="S697" s="186">
        <v>41858</v>
      </c>
      <c r="T697" s="186">
        <v>41858</v>
      </c>
      <c r="U697" s="185" t="s">
        <v>1496</v>
      </c>
      <c r="V697" s="185">
        <v>300</v>
      </c>
      <c r="W697" s="185">
        <v>14110</v>
      </c>
      <c r="X697" s="187">
        <v>3198.54</v>
      </c>
      <c r="Y697" s="185">
        <v>14116</v>
      </c>
      <c r="Z697" s="187">
        <v>3198.54</v>
      </c>
      <c r="AA697" s="187">
        <v>0</v>
      </c>
      <c r="AB697" s="187">
        <v>0</v>
      </c>
      <c r="AC697" s="187">
        <v>0</v>
      </c>
      <c r="AD697" s="185">
        <v>70260</v>
      </c>
      <c r="AE697" s="187">
        <v>0</v>
      </c>
      <c r="AF697" s="187">
        <v>0</v>
      </c>
      <c r="AG697" s="187">
        <v>0</v>
      </c>
      <c r="AH697" s="185" t="s">
        <v>989</v>
      </c>
      <c r="AI697" s="185"/>
      <c r="AJ697" s="185"/>
      <c r="AK697" s="185" t="s">
        <v>45</v>
      </c>
      <c r="AL697" s="185" t="s">
        <v>2267</v>
      </c>
      <c r="AM697" s="185" t="s">
        <v>2269</v>
      </c>
      <c r="AN697" s="196"/>
      <c r="AO697" s="196"/>
      <c r="AP697" s="195"/>
      <c r="AQ697" s="194"/>
      <c r="AR697" s="193"/>
      <c r="AS697" s="192"/>
      <c r="AT697" s="192"/>
      <c r="AU697" s="192"/>
      <c r="AV697" s="192"/>
      <c r="AW697" s="191"/>
      <c r="AX697" s="190" t="s">
        <v>72</v>
      </c>
      <c r="AY697" s="184"/>
    </row>
    <row r="698" spans="2:51">
      <c r="B698" s="185">
        <v>2183</v>
      </c>
      <c r="C698" s="189">
        <v>115104</v>
      </c>
      <c r="D698" s="185" t="s">
        <v>989</v>
      </c>
      <c r="E698" s="185" t="s">
        <v>2003</v>
      </c>
      <c r="F698" s="185" t="s">
        <v>818</v>
      </c>
      <c r="G698" s="185"/>
      <c r="H698" s="185"/>
      <c r="I698" s="188">
        <v>637</v>
      </c>
      <c r="J698" s="185"/>
      <c r="K698" s="188">
        <v>0</v>
      </c>
      <c r="L698" s="185" t="s">
        <v>1351</v>
      </c>
      <c r="M698" s="185"/>
      <c r="N698" s="185" t="s">
        <v>2190</v>
      </c>
      <c r="O698" s="185" t="s">
        <v>2184</v>
      </c>
      <c r="P698" s="185"/>
      <c r="Q698" s="185"/>
      <c r="R698" s="185"/>
      <c r="S698" s="186">
        <v>41838</v>
      </c>
      <c r="T698" s="186">
        <v>41838</v>
      </c>
      <c r="U698" s="185" t="s">
        <v>1497</v>
      </c>
      <c r="V698" s="185">
        <v>700</v>
      </c>
      <c r="W698" s="185">
        <v>14050</v>
      </c>
      <c r="X698" s="187">
        <v>33464.61</v>
      </c>
      <c r="Y698" s="185">
        <v>14056</v>
      </c>
      <c r="Z698" s="187">
        <v>33464.61</v>
      </c>
      <c r="AA698" s="187">
        <v>0</v>
      </c>
      <c r="AB698" s="187">
        <v>0</v>
      </c>
      <c r="AC698" s="187">
        <v>0</v>
      </c>
      <c r="AD698" s="185">
        <v>54260</v>
      </c>
      <c r="AE698" s="187">
        <v>0</v>
      </c>
      <c r="AF698" s="187">
        <v>0</v>
      </c>
      <c r="AG698" s="187">
        <v>0</v>
      </c>
      <c r="AH698" s="185" t="s">
        <v>989</v>
      </c>
      <c r="AI698" s="185"/>
      <c r="AJ698" s="185"/>
      <c r="AK698" s="185" t="s">
        <v>45</v>
      </c>
      <c r="AL698" s="185" t="s">
        <v>2267</v>
      </c>
      <c r="AM698" s="185" t="s">
        <v>2269</v>
      </c>
      <c r="AN698" s="196"/>
      <c r="AO698" s="196"/>
      <c r="AP698" s="195"/>
      <c r="AQ698" s="194"/>
      <c r="AR698" s="193"/>
      <c r="AS698" s="192"/>
      <c r="AT698" s="192"/>
      <c r="AU698" s="192"/>
      <c r="AV698" s="192"/>
      <c r="AW698" s="191"/>
      <c r="AX698" s="190" t="s">
        <v>72</v>
      </c>
      <c r="AY698" s="184"/>
    </row>
    <row r="699" spans="2:51">
      <c r="B699" s="185">
        <v>2183</v>
      </c>
      <c r="C699" s="189">
        <v>115103</v>
      </c>
      <c r="D699" s="185" t="s">
        <v>989</v>
      </c>
      <c r="E699" s="185" t="s">
        <v>2003</v>
      </c>
      <c r="F699" s="185" t="s">
        <v>616</v>
      </c>
      <c r="G699" s="185"/>
      <c r="H699" s="185"/>
      <c r="I699" s="188">
        <v>504</v>
      </c>
      <c r="J699" s="185"/>
      <c r="K699" s="188">
        <v>0</v>
      </c>
      <c r="L699" s="185" t="s">
        <v>1351</v>
      </c>
      <c r="M699" s="185"/>
      <c r="N699" s="185" t="s">
        <v>2190</v>
      </c>
      <c r="O699" s="185" t="s">
        <v>2184</v>
      </c>
      <c r="P699" s="185"/>
      <c r="Q699" s="185"/>
      <c r="R699" s="185"/>
      <c r="S699" s="186">
        <v>41838</v>
      </c>
      <c r="T699" s="186">
        <v>41838</v>
      </c>
      <c r="U699" s="185" t="s">
        <v>1497</v>
      </c>
      <c r="V699" s="185">
        <v>700</v>
      </c>
      <c r="W699" s="185">
        <v>14050</v>
      </c>
      <c r="X699" s="187">
        <v>29260.560000000001</v>
      </c>
      <c r="Y699" s="185">
        <v>14056</v>
      </c>
      <c r="Z699" s="187">
        <v>29260.560000000001</v>
      </c>
      <c r="AA699" s="187">
        <v>0</v>
      </c>
      <c r="AB699" s="187">
        <v>0</v>
      </c>
      <c r="AC699" s="187">
        <v>0</v>
      </c>
      <c r="AD699" s="185">
        <v>54260</v>
      </c>
      <c r="AE699" s="187">
        <v>0</v>
      </c>
      <c r="AF699" s="187">
        <v>0</v>
      </c>
      <c r="AG699" s="187">
        <v>0</v>
      </c>
      <c r="AH699" s="185" t="s">
        <v>989</v>
      </c>
      <c r="AI699" s="185"/>
      <c r="AJ699" s="185"/>
      <c r="AK699" s="185" t="s">
        <v>45</v>
      </c>
      <c r="AL699" s="185" t="s">
        <v>2267</v>
      </c>
      <c r="AM699" s="185" t="s">
        <v>2269</v>
      </c>
      <c r="AN699" s="196"/>
      <c r="AO699" s="196"/>
      <c r="AP699" s="195"/>
      <c r="AQ699" s="194"/>
      <c r="AR699" s="193"/>
      <c r="AS699" s="192"/>
      <c r="AT699" s="192"/>
      <c r="AU699" s="192"/>
      <c r="AV699" s="192"/>
      <c r="AW699" s="191"/>
      <c r="AX699" s="190" t="s">
        <v>72</v>
      </c>
      <c r="AY699" s="184"/>
    </row>
    <row r="700" spans="2:51">
      <c r="B700" s="185">
        <v>2183</v>
      </c>
      <c r="C700" s="189">
        <v>115102</v>
      </c>
      <c r="D700" s="185" t="s">
        <v>989</v>
      </c>
      <c r="E700" s="185" t="s">
        <v>2003</v>
      </c>
      <c r="F700" s="185" t="s">
        <v>622</v>
      </c>
      <c r="G700" s="185"/>
      <c r="H700" s="185"/>
      <c r="I700" s="188">
        <v>624</v>
      </c>
      <c r="J700" s="185"/>
      <c r="K700" s="188">
        <v>0</v>
      </c>
      <c r="L700" s="185" t="s">
        <v>1351</v>
      </c>
      <c r="M700" s="185"/>
      <c r="N700" s="185" t="s">
        <v>2190</v>
      </c>
      <c r="O700" s="185" t="s">
        <v>2184</v>
      </c>
      <c r="P700" s="185"/>
      <c r="Q700" s="185"/>
      <c r="R700" s="185"/>
      <c r="S700" s="186">
        <v>41838</v>
      </c>
      <c r="T700" s="186">
        <v>41838</v>
      </c>
      <c r="U700" s="185" t="s">
        <v>1497</v>
      </c>
      <c r="V700" s="185">
        <v>700</v>
      </c>
      <c r="W700" s="185">
        <v>14050</v>
      </c>
      <c r="X700" s="187">
        <v>36227.360000000001</v>
      </c>
      <c r="Y700" s="185">
        <v>14056</v>
      </c>
      <c r="Z700" s="187">
        <v>36227.360000000001</v>
      </c>
      <c r="AA700" s="187">
        <v>0</v>
      </c>
      <c r="AB700" s="187">
        <v>0</v>
      </c>
      <c r="AC700" s="187">
        <v>0</v>
      </c>
      <c r="AD700" s="185">
        <v>54260</v>
      </c>
      <c r="AE700" s="187">
        <v>0</v>
      </c>
      <c r="AF700" s="187">
        <v>0</v>
      </c>
      <c r="AG700" s="187">
        <v>0</v>
      </c>
      <c r="AH700" s="185" t="s">
        <v>989</v>
      </c>
      <c r="AI700" s="185"/>
      <c r="AJ700" s="185"/>
      <c r="AK700" s="185" t="s">
        <v>45</v>
      </c>
      <c r="AL700" s="185" t="s">
        <v>2267</v>
      </c>
      <c r="AM700" s="185" t="s">
        <v>2269</v>
      </c>
      <c r="AN700" s="196"/>
      <c r="AO700" s="196"/>
      <c r="AP700" s="195"/>
      <c r="AQ700" s="194"/>
      <c r="AR700" s="193"/>
      <c r="AS700" s="192"/>
      <c r="AT700" s="192"/>
      <c r="AU700" s="192"/>
      <c r="AV700" s="192"/>
      <c r="AW700" s="191"/>
      <c r="AX700" s="190" t="s">
        <v>72</v>
      </c>
      <c r="AY700" s="184"/>
    </row>
    <row r="701" spans="2:51">
      <c r="B701" s="185">
        <v>2183</v>
      </c>
      <c r="C701" s="189">
        <v>114309</v>
      </c>
      <c r="D701" s="185" t="s">
        <v>989</v>
      </c>
      <c r="E701" s="185" t="s">
        <v>2003</v>
      </c>
      <c r="F701" s="185" t="s">
        <v>1498</v>
      </c>
      <c r="G701" s="185"/>
      <c r="H701" s="185"/>
      <c r="I701" s="188">
        <v>1</v>
      </c>
      <c r="J701" s="185"/>
      <c r="K701" s="188">
        <v>0</v>
      </c>
      <c r="L701" s="185" t="s">
        <v>1037</v>
      </c>
      <c r="M701" s="185"/>
      <c r="N701" s="185" t="s">
        <v>2198</v>
      </c>
      <c r="O701" s="185" t="s">
        <v>2184</v>
      </c>
      <c r="P701" s="185"/>
      <c r="Q701" s="185"/>
      <c r="R701" s="185"/>
      <c r="S701" s="186">
        <v>41465</v>
      </c>
      <c r="T701" s="186">
        <v>41465</v>
      </c>
      <c r="U701" s="185" t="s">
        <v>1499</v>
      </c>
      <c r="V701" s="185">
        <v>500</v>
      </c>
      <c r="W701" s="185">
        <v>14070</v>
      </c>
      <c r="X701" s="187">
        <v>6839.73</v>
      </c>
      <c r="Y701" s="185">
        <v>14076</v>
      </c>
      <c r="Z701" s="187">
        <v>6839.73</v>
      </c>
      <c r="AA701" s="187">
        <v>0</v>
      </c>
      <c r="AB701" s="187">
        <v>0</v>
      </c>
      <c r="AC701" s="187">
        <v>0</v>
      </c>
      <c r="AD701" s="185">
        <v>51260</v>
      </c>
      <c r="AE701" s="187">
        <v>0</v>
      </c>
      <c r="AF701" s="187">
        <v>0</v>
      </c>
      <c r="AG701" s="187">
        <v>0</v>
      </c>
      <c r="AH701" s="185" t="s">
        <v>989</v>
      </c>
      <c r="AI701" s="185"/>
      <c r="AJ701" s="185"/>
      <c r="AK701" s="185" t="s">
        <v>45</v>
      </c>
      <c r="AL701" s="185" t="s">
        <v>2267</v>
      </c>
      <c r="AM701" s="185" t="s">
        <v>2269</v>
      </c>
      <c r="AN701" s="196"/>
      <c r="AO701" s="196"/>
      <c r="AP701" s="195"/>
      <c r="AQ701" s="194"/>
      <c r="AR701" s="193"/>
      <c r="AS701" s="192"/>
      <c r="AT701" s="192"/>
      <c r="AU701" s="192"/>
      <c r="AV701" s="192"/>
      <c r="AW701" s="191"/>
      <c r="AX701" s="190" t="s">
        <v>72</v>
      </c>
      <c r="AY701" s="184"/>
    </row>
    <row r="702" spans="2:51" hidden="1">
      <c r="B702" s="185">
        <v>2183</v>
      </c>
      <c r="C702" s="189">
        <v>114308</v>
      </c>
      <c r="D702" s="185">
        <v>114306</v>
      </c>
      <c r="E702" s="185" t="s">
        <v>2003</v>
      </c>
      <c r="F702" s="185" t="s">
        <v>1500</v>
      </c>
      <c r="G702" s="185"/>
      <c r="H702" s="185"/>
      <c r="I702" s="188">
        <v>1</v>
      </c>
      <c r="J702" s="185"/>
      <c r="K702" s="188">
        <v>0</v>
      </c>
      <c r="L702" s="185"/>
      <c r="M702" s="185"/>
      <c r="N702" s="185" t="s">
        <v>2183</v>
      </c>
      <c r="O702" s="185" t="s">
        <v>2184</v>
      </c>
      <c r="P702" s="185" t="s">
        <v>1028</v>
      </c>
      <c r="Q702" s="185"/>
      <c r="R702" s="185"/>
      <c r="S702" s="186">
        <v>39639</v>
      </c>
      <c r="T702" s="186">
        <v>39639</v>
      </c>
      <c r="U702" s="185" t="s">
        <v>1501</v>
      </c>
      <c r="V702" s="185">
        <v>300</v>
      </c>
      <c r="W702" s="185">
        <v>14040</v>
      </c>
      <c r="X702" s="187">
        <v>520</v>
      </c>
      <c r="Y702" s="185">
        <v>14046</v>
      </c>
      <c r="Z702" s="187">
        <v>520</v>
      </c>
      <c r="AA702" s="187">
        <v>0</v>
      </c>
      <c r="AB702" s="187">
        <v>0</v>
      </c>
      <c r="AC702" s="187">
        <v>0</v>
      </c>
      <c r="AD702" s="185">
        <v>51260</v>
      </c>
      <c r="AE702" s="187">
        <v>0</v>
      </c>
      <c r="AF702" s="187">
        <v>0</v>
      </c>
      <c r="AG702" s="187">
        <v>0</v>
      </c>
      <c r="AH702" s="185" t="s">
        <v>989</v>
      </c>
      <c r="AI702" s="185"/>
      <c r="AJ702" s="185"/>
      <c r="AK702" s="185" t="s">
        <v>45</v>
      </c>
      <c r="AL702" s="185" t="s">
        <v>2267</v>
      </c>
      <c r="AM702" s="185" t="s">
        <v>2269</v>
      </c>
      <c r="AN702" s="196"/>
      <c r="AO702" s="196"/>
      <c r="AP702" s="195"/>
      <c r="AQ702" s="194"/>
      <c r="AR702" s="193"/>
      <c r="AS702" s="192"/>
      <c r="AT702" s="192"/>
      <c r="AU702" s="192"/>
      <c r="AV702" s="192"/>
      <c r="AW702" s="191"/>
      <c r="AX702" s="190" t="s">
        <v>72</v>
      </c>
      <c r="AY702" s="184"/>
    </row>
    <row r="703" spans="2:51" hidden="1">
      <c r="B703" s="185">
        <v>2183</v>
      </c>
      <c r="C703" s="189">
        <v>114307</v>
      </c>
      <c r="D703" s="185">
        <v>114306</v>
      </c>
      <c r="E703" s="185" t="s">
        <v>2003</v>
      </c>
      <c r="F703" s="185" t="s">
        <v>1502</v>
      </c>
      <c r="G703" s="185"/>
      <c r="H703" s="185"/>
      <c r="I703" s="188">
        <v>1</v>
      </c>
      <c r="J703" s="185"/>
      <c r="K703" s="188">
        <v>0</v>
      </c>
      <c r="L703" s="185"/>
      <c r="M703" s="185"/>
      <c r="N703" s="185" t="s">
        <v>2183</v>
      </c>
      <c r="O703" s="185" t="s">
        <v>2184</v>
      </c>
      <c r="P703" s="185" t="s">
        <v>1028</v>
      </c>
      <c r="Q703" s="185"/>
      <c r="R703" s="185"/>
      <c r="S703" s="186">
        <v>37773</v>
      </c>
      <c r="T703" s="186">
        <v>37773</v>
      </c>
      <c r="U703" s="185"/>
      <c r="V703" s="185">
        <v>500</v>
      </c>
      <c r="W703" s="185">
        <v>14040</v>
      </c>
      <c r="X703" s="187">
        <v>1403.57</v>
      </c>
      <c r="Y703" s="185">
        <v>14046</v>
      </c>
      <c r="Z703" s="187">
        <v>1403.57</v>
      </c>
      <c r="AA703" s="187">
        <v>0</v>
      </c>
      <c r="AB703" s="187">
        <v>0</v>
      </c>
      <c r="AC703" s="187">
        <v>0</v>
      </c>
      <c r="AD703" s="185">
        <v>51260</v>
      </c>
      <c r="AE703" s="187">
        <v>0</v>
      </c>
      <c r="AF703" s="187">
        <v>0</v>
      </c>
      <c r="AG703" s="187">
        <v>0</v>
      </c>
      <c r="AH703" s="185" t="s">
        <v>989</v>
      </c>
      <c r="AI703" s="185"/>
      <c r="AJ703" s="185">
        <v>25</v>
      </c>
      <c r="AK703" s="185" t="s">
        <v>45</v>
      </c>
      <c r="AL703" s="185" t="s">
        <v>2267</v>
      </c>
      <c r="AM703" s="185" t="s">
        <v>2269</v>
      </c>
      <c r="AN703" s="196"/>
      <c r="AO703" s="196"/>
      <c r="AP703" s="195"/>
      <c r="AQ703" s="194"/>
      <c r="AR703" s="193"/>
      <c r="AS703" s="192"/>
      <c r="AT703" s="192"/>
      <c r="AU703" s="192"/>
      <c r="AV703" s="192"/>
      <c r="AW703" s="191"/>
      <c r="AX703" s="190" t="s">
        <v>72</v>
      </c>
      <c r="AY703" s="184"/>
    </row>
    <row r="704" spans="2:51">
      <c r="B704" s="185">
        <v>2183</v>
      </c>
      <c r="C704" s="189">
        <v>114306</v>
      </c>
      <c r="D704" s="185" t="s">
        <v>989</v>
      </c>
      <c r="E704" s="185" t="s">
        <v>2003</v>
      </c>
      <c r="F704" s="185" t="s">
        <v>539</v>
      </c>
      <c r="G704" s="185"/>
      <c r="H704" s="185"/>
      <c r="I704" s="188">
        <v>1</v>
      </c>
      <c r="J704" s="185" t="s">
        <v>1503</v>
      </c>
      <c r="K704" s="188">
        <v>2003</v>
      </c>
      <c r="L704" s="185" t="s">
        <v>1308</v>
      </c>
      <c r="M704" s="185" t="s">
        <v>1504</v>
      </c>
      <c r="N704" s="185" t="s">
        <v>2183</v>
      </c>
      <c r="O704" s="185" t="s">
        <v>2184</v>
      </c>
      <c r="P704" s="185" t="s">
        <v>2186</v>
      </c>
      <c r="Q704" s="185"/>
      <c r="R704" s="185"/>
      <c r="S704" s="186">
        <v>37749</v>
      </c>
      <c r="T704" s="186">
        <v>37749</v>
      </c>
      <c r="U704" s="185" t="s">
        <v>1505</v>
      </c>
      <c r="V704" s="185">
        <v>1000</v>
      </c>
      <c r="W704" s="185">
        <v>14040</v>
      </c>
      <c r="X704" s="187">
        <v>98919.95</v>
      </c>
      <c r="Y704" s="185">
        <v>14046</v>
      </c>
      <c r="Z704" s="187">
        <v>98919.95</v>
      </c>
      <c r="AA704" s="187">
        <v>0</v>
      </c>
      <c r="AB704" s="187">
        <v>0</v>
      </c>
      <c r="AC704" s="187">
        <v>0</v>
      </c>
      <c r="AD704" s="185">
        <v>51260</v>
      </c>
      <c r="AE704" s="187">
        <v>0</v>
      </c>
      <c r="AF704" s="187">
        <v>0</v>
      </c>
      <c r="AG704" s="187">
        <v>0</v>
      </c>
      <c r="AH704" s="185" t="s">
        <v>989</v>
      </c>
      <c r="AI704" s="185"/>
      <c r="AJ704" s="185">
        <v>1038</v>
      </c>
      <c r="AK704" s="185" t="s">
        <v>45</v>
      </c>
      <c r="AL704" s="185" t="s">
        <v>2267</v>
      </c>
      <c r="AM704" s="185" t="s">
        <v>2269</v>
      </c>
      <c r="AN704" s="196"/>
      <c r="AO704" s="196"/>
      <c r="AP704" s="195"/>
      <c r="AQ704" s="194"/>
      <c r="AR704" s="193"/>
      <c r="AS704" s="192"/>
      <c r="AT704" s="192"/>
      <c r="AU704" s="192"/>
      <c r="AV704" s="192"/>
      <c r="AW704" s="191"/>
      <c r="AX704" s="190" t="s">
        <v>72</v>
      </c>
      <c r="AY704" s="184"/>
    </row>
    <row r="705" spans="2:51">
      <c r="B705" s="185">
        <v>2183</v>
      </c>
      <c r="C705" s="189">
        <v>114305</v>
      </c>
      <c r="D705" s="185" t="s">
        <v>989</v>
      </c>
      <c r="E705" s="185" t="s">
        <v>2003</v>
      </c>
      <c r="F705" s="185" t="s">
        <v>1506</v>
      </c>
      <c r="G705" s="185"/>
      <c r="H705" s="185"/>
      <c r="I705" s="188">
        <v>1</v>
      </c>
      <c r="J705" s="185"/>
      <c r="K705" s="188">
        <v>0</v>
      </c>
      <c r="L705" s="185" t="s">
        <v>1507</v>
      </c>
      <c r="M705" s="185"/>
      <c r="N705" s="185" t="s">
        <v>2199</v>
      </c>
      <c r="O705" s="185" t="s">
        <v>2184</v>
      </c>
      <c r="P705" s="185"/>
      <c r="Q705" s="185"/>
      <c r="R705" s="185"/>
      <c r="S705" s="186">
        <v>40933</v>
      </c>
      <c r="T705" s="186">
        <v>40933</v>
      </c>
      <c r="U705" s="185" t="s">
        <v>1508</v>
      </c>
      <c r="V705" s="185">
        <v>500</v>
      </c>
      <c r="W705" s="185">
        <v>14110</v>
      </c>
      <c r="X705" s="187">
        <v>561.34</v>
      </c>
      <c r="Y705" s="185">
        <v>14116</v>
      </c>
      <c r="Z705" s="187">
        <v>561.34</v>
      </c>
      <c r="AA705" s="187">
        <v>0</v>
      </c>
      <c r="AB705" s="187">
        <v>0</v>
      </c>
      <c r="AC705" s="187">
        <v>0</v>
      </c>
      <c r="AD705" s="185">
        <v>70260</v>
      </c>
      <c r="AE705" s="187">
        <v>0</v>
      </c>
      <c r="AF705" s="187">
        <v>0</v>
      </c>
      <c r="AG705" s="187">
        <v>0</v>
      </c>
      <c r="AH705" s="185" t="s">
        <v>989</v>
      </c>
      <c r="AI705" s="185"/>
      <c r="AJ705" s="185"/>
      <c r="AK705" s="185" t="s">
        <v>45</v>
      </c>
      <c r="AL705" s="185" t="s">
        <v>2267</v>
      </c>
      <c r="AM705" s="185" t="s">
        <v>2269</v>
      </c>
      <c r="AN705" s="196"/>
      <c r="AO705" s="196"/>
      <c r="AP705" s="195"/>
      <c r="AQ705" s="194"/>
      <c r="AR705" s="193"/>
      <c r="AS705" s="192"/>
      <c r="AT705" s="192"/>
      <c r="AU705" s="192"/>
      <c r="AV705" s="192"/>
      <c r="AW705" s="191"/>
      <c r="AX705" s="190" t="s">
        <v>72</v>
      </c>
      <c r="AY705" s="184"/>
    </row>
    <row r="706" spans="2:51">
      <c r="B706" s="185">
        <v>2183</v>
      </c>
      <c r="C706" s="189">
        <v>114304</v>
      </c>
      <c r="D706" s="185" t="s">
        <v>989</v>
      </c>
      <c r="E706" s="185" t="s">
        <v>2003</v>
      </c>
      <c r="F706" s="185" t="s">
        <v>1509</v>
      </c>
      <c r="G706" s="185"/>
      <c r="H706" s="185"/>
      <c r="I706" s="188">
        <v>1</v>
      </c>
      <c r="J706" s="185"/>
      <c r="K706" s="188">
        <v>0</v>
      </c>
      <c r="L706" s="185"/>
      <c r="M706" s="185"/>
      <c r="N706" s="185" t="s">
        <v>2198</v>
      </c>
      <c r="O706" s="185" t="s">
        <v>2184</v>
      </c>
      <c r="P706" s="185"/>
      <c r="Q706" s="185"/>
      <c r="R706" s="185"/>
      <c r="S706" s="186">
        <v>40878</v>
      </c>
      <c r="T706" s="186">
        <v>40878</v>
      </c>
      <c r="U706" s="185" t="s">
        <v>1510</v>
      </c>
      <c r="V706" s="185">
        <v>500</v>
      </c>
      <c r="W706" s="185">
        <v>14070</v>
      </c>
      <c r="X706" s="187">
        <v>9520.6</v>
      </c>
      <c r="Y706" s="185">
        <v>14076</v>
      </c>
      <c r="Z706" s="187">
        <v>9520.6</v>
      </c>
      <c r="AA706" s="187">
        <v>0</v>
      </c>
      <c r="AB706" s="187">
        <v>0</v>
      </c>
      <c r="AC706" s="187">
        <v>0</v>
      </c>
      <c r="AD706" s="185">
        <v>51260</v>
      </c>
      <c r="AE706" s="187">
        <v>0</v>
      </c>
      <c r="AF706" s="187">
        <v>0</v>
      </c>
      <c r="AG706" s="187">
        <v>0</v>
      </c>
      <c r="AH706" s="185" t="s">
        <v>989</v>
      </c>
      <c r="AI706" s="185"/>
      <c r="AJ706" s="185"/>
      <c r="AK706" s="185" t="s">
        <v>45</v>
      </c>
      <c r="AL706" s="185" t="s">
        <v>2267</v>
      </c>
      <c r="AM706" s="185" t="s">
        <v>2269</v>
      </c>
      <c r="AN706" s="196"/>
      <c r="AO706" s="196"/>
      <c r="AP706" s="195"/>
      <c r="AQ706" s="194"/>
      <c r="AR706" s="193"/>
      <c r="AS706" s="192"/>
      <c r="AT706" s="192"/>
      <c r="AU706" s="192"/>
      <c r="AV706" s="192"/>
      <c r="AW706" s="191"/>
      <c r="AX706" s="190" t="s">
        <v>72</v>
      </c>
      <c r="AY706" s="184"/>
    </row>
    <row r="707" spans="2:51">
      <c r="B707" s="185">
        <v>2183</v>
      </c>
      <c r="C707" s="189">
        <v>114302</v>
      </c>
      <c r="D707" s="185" t="s">
        <v>989</v>
      </c>
      <c r="E707" s="185" t="s">
        <v>2003</v>
      </c>
      <c r="F707" s="185" t="s">
        <v>1512</v>
      </c>
      <c r="G707" s="185"/>
      <c r="H707" s="185"/>
      <c r="I707" s="188">
        <v>134</v>
      </c>
      <c r="J707" s="185"/>
      <c r="K707" s="188">
        <v>0</v>
      </c>
      <c r="L707" s="185" t="s">
        <v>1513</v>
      </c>
      <c r="M707" s="185"/>
      <c r="N707" s="185" t="s">
        <v>2190</v>
      </c>
      <c r="O707" s="185" t="s">
        <v>2184</v>
      </c>
      <c r="P707" s="185"/>
      <c r="Q707" s="185"/>
      <c r="R707" s="185"/>
      <c r="S707" s="186">
        <v>40750</v>
      </c>
      <c r="T707" s="186">
        <v>40750</v>
      </c>
      <c r="U707" s="185" t="s">
        <v>1514</v>
      </c>
      <c r="V707" s="185">
        <v>700</v>
      </c>
      <c r="W707" s="185">
        <v>14050</v>
      </c>
      <c r="X707" s="187">
        <v>7370.3</v>
      </c>
      <c r="Y707" s="185">
        <v>14056</v>
      </c>
      <c r="Z707" s="187">
        <v>7370.3</v>
      </c>
      <c r="AA707" s="187">
        <v>0</v>
      </c>
      <c r="AB707" s="187">
        <v>0</v>
      </c>
      <c r="AC707" s="187">
        <v>0</v>
      </c>
      <c r="AD707" s="185">
        <v>54260</v>
      </c>
      <c r="AE707" s="187">
        <v>0</v>
      </c>
      <c r="AF707" s="187">
        <v>0</v>
      </c>
      <c r="AG707" s="187">
        <v>0</v>
      </c>
      <c r="AH707" s="185" t="s">
        <v>989</v>
      </c>
      <c r="AI707" s="185"/>
      <c r="AJ707" s="185"/>
      <c r="AK707" s="185" t="s">
        <v>45</v>
      </c>
      <c r="AL707" s="185" t="s">
        <v>2267</v>
      </c>
      <c r="AM707" s="185" t="s">
        <v>2269</v>
      </c>
      <c r="AN707" s="196"/>
      <c r="AO707" s="196"/>
      <c r="AP707" s="195"/>
      <c r="AQ707" s="194"/>
      <c r="AR707" s="193"/>
      <c r="AS707" s="192"/>
      <c r="AT707" s="192"/>
      <c r="AU707" s="192"/>
      <c r="AV707" s="192"/>
      <c r="AW707" s="191"/>
      <c r="AX707" s="190" t="s">
        <v>72</v>
      </c>
      <c r="AY707" s="184"/>
    </row>
    <row r="708" spans="2:51">
      <c r="B708" s="185">
        <v>2183</v>
      </c>
      <c r="C708" s="189">
        <v>114301</v>
      </c>
      <c r="D708" s="185" t="s">
        <v>989</v>
      </c>
      <c r="E708" s="185" t="s">
        <v>2003</v>
      </c>
      <c r="F708" s="185" t="s">
        <v>1515</v>
      </c>
      <c r="G708" s="185"/>
      <c r="H708" s="185"/>
      <c r="I708" s="188">
        <v>55</v>
      </c>
      <c r="J708" s="185"/>
      <c r="K708" s="188">
        <v>0</v>
      </c>
      <c r="L708" s="185" t="s">
        <v>1513</v>
      </c>
      <c r="M708" s="185"/>
      <c r="N708" s="185" t="s">
        <v>2190</v>
      </c>
      <c r="O708" s="185" t="s">
        <v>2184</v>
      </c>
      <c r="P708" s="185"/>
      <c r="Q708" s="185"/>
      <c r="R708" s="185"/>
      <c r="S708" s="186">
        <v>40750</v>
      </c>
      <c r="T708" s="186">
        <v>40750</v>
      </c>
      <c r="U708" s="185" t="s">
        <v>1514</v>
      </c>
      <c r="V708" s="185">
        <v>700</v>
      </c>
      <c r="W708" s="185">
        <v>14050</v>
      </c>
      <c r="X708" s="187">
        <v>3921.9</v>
      </c>
      <c r="Y708" s="185">
        <v>14056</v>
      </c>
      <c r="Z708" s="187">
        <v>3921.9</v>
      </c>
      <c r="AA708" s="187">
        <v>0</v>
      </c>
      <c r="AB708" s="187">
        <v>0</v>
      </c>
      <c r="AC708" s="187">
        <v>0</v>
      </c>
      <c r="AD708" s="185">
        <v>54260</v>
      </c>
      <c r="AE708" s="187">
        <v>0</v>
      </c>
      <c r="AF708" s="187">
        <v>0</v>
      </c>
      <c r="AG708" s="187">
        <v>0</v>
      </c>
      <c r="AH708" s="185" t="s">
        <v>989</v>
      </c>
      <c r="AI708" s="185"/>
      <c r="AJ708" s="185"/>
      <c r="AK708" s="185" t="s">
        <v>45</v>
      </c>
      <c r="AL708" s="185" t="s">
        <v>2267</v>
      </c>
      <c r="AM708" s="185" t="s">
        <v>2269</v>
      </c>
      <c r="AN708" s="196"/>
      <c r="AO708" s="196"/>
      <c r="AP708" s="195"/>
      <c r="AQ708" s="194"/>
      <c r="AR708" s="193"/>
      <c r="AS708" s="192"/>
      <c r="AT708" s="192"/>
      <c r="AU708" s="192"/>
      <c r="AV708" s="192"/>
      <c r="AW708" s="191"/>
      <c r="AX708" s="190" t="s">
        <v>72</v>
      </c>
      <c r="AY708" s="184"/>
    </row>
    <row r="709" spans="2:51">
      <c r="B709" s="185">
        <v>2183</v>
      </c>
      <c r="C709" s="189">
        <v>114300</v>
      </c>
      <c r="D709" s="185" t="s">
        <v>989</v>
      </c>
      <c r="E709" s="185" t="s">
        <v>2003</v>
      </c>
      <c r="F709" s="185" t="s">
        <v>1516</v>
      </c>
      <c r="G709" s="185"/>
      <c r="H709" s="185"/>
      <c r="I709" s="188">
        <v>41</v>
      </c>
      <c r="J709" s="185"/>
      <c r="K709" s="188">
        <v>0</v>
      </c>
      <c r="L709" s="185" t="s">
        <v>1513</v>
      </c>
      <c r="M709" s="185"/>
      <c r="N709" s="185" t="s">
        <v>2190</v>
      </c>
      <c r="O709" s="185" t="s">
        <v>2184</v>
      </c>
      <c r="P709" s="185"/>
      <c r="Q709" s="185"/>
      <c r="R709" s="185"/>
      <c r="S709" s="186">
        <v>40750</v>
      </c>
      <c r="T709" s="186">
        <v>40750</v>
      </c>
      <c r="U709" s="185" t="s">
        <v>1514</v>
      </c>
      <c r="V709" s="185">
        <v>700</v>
      </c>
      <c r="W709" s="185">
        <v>14050</v>
      </c>
      <c r="X709" s="187">
        <v>1994.82</v>
      </c>
      <c r="Y709" s="185">
        <v>14056</v>
      </c>
      <c r="Z709" s="187">
        <v>1994.82</v>
      </c>
      <c r="AA709" s="187">
        <v>0</v>
      </c>
      <c r="AB709" s="187">
        <v>0</v>
      </c>
      <c r="AC709" s="187">
        <v>0</v>
      </c>
      <c r="AD709" s="185">
        <v>54260</v>
      </c>
      <c r="AE709" s="187">
        <v>0</v>
      </c>
      <c r="AF709" s="187">
        <v>0</v>
      </c>
      <c r="AG709" s="187">
        <v>0</v>
      </c>
      <c r="AH709" s="185" t="s">
        <v>989</v>
      </c>
      <c r="AI709" s="185"/>
      <c r="AJ709" s="185"/>
      <c r="AK709" s="185" t="s">
        <v>45</v>
      </c>
      <c r="AL709" s="185" t="s">
        <v>2267</v>
      </c>
      <c r="AM709" s="185" t="s">
        <v>2269</v>
      </c>
      <c r="AN709" s="196"/>
      <c r="AO709" s="196"/>
      <c r="AP709" s="195"/>
      <c r="AQ709" s="194"/>
      <c r="AR709" s="193"/>
      <c r="AS709" s="192"/>
      <c r="AT709" s="192"/>
      <c r="AU709" s="192"/>
      <c r="AV709" s="192"/>
      <c r="AW709" s="191"/>
      <c r="AX709" s="190" t="s">
        <v>72</v>
      </c>
      <c r="AY709" s="184"/>
    </row>
    <row r="710" spans="2:51">
      <c r="B710" s="185">
        <v>2183</v>
      </c>
      <c r="C710" s="189">
        <v>114299</v>
      </c>
      <c r="D710" s="185" t="s">
        <v>989</v>
      </c>
      <c r="E710" s="185" t="s">
        <v>2003</v>
      </c>
      <c r="F710" s="185" t="s">
        <v>1517</v>
      </c>
      <c r="G710" s="185"/>
      <c r="H710" s="185"/>
      <c r="I710" s="188">
        <v>1</v>
      </c>
      <c r="J710" s="185"/>
      <c r="K710" s="188">
        <v>0</v>
      </c>
      <c r="L710" s="185" t="s">
        <v>1145</v>
      </c>
      <c r="M710" s="185"/>
      <c r="N710" s="185" t="s">
        <v>2199</v>
      </c>
      <c r="O710" s="185" t="s">
        <v>2184</v>
      </c>
      <c r="P710" s="185"/>
      <c r="Q710" s="185"/>
      <c r="R710" s="185"/>
      <c r="S710" s="186">
        <v>40724</v>
      </c>
      <c r="T710" s="186">
        <v>40724</v>
      </c>
      <c r="U710" s="185" t="s">
        <v>1518</v>
      </c>
      <c r="V710" s="185">
        <v>300</v>
      </c>
      <c r="W710" s="185">
        <v>14110</v>
      </c>
      <c r="X710" s="187">
        <v>535.20000000000005</v>
      </c>
      <c r="Y710" s="185">
        <v>14116</v>
      </c>
      <c r="Z710" s="187">
        <v>535.20000000000005</v>
      </c>
      <c r="AA710" s="187">
        <v>0</v>
      </c>
      <c r="AB710" s="187">
        <v>0</v>
      </c>
      <c r="AC710" s="187">
        <v>0</v>
      </c>
      <c r="AD710" s="185">
        <v>70260</v>
      </c>
      <c r="AE710" s="187">
        <v>0</v>
      </c>
      <c r="AF710" s="187">
        <v>0</v>
      </c>
      <c r="AG710" s="187">
        <v>0</v>
      </c>
      <c r="AH710" s="185" t="s">
        <v>989</v>
      </c>
      <c r="AI710" s="185"/>
      <c r="AJ710" s="185"/>
      <c r="AK710" s="185" t="s">
        <v>45</v>
      </c>
      <c r="AL710" s="185" t="s">
        <v>2267</v>
      </c>
      <c r="AM710" s="185" t="s">
        <v>2269</v>
      </c>
      <c r="AN710" s="196"/>
      <c r="AO710" s="196"/>
      <c r="AP710" s="195"/>
      <c r="AQ710" s="194"/>
      <c r="AR710" s="193"/>
      <c r="AS710" s="192"/>
      <c r="AT710" s="192"/>
      <c r="AU710" s="192"/>
      <c r="AV710" s="192"/>
      <c r="AW710" s="191"/>
      <c r="AX710" s="190" t="s">
        <v>72</v>
      </c>
      <c r="AY710" s="184"/>
    </row>
    <row r="711" spans="2:51">
      <c r="B711" s="185">
        <v>2183</v>
      </c>
      <c r="C711" s="189">
        <v>114298</v>
      </c>
      <c r="D711" s="185" t="s">
        <v>989</v>
      </c>
      <c r="E711" s="185" t="s">
        <v>2003</v>
      </c>
      <c r="F711" s="185" t="s">
        <v>1519</v>
      </c>
      <c r="G711" s="185"/>
      <c r="H711" s="185"/>
      <c r="I711" s="188">
        <v>1</v>
      </c>
      <c r="J711" s="185"/>
      <c r="K711" s="188">
        <v>0</v>
      </c>
      <c r="L711" s="185" t="s">
        <v>1145</v>
      </c>
      <c r="M711" s="185"/>
      <c r="N711" s="185" t="s">
        <v>2199</v>
      </c>
      <c r="O711" s="185" t="s">
        <v>2184</v>
      </c>
      <c r="P711" s="185"/>
      <c r="Q711" s="185"/>
      <c r="R711" s="185"/>
      <c r="S711" s="186">
        <v>40724</v>
      </c>
      <c r="T711" s="186">
        <v>40724</v>
      </c>
      <c r="U711" s="185" t="s">
        <v>1520</v>
      </c>
      <c r="V711" s="185">
        <v>300</v>
      </c>
      <c r="W711" s="185">
        <v>14110</v>
      </c>
      <c r="X711" s="187">
        <v>535.20000000000005</v>
      </c>
      <c r="Y711" s="185">
        <v>14116</v>
      </c>
      <c r="Z711" s="187">
        <v>535.20000000000005</v>
      </c>
      <c r="AA711" s="187">
        <v>0</v>
      </c>
      <c r="AB711" s="187">
        <v>0</v>
      </c>
      <c r="AC711" s="187">
        <v>0</v>
      </c>
      <c r="AD711" s="185">
        <v>70260</v>
      </c>
      <c r="AE711" s="187">
        <v>0</v>
      </c>
      <c r="AF711" s="187">
        <v>0</v>
      </c>
      <c r="AG711" s="187">
        <v>0</v>
      </c>
      <c r="AH711" s="185" t="s">
        <v>989</v>
      </c>
      <c r="AI711" s="185"/>
      <c r="AJ711" s="185"/>
      <c r="AK711" s="185" t="s">
        <v>45</v>
      </c>
      <c r="AL711" s="185" t="s">
        <v>2267</v>
      </c>
      <c r="AM711" s="185" t="s">
        <v>2269</v>
      </c>
      <c r="AN711" s="196"/>
      <c r="AO711" s="196"/>
      <c r="AP711" s="195"/>
      <c r="AQ711" s="194"/>
      <c r="AR711" s="193"/>
      <c r="AS711" s="192"/>
      <c r="AT711" s="192"/>
      <c r="AU711" s="192"/>
      <c r="AV711" s="192"/>
      <c r="AW711" s="191"/>
      <c r="AX711" s="190" t="s">
        <v>72</v>
      </c>
      <c r="AY711" s="184"/>
    </row>
    <row r="712" spans="2:51">
      <c r="B712" s="185">
        <v>2183</v>
      </c>
      <c r="C712" s="189">
        <v>114297</v>
      </c>
      <c r="D712" s="185" t="s">
        <v>989</v>
      </c>
      <c r="E712" s="185" t="s">
        <v>2003</v>
      </c>
      <c r="F712" s="185" t="s">
        <v>1521</v>
      </c>
      <c r="G712" s="185"/>
      <c r="H712" s="185"/>
      <c r="I712" s="188">
        <v>212</v>
      </c>
      <c r="J712" s="185"/>
      <c r="K712" s="188">
        <v>0</v>
      </c>
      <c r="L712" s="185" t="s">
        <v>1513</v>
      </c>
      <c r="M712" s="185"/>
      <c r="N712" s="185" t="s">
        <v>2190</v>
      </c>
      <c r="O712" s="185" t="s">
        <v>2184</v>
      </c>
      <c r="P712" s="185"/>
      <c r="Q712" s="185"/>
      <c r="R712" s="185"/>
      <c r="S712" s="186">
        <v>40725</v>
      </c>
      <c r="T712" s="186">
        <v>40725</v>
      </c>
      <c r="U712" s="185" t="s">
        <v>1514</v>
      </c>
      <c r="V712" s="185">
        <v>700</v>
      </c>
      <c r="W712" s="185">
        <v>14050</v>
      </c>
      <c r="X712" s="187">
        <v>11660.46</v>
      </c>
      <c r="Y712" s="185">
        <v>14056</v>
      </c>
      <c r="Z712" s="187">
        <v>11660.46</v>
      </c>
      <c r="AA712" s="187">
        <v>0</v>
      </c>
      <c r="AB712" s="187">
        <v>0</v>
      </c>
      <c r="AC712" s="187">
        <v>0</v>
      </c>
      <c r="AD712" s="185">
        <v>54260</v>
      </c>
      <c r="AE712" s="187">
        <v>0</v>
      </c>
      <c r="AF712" s="187">
        <v>0</v>
      </c>
      <c r="AG712" s="187">
        <v>0</v>
      </c>
      <c r="AH712" s="185" t="s">
        <v>989</v>
      </c>
      <c r="AI712" s="185"/>
      <c r="AJ712" s="185"/>
      <c r="AK712" s="185" t="s">
        <v>45</v>
      </c>
      <c r="AL712" s="185" t="s">
        <v>2267</v>
      </c>
      <c r="AM712" s="185" t="s">
        <v>2269</v>
      </c>
      <c r="AN712" s="196"/>
      <c r="AO712" s="196"/>
      <c r="AP712" s="195"/>
      <c r="AQ712" s="194"/>
      <c r="AR712" s="193"/>
      <c r="AS712" s="192"/>
      <c r="AT712" s="192"/>
      <c r="AU712" s="192"/>
      <c r="AV712" s="192"/>
      <c r="AW712" s="191"/>
      <c r="AX712" s="190" t="s">
        <v>72</v>
      </c>
      <c r="AY712" s="184"/>
    </row>
    <row r="713" spans="2:51">
      <c r="B713" s="185">
        <v>2183</v>
      </c>
      <c r="C713" s="189">
        <v>114292</v>
      </c>
      <c r="D713" s="185" t="s">
        <v>989</v>
      </c>
      <c r="E713" s="185" t="s">
        <v>2003</v>
      </c>
      <c r="F713" s="185" t="s">
        <v>1523</v>
      </c>
      <c r="G713" s="185"/>
      <c r="H713" s="185"/>
      <c r="I713" s="188">
        <v>4</v>
      </c>
      <c r="J713" s="185"/>
      <c r="K713" s="188">
        <v>0</v>
      </c>
      <c r="L713" s="185"/>
      <c r="M713" s="185"/>
      <c r="N713" s="185" t="s">
        <v>2190</v>
      </c>
      <c r="O713" s="185" t="s">
        <v>2184</v>
      </c>
      <c r="P713" s="185"/>
      <c r="Q713" s="185" t="s">
        <v>2193</v>
      </c>
      <c r="R713" s="185" t="s">
        <v>2192</v>
      </c>
      <c r="S713" s="186">
        <v>39755</v>
      </c>
      <c r="T713" s="186">
        <v>39755</v>
      </c>
      <c r="U713" s="185"/>
      <c r="V713" s="185">
        <v>700</v>
      </c>
      <c r="W713" s="185">
        <v>14050</v>
      </c>
      <c r="X713" s="187">
        <v>78000</v>
      </c>
      <c r="Y713" s="185">
        <v>14056</v>
      </c>
      <c r="Z713" s="187">
        <v>78000</v>
      </c>
      <c r="AA713" s="187">
        <v>0</v>
      </c>
      <c r="AB713" s="187">
        <v>0</v>
      </c>
      <c r="AC713" s="187">
        <v>0</v>
      </c>
      <c r="AD713" s="185">
        <v>54260</v>
      </c>
      <c r="AE713" s="187">
        <v>0</v>
      </c>
      <c r="AF713" s="187">
        <v>0</v>
      </c>
      <c r="AG713" s="187">
        <v>0</v>
      </c>
      <c r="AH713" s="185" t="s">
        <v>994</v>
      </c>
      <c r="AI713" s="185" t="s">
        <v>1050</v>
      </c>
      <c r="AJ713" s="185" t="s">
        <v>1296</v>
      </c>
      <c r="AK713" s="185" t="s">
        <v>45</v>
      </c>
      <c r="AL713" s="185" t="s">
        <v>2267</v>
      </c>
      <c r="AM713" s="185" t="s">
        <v>2269</v>
      </c>
      <c r="AN713" s="196"/>
      <c r="AO713" s="196"/>
      <c r="AP713" s="195"/>
      <c r="AQ713" s="194"/>
      <c r="AR713" s="193"/>
      <c r="AS713" s="192"/>
      <c r="AT713" s="192"/>
      <c r="AU713" s="192"/>
      <c r="AV713" s="192"/>
      <c r="AW713" s="191"/>
      <c r="AX713" s="190" t="s">
        <v>72</v>
      </c>
      <c r="AY713" s="184"/>
    </row>
    <row r="714" spans="2:51">
      <c r="B714" s="185">
        <v>2183</v>
      </c>
      <c r="C714" s="189">
        <v>114291</v>
      </c>
      <c r="D714" s="185" t="s">
        <v>989</v>
      </c>
      <c r="E714" s="185" t="s">
        <v>2003</v>
      </c>
      <c r="F714" s="185" t="s">
        <v>1199</v>
      </c>
      <c r="G714" s="185"/>
      <c r="H714" s="185"/>
      <c r="I714" s="188">
        <v>9</v>
      </c>
      <c r="J714" s="185"/>
      <c r="K714" s="188">
        <v>0</v>
      </c>
      <c r="L714" s="185"/>
      <c r="M714" s="185"/>
      <c r="N714" s="185" t="s">
        <v>2190</v>
      </c>
      <c r="O714" s="185" t="s">
        <v>2184</v>
      </c>
      <c r="P714" s="185"/>
      <c r="Q714" s="185" t="s">
        <v>2194</v>
      </c>
      <c r="R714" s="185" t="s">
        <v>2195</v>
      </c>
      <c r="S714" s="186">
        <v>39755</v>
      </c>
      <c r="T714" s="186">
        <v>39755</v>
      </c>
      <c r="U714" s="185"/>
      <c r="V714" s="185">
        <v>700</v>
      </c>
      <c r="W714" s="185">
        <v>14050</v>
      </c>
      <c r="X714" s="187">
        <v>452.14</v>
      </c>
      <c r="Y714" s="185">
        <v>14056</v>
      </c>
      <c r="Z714" s="187">
        <v>452.14</v>
      </c>
      <c r="AA714" s="187">
        <v>0</v>
      </c>
      <c r="AB714" s="187">
        <v>0</v>
      </c>
      <c r="AC714" s="187">
        <v>0</v>
      </c>
      <c r="AD714" s="185">
        <v>54260</v>
      </c>
      <c r="AE714" s="187">
        <v>0</v>
      </c>
      <c r="AF714" s="187">
        <v>0</v>
      </c>
      <c r="AG714" s="187">
        <v>0</v>
      </c>
      <c r="AH714" s="185" t="s">
        <v>994</v>
      </c>
      <c r="AI714" s="185" t="s">
        <v>1050</v>
      </c>
      <c r="AJ714" s="185" t="s">
        <v>1296</v>
      </c>
      <c r="AK714" s="185" t="s">
        <v>45</v>
      </c>
      <c r="AL714" s="185" t="s">
        <v>2267</v>
      </c>
      <c r="AM714" s="185" t="s">
        <v>2269</v>
      </c>
      <c r="AN714" s="196"/>
      <c r="AO714" s="196"/>
      <c r="AP714" s="195"/>
      <c r="AQ714" s="194"/>
      <c r="AR714" s="193"/>
      <c r="AS714" s="192"/>
      <c r="AT714" s="192"/>
      <c r="AU714" s="192"/>
      <c r="AV714" s="192"/>
      <c r="AW714" s="191"/>
      <c r="AX714" s="190" t="s">
        <v>72</v>
      </c>
      <c r="AY714" s="184"/>
    </row>
    <row r="715" spans="2:51">
      <c r="B715" s="185">
        <v>2183</v>
      </c>
      <c r="C715" s="189">
        <v>114290</v>
      </c>
      <c r="D715" s="185" t="s">
        <v>989</v>
      </c>
      <c r="E715" s="185" t="s">
        <v>2003</v>
      </c>
      <c r="F715" s="185" t="s">
        <v>1524</v>
      </c>
      <c r="G715" s="185"/>
      <c r="H715" s="185"/>
      <c r="I715" s="188">
        <v>1</v>
      </c>
      <c r="J715" s="185" t="s">
        <v>1525</v>
      </c>
      <c r="K715" s="188">
        <v>2006</v>
      </c>
      <c r="L715" s="185" t="s">
        <v>1139</v>
      </c>
      <c r="M715" s="185" t="s">
        <v>1415</v>
      </c>
      <c r="N715" s="185" t="s">
        <v>2183</v>
      </c>
      <c r="O715" s="185" t="s">
        <v>2184</v>
      </c>
      <c r="P715" s="185" t="s">
        <v>2185</v>
      </c>
      <c r="Q715" s="185"/>
      <c r="R715" s="185"/>
      <c r="S715" s="186">
        <v>40666</v>
      </c>
      <c r="T715" s="186">
        <v>40666</v>
      </c>
      <c r="U715" s="185" t="s">
        <v>1526</v>
      </c>
      <c r="V715" s="185">
        <v>300</v>
      </c>
      <c r="W715" s="185">
        <v>14040</v>
      </c>
      <c r="X715" s="187">
        <v>22311.09</v>
      </c>
      <c r="Y715" s="185">
        <v>14046</v>
      </c>
      <c r="Z715" s="187">
        <v>22311.09</v>
      </c>
      <c r="AA715" s="187">
        <v>0</v>
      </c>
      <c r="AB715" s="187">
        <v>0</v>
      </c>
      <c r="AC715" s="187">
        <v>0</v>
      </c>
      <c r="AD715" s="185">
        <v>51260</v>
      </c>
      <c r="AE715" s="187">
        <v>0</v>
      </c>
      <c r="AF715" s="187">
        <v>0</v>
      </c>
      <c r="AG715" s="187">
        <v>0</v>
      </c>
      <c r="AH715" s="185" t="s">
        <v>989</v>
      </c>
      <c r="AI715" s="185"/>
      <c r="AJ715" s="185">
        <v>6047</v>
      </c>
      <c r="AK715" s="185" t="s">
        <v>45</v>
      </c>
      <c r="AL715" s="185" t="s">
        <v>2267</v>
      </c>
      <c r="AM715" s="185" t="s">
        <v>2269</v>
      </c>
      <c r="AN715" s="196"/>
      <c r="AO715" s="196"/>
      <c r="AP715" s="195"/>
      <c r="AQ715" s="194"/>
      <c r="AR715" s="193"/>
      <c r="AS715" s="192"/>
      <c r="AT715" s="192"/>
      <c r="AU715" s="192"/>
      <c r="AV715" s="192"/>
      <c r="AW715" s="191"/>
      <c r="AX715" s="190" t="s">
        <v>72</v>
      </c>
      <c r="AY715" s="184"/>
    </row>
    <row r="716" spans="2:51">
      <c r="B716" s="185">
        <v>2183</v>
      </c>
      <c r="C716" s="189">
        <v>114288</v>
      </c>
      <c r="D716" s="185" t="s">
        <v>989</v>
      </c>
      <c r="E716" s="185" t="s">
        <v>2003</v>
      </c>
      <c r="F716" s="185" t="s">
        <v>1527</v>
      </c>
      <c r="G716" s="185"/>
      <c r="H716" s="185"/>
      <c r="I716" s="188">
        <v>1</v>
      </c>
      <c r="J716" s="185"/>
      <c r="K716" s="188">
        <v>0</v>
      </c>
      <c r="L716" s="185" t="s">
        <v>788</v>
      </c>
      <c r="M716" s="185"/>
      <c r="N716" s="185" t="s">
        <v>2198</v>
      </c>
      <c r="O716" s="185" t="s">
        <v>2184</v>
      </c>
      <c r="P716" s="185"/>
      <c r="Q716" s="185"/>
      <c r="R716" s="185"/>
      <c r="S716" s="186">
        <v>40025</v>
      </c>
      <c r="T716" s="186">
        <v>40025</v>
      </c>
      <c r="U716" s="185" t="s">
        <v>1528</v>
      </c>
      <c r="V716" s="185">
        <v>500</v>
      </c>
      <c r="W716" s="185">
        <v>14070</v>
      </c>
      <c r="X716" s="187">
        <v>8065.49</v>
      </c>
      <c r="Y716" s="185">
        <v>14076</v>
      </c>
      <c r="Z716" s="187">
        <v>8065.49</v>
      </c>
      <c r="AA716" s="187">
        <v>0</v>
      </c>
      <c r="AB716" s="187">
        <v>0</v>
      </c>
      <c r="AC716" s="187">
        <v>0</v>
      </c>
      <c r="AD716" s="185">
        <v>51260</v>
      </c>
      <c r="AE716" s="187">
        <v>0</v>
      </c>
      <c r="AF716" s="187">
        <v>0</v>
      </c>
      <c r="AG716" s="187">
        <v>0</v>
      </c>
      <c r="AH716" s="185" t="s">
        <v>989</v>
      </c>
      <c r="AI716" s="185"/>
      <c r="AJ716" s="185"/>
      <c r="AK716" s="185" t="s">
        <v>45</v>
      </c>
      <c r="AL716" s="185" t="s">
        <v>2267</v>
      </c>
      <c r="AM716" s="185" t="s">
        <v>2269</v>
      </c>
      <c r="AN716" s="196"/>
      <c r="AO716" s="196"/>
      <c r="AP716" s="195"/>
      <c r="AQ716" s="194"/>
      <c r="AR716" s="193"/>
      <c r="AS716" s="192"/>
      <c r="AT716" s="192"/>
      <c r="AU716" s="192"/>
      <c r="AV716" s="192"/>
      <c r="AW716" s="191"/>
      <c r="AX716" s="190" t="s">
        <v>72</v>
      </c>
      <c r="AY716" s="184"/>
    </row>
    <row r="717" spans="2:51">
      <c r="B717" s="185">
        <v>2183</v>
      </c>
      <c r="C717" s="189">
        <v>114287</v>
      </c>
      <c r="D717" s="185" t="s">
        <v>989</v>
      </c>
      <c r="E717" s="185" t="s">
        <v>2003</v>
      </c>
      <c r="F717" s="185" t="s">
        <v>1529</v>
      </c>
      <c r="G717" s="185"/>
      <c r="H717" s="185"/>
      <c r="I717" s="188">
        <v>1</v>
      </c>
      <c r="J717" s="185"/>
      <c r="K717" s="188">
        <v>0</v>
      </c>
      <c r="L717" s="185" t="s">
        <v>788</v>
      </c>
      <c r="M717" s="185"/>
      <c r="N717" s="185" t="s">
        <v>2198</v>
      </c>
      <c r="O717" s="185" t="s">
        <v>2184</v>
      </c>
      <c r="P717" s="185"/>
      <c r="Q717" s="185"/>
      <c r="R717" s="185"/>
      <c r="S717" s="186">
        <v>39994</v>
      </c>
      <c r="T717" s="186">
        <v>39994</v>
      </c>
      <c r="U717" s="185" t="s">
        <v>1528</v>
      </c>
      <c r="V717" s="185">
        <v>500</v>
      </c>
      <c r="W717" s="185">
        <v>14070</v>
      </c>
      <c r="X717" s="187">
        <v>25464.65</v>
      </c>
      <c r="Y717" s="185">
        <v>14076</v>
      </c>
      <c r="Z717" s="187">
        <v>25464.65</v>
      </c>
      <c r="AA717" s="187">
        <v>0</v>
      </c>
      <c r="AB717" s="187">
        <v>0</v>
      </c>
      <c r="AC717" s="187">
        <v>0</v>
      </c>
      <c r="AD717" s="185">
        <v>51260</v>
      </c>
      <c r="AE717" s="187">
        <v>0</v>
      </c>
      <c r="AF717" s="187">
        <v>0</v>
      </c>
      <c r="AG717" s="187">
        <v>0</v>
      </c>
      <c r="AH717" s="185" t="s">
        <v>989</v>
      </c>
      <c r="AI717" s="185"/>
      <c r="AJ717" s="185"/>
      <c r="AK717" s="185" t="s">
        <v>45</v>
      </c>
      <c r="AL717" s="185" t="s">
        <v>2267</v>
      </c>
      <c r="AM717" s="185" t="s">
        <v>2269</v>
      </c>
      <c r="AN717" s="196"/>
      <c r="AO717" s="196"/>
      <c r="AP717" s="195"/>
      <c r="AQ717" s="194"/>
      <c r="AR717" s="193"/>
      <c r="AS717" s="192"/>
      <c r="AT717" s="192"/>
      <c r="AU717" s="192"/>
      <c r="AV717" s="192"/>
      <c r="AW717" s="191"/>
      <c r="AX717" s="190" t="s">
        <v>72</v>
      </c>
      <c r="AY717" s="184"/>
    </row>
    <row r="718" spans="2:51" hidden="1">
      <c r="B718" s="185">
        <v>2183</v>
      </c>
      <c r="C718" s="189">
        <v>114286</v>
      </c>
      <c r="D718" s="185">
        <v>114285</v>
      </c>
      <c r="E718" s="185" t="s">
        <v>2003</v>
      </c>
      <c r="F718" s="185" t="s">
        <v>1530</v>
      </c>
      <c r="G718" s="185"/>
      <c r="H718" s="185"/>
      <c r="I718" s="188">
        <v>1</v>
      </c>
      <c r="J718" s="185"/>
      <c r="K718" s="188">
        <v>0</v>
      </c>
      <c r="L718" s="185" t="s">
        <v>1442</v>
      </c>
      <c r="M718" s="185"/>
      <c r="N718" s="185" t="s">
        <v>2183</v>
      </c>
      <c r="O718" s="185" t="s">
        <v>2184</v>
      </c>
      <c r="P718" s="185" t="s">
        <v>1028</v>
      </c>
      <c r="Q718" s="185"/>
      <c r="R718" s="185"/>
      <c r="S718" s="186">
        <v>41590</v>
      </c>
      <c r="T718" s="186">
        <v>41590</v>
      </c>
      <c r="U718" s="185" t="s">
        <v>1531</v>
      </c>
      <c r="V718" s="185">
        <v>300</v>
      </c>
      <c r="W718" s="185">
        <v>14040</v>
      </c>
      <c r="X718" s="187">
        <v>8837.86</v>
      </c>
      <c r="Y718" s="185">
        <v>14046</v>
      </c>
      <c r="Z718" s="187">
        <v>8837.86</v>
      </c>
      <c r="AA718" s="187">
        <v>0</v>
      </c>
      <c r="AB718" s="187">
        <v>0</v>
      </c>
      <c r="AC718" s="187">
        <v>0</v>
      </c>
      <c r="AD718" s="185">
        <v>51260</v>
      </c>
      <c r="AE718" s="187">
        <v>0</v>
      </c>
      <c r="AF718" s="187">
        <v>0</v>
      </c>
      <c r="AG718" s="187">
        <v>0</v>
      </c>
      <c r="AH718" s="185" t="s">
        <v>989</v>
      </c>
      <c r="AI718" s="185"/>
      <c r="AJ718" s="185"/>
      <c r="AK718" s="185" t="s">
        <v>45</v>
      </c>
      <c r="AL718" s="185" t="s">
        <v>2267</v>
      </c>
      <c r="AM718" s="185" t="s">
        <v>2269</v>
      </c>
      <c r="AN718" s="196"/>
      <c r="AO718" s="196"/>
      <c r="AP718" s="195"/>
      <c r="AQ718" s="194"/>
      <c r="AR718" s="193"/>
      <c r="AS718" s="192"/>
      <c r="AT718" s="192"/>
      <c r="AU718" s="192"/>
      <c r="AV718" s="192"/>
      <c r="AW718" s="191"/>
      <c r="AX718" s="190" t="s">
        <v>72</v>
      </c>
      <c r="AY718" s="184"/>
    </row>
    <row r="719" spans="2:51">
      <c r="B719" s="185">
        <v>2183</v>
      </c>
      <c r="C719" s="189">
        <v>114285</v>
      </c>
      <c r="D719" s="185" t="s">
        <v>989</v>
      </c>
      <c r="E719" s="185" t="s">
        <v>2003</v>
      </c>
      <c r="F719" s="185" t="s">
        <v>1532</v>
      </c>
      <c r="G719" s="185"/>
      <c r="H719" s="185"/>
      <c r="I719" s="188">
        <v>1</v>
      </c>
      <c r="J719" s="185" t="s">
        <v>1533</v>
      </c>
      <c r="K719" s="188">
        <v>2008</v>
      </c>
      <c r="L719" s="185" t="s">
        <v>1511</v>
      </c>
      <c r="M719" s="185" t="s">
        <v>1534</v>
      </c>
      <c r="N719" s="185" t="s">
        <v>2183</v>
      </c>
      <c r="O719" s="185" t="s">
        <v>2184</v>
      </c>
      <c r="P719" s="185" t="s">
        <v>287</v>
      </c>
      <c r="Q719" s="185"/>
      <c r="R719" s="185"/>
      <c r="S719" s="186">
        <v>39755</v>
      </c>
      <c r="T719" s="186">
        <v>39755</v>
      </c>
      <c r="U719" s="185"/>
      <c r="V719" s="185">
        <v>900</v>
      </c>
      <c r="W719" s="185">
        <v>14040</v>
      </c>
      <c r="X719" s="187">
        <v>106500</v>
      </c>
      <c r="Y719" s="185">
        <v>14046</v>
      </c>
      <c r="Z719" s="187">
        <v>106500</v>
      </c>
      <c r="AA719" s="187">
        <v>0</v>
      </c>
      <c r="AB719" s="187">
        <v>0</v>
      </c>
      <c r="AC719" s="187">
        <v>0</v>
      </c>
      <c r="AD719" s="185">
        <v>51260</v>
      </c>
      <c r="AE719" s="187">
        <v>0</v>
      </c>
      <c r="AF719" s="187">
        <v>0</v>
      </c>
      <c r="AG719" s="187">
        <v>0</v>
      </c>
      <c r="AH719" s="185" t="s">
        <v>994</v>
      </c>
      <c r="AI719" s="185" t="s">
        <v>1050</v>
      </c>
      <c r="AJ719" s="185">
        <v>4062</v>
      </c>
      <c r="AK719" s="185" t="s">
        <v>45</v>
      </c>
      <c r="AL719" s="185" t="s">
        <v>2267</v>
      </c>
      <c r="AM719" s="185" t="s">
        <v>2269</v>
      </c>
      <c r="AN719" s="196"/>
      <c r="AO719" s="196"/>
      <c r="AP719" s="195"/>
      <c r="AQ719" s="194"/>
      <c r="AR719" s="193"/>
      <c r="AS719" s="192"/>
      <c r="AT719" s="192"/>
      <c r="AU719" s="192"/>
      <c r="AV719" s="192"/>
      <c r="AW719" s="191"/>
      <c r="AX719" s="190" t="s">
        <v>72</v>
      </c>
      <c r="AY719" s="184"/>
    </row>
    <row r="720" spans="2:51" hidden="1">
      <c r="B720" s="185">
        <v>2183</v>
      </c>
      <c r="C720" s="189">
        <v>114279</v>
      </c>
      <c r="D720" s="185">
        <v>114278</v>
      </c>
      <c r="E720" s="185" t="s">
        <v>2003</v>
      </c>
      <c r="F720" s="185" t="s">
        <v>1538</v>
      </c>
      <c r="G720" s="185"/>
      <c r="H720" s="185"/>
      <c r="I720" s="188">
        <v>1</v>
      </c>
      <c r="J720" s="185">
        <v>264787</v>
      </c>
      <c r="K720" s="188">
        <v>2000</v>
      </c>
      <c r="L720" s="185"/>
      <c r="M720" s="185"/>
      <c r="N720" s="185" t="s">
        <v>2183</v>
      </c>
      <c r="O720" s="185" t="s">
        <v>2184</v>
      </c>
      <c r="P720" s="185" t="s">
        <v>1028</v>
      </c>
      <c r="Q720" s="185"/>
      <c r="R720" s="185"/>
      <c r="S720" s="186">
        <v>39965</v>
      </c>
      <c r="T720" s="186">
        <v>39965</v>
      </c>
      <c r="U720" s="185" t="s">
        <v>1539</v>
      </c>
      <c r="V720" s="185">
        <v>300</v>
      </c>
      <c r="W720" s="185">
        <v>14040</v>
      </c>
      <c r="X720" s="187">
        <v>2915.87</v>
      </c>
      <c r="Y720" s="185">
        <v>14046</v>
      </c>
      <c r="Z720" s="187">
        <v>2915.87</v>
      </c>
      <c r="AA720" s="187">
        <v>0</v>
      </c>
      <c r="AB720" s="187">
        <v>0</v>
      </c>
      <c r="AC720" s="187">
        <v>0</v>
      </c>
      <c r="AD720" s="185">
        <v>51260</v>
      </c>
      <c r="AE720" s="187">
        <v>0</v>
      </c>
      <c r="AF720" s="187">
        <v>0</v>
      </c>
      <c r="AG720" s="187">
        <v>0</v>
      </c>
      <c r="AH720" s="185" t="s">
        <v>989</v>
      </c>
      <c r="AI720" s="185"/>
      <c r="AJ720" s="185">
        <v>1029</v>
      </c>
      <c r="AK720" s="185" t="s">
        <v>45</v>
      </c>
      <c r="AL720" s="185" t="s">
        <v>2267</v>
      </c>
      <c r="AM720" s="185" t="s">
        <v>2269</v>
      </c>
      <c r="AN720" s="196"/>
      <c r="AO720" s="196"/>
      <c r="AP720" s="195"/>
      <c r="AQ720" s="194"/>
      <c r="AR720" s="193"/>
      <c r="AS720" s="192"/>
      <c r="AT720" s="192"/>
      <c r="AU720" s="192"/>
      <c r="AV720" s="192"/>
      <c r="AW720" s="191"/>
      <c r="AX720" s="190" t="s">
        <v>72</v>
      </c>
      <c r="AY720" s="184"/>
    </row>
    <row r="721" spans="2:51">
      <c r="B721" s="185">
        <v>2183</v>
      </c>
      <c r="C721" s="189">
        <v>114278</v>
      </c>
      <c r="D721" s="185" t="s">
        <v>989</v>
      </c>
      <c r="E721" s="185" t="s">
        <v>2003</v>
      </c>
      <c r="F721" s="185" t="s">
        <v>1540</v>
      </c>
      <c r="G721" s="185"/>
      <c r="H721" s="185"/>
      <c r="I721" s="188">
        <v>1</v>
      </c>
      <c r="J721" s="185" t="s">
        <v>1541</v>
      </c>
      <c r="K721" s="188">
        <v>2000</v>
      </c>
      <c r="L721" s="185" t="s">
        <v>1308</v>
      </c>
      <c r="M721" s="185" t="s">
        <v>1267</v>
      </c>
      <c r="N721" s="185" t="s">
        <v>2183</v>
      </c>
      <c r="O721" s="185" t="s">
        <v>2184</v>
      </c>
      <c r="P721" s="185" t="s">
        <v>2186</v>
      </c>
      <c r="Q721" s="185"/>
      <c r="R721" s="185"/>
      <c r="S721" s="186">
        <v>39755</v>
      </c>
      <c r="T721" s="186">
        <v>39755</v>
      </c>
      <c r="U721" s="185"/>
      <c r="V721" s="185">
        <v>300</v>
      </c>
      <c r="W721" s="185">
        <v>14040</v>
      </c>
      <c r="X721" s="187">
        <v>43500</v>
      </c>
      <c r="Y721" s="185">
        <v>14046</v>
      </c>
      <c r="Z721" s="187">
        <v>43500</v>
      </c>
      <c r="AA721" s="187">
        <v>0</v>
      </c>
      <c r="AB721" s="187">
        <v>0</v>
      </c>
      <c r="AC721" s="187">
        <v>0</v>
      </c>
      <c r="AD721" s="185">
        <v>51260</v>
      </c>
      <c r="AE721" s="187">
        <v>0</v>
      </c>
      <c r="AF721" s="187">
        <v>0</v>
      </c>
      <c r="AG721" s="187">
        <v>0</v>
      </c>
      <c r="AH721" s="185" t="s">
        <v>994</v>
      </c>
      <c r="AI721" s="185" t="s">
        <v>1050</v>
      </c>
      <c r="AJ721" s="185">
        <v>1029</v>
      </c>
      <c r="AK721" s="185" t="s">
        <v>45</v>
      </c>
      <c r="AL721" s="185" t="s">
        <v>2267</v>
      </c>
      <c r="AM721" s="185" t="s">
        <v>2269</v>
      </c>
      <c r="AN721" s="196"/>
      <c r="AO721" s="196"/>
      <c r="AP721" s="195"/>
      <c r="AQ721" s="194"/>
      <c r="AR721" s="193"/>
      <c r="AS721" s="192"/>
      <c r="AT721" s="192"/>
      <c r="AU721" s="192"/>
      <c r="AV721" s="192"/>
      <c r="AW721" s="191"/>
      <c r="AX721" s="190" t="s">
        <v>72</v>
      </c>
      <c r="AY721" s="184"/>
    </row>
    <row r="722" spans="2:51">
      <c r="B722" s="185">
        <v>2183</v>
      </c>
      <c r="C722" s="189">
        <v>114276</v>
      </c>
      <c r="D722" s="185" t="s">
        <v>989</v>
      </c>
      <c r="E722" s="185" t="s">
        <v>2003</v>
      </c>
      <c r="F722" s="185" t="s">
        <v>1542</v>
      </c>
      <c r="G722" s="185"/>
      <c r="H722" s="185"/>
      <c r="I722" s="188">
        <v>1</v>
      </c>
      <c r="J722" s="185"/>
      <c r="K722" s="188">
        <v>0</v>
      </c>
      <c r="L722" s="185"/>
      <c r="M722" s="185"/>
      <c r="N722" s="185" t="s">
        <v>2213</v>
      </c>
      <c r="O722" s="185" t="s">
        <v>2184</v>
      </c>
      <c r="P722" s="185" t="s">
        <v>1028</v>
      </c>
      <c r="Q722" s="185"/>
      <c r="R722" s="185"/>
      <c r="S722" s="186">
        <v>39936</v>
      </c>
      <c r="T722" s="186">
        <v>39936</v>
      </c>
      <c r="U722" s="185" t="s">
        <v>1543</v>
      </c>
      <c r="V722" s="185">
        <v>300</v>
      </c>
      <c r="W722" s="185">
        <v>14030</v>
      </c>
      <c r="X722" s="187">
        <v>34320.639999999999</v>
      </c>
      <c r="Y722" s="185">
        <v>14036</v>
      </c>
      <c r="Z722" s="187">
        <v>34320.639999999999</v>
      </c>
      <c r="AA722" s="187">
        <v>0</v>
      </c>
      <c r="AB722" s="187">
        <v>0</v>
      </c>
      <c r="AC722" s="187">
        <v>0</v>
      </c>
      <c r="AD722" s="185">
        <v>51260</v>
      </c>
      <c r="AE722" s="187">
        <v>0</v>
      </c>
      <c r="AF722" s="187">
        <v>0</v>
      </c>
      <c r="AG722" s="187">
        <v>0</v>
      </c>
      <c r="AH722" s="185" t="s">
        <v>989</v>
      </c>
      <c r="AI722" s="185"/>
      <c r="AJ722" s="185"/>
      <c r="AK722" s="185" t="s">
        <v>45</v>
      </c>
      <c r="AL722" s="185" t="s">
        <v>2267</v>
      </c>
      <c r="AM722" s="185" t="s">
        <v>2269</v>
      </c>
      <c r="AN722" s="196"/>
      <c r="AO722" s="196"/>
      <c r="AP722" s="195"/>
      <c r="AQ722" s="194"/>
      <c r="AR722" s="193"/>
      <c r="AS722" s="192"/>
      <c r="AT722" s="192"/>
      <c r="AU722" s="192"/>
      <c r="AV722" s="192"/>
      <c r="AW722" s="191"/>
      <c r="AX722" s="190" t="s">
        <v>72</v>
      </c>
      <c r="AY722" s="184"/>
    </row>
    <row r="723" spans="2:51">
      <c r="B723" s="185">
        <v>2183</v>
      </c>
      <c r="C723" s="189">
        <v>114273</v>
      </c>
      <c r="D723" s="185" t="s">
        <v>989</v>
      </c>
      <c r="E723" s="185" t="s">
        <v>2003</v>
      </c>
      <c r="F723" s="185" t="s">
        <v>1544</v>
      </c>
      <c r="G723" s="185"/>
      <c r="H723" s="185"/>
      <c r="I723" s="188">
        <v>97</v>
      </c>
      <c r="J723" s="185"/>
      <c r="K723" s="188">
        <v>0</v>
      </c>
      <c r="L723" s="185"/>
      <c r="M723" s="185"/>
      <c r="N723" s="185" t="s">
        <v>2190</v>
      </c>
      <c r="O723" s="185" t="s">
        <v>2184</v>
      </c>
      <c r="P723" s="185"/>
      <c r="Q723" s="185"/>
      <c r="R723" s="185"/>
      <c r="S723" s="186">
        <v>39755</v>
      </c>
      <c r="T723" s="186">
        <v>39755</v>
      </c>
      <c r="U723" s="185"/>
      <c r="V723" s="185">
        <v>700</v>
      </c>
      <c r="W723" s="185">
        <v>14050</v>
      </c>
      <c r="X723" s="187">
        <v>9700</v>
      </c>
      <c r="Y723" s="185">
        <v>14056</v>
      </c>
      <c r="Z723" s="187">
        <v>9700</v>
      </c>
      <c r="AA723" s="187">
        <v>0</v>
      </c>
      <c r="AB723" s="187">
        <v>0</v>
      </c>
      <c r="AC723" s="187">
        <v>0</v>
      </c>
      <c r="AD723" s="185">
        <v>54260</v>
      </c>
      <c r="AE723" s="187">
        <v>0</v>
      </c>
      <c r="AF723" s="187">
        <v>0</v>
      </c>
      <c r="AG723" s="187">
        <v>0</v>
      </c>
      <c r="AH723" s="185" t="s">
        <v>994</v>
      </c>
      <c r="AI723" s="185" t="s">
        <v>1050</v>
      </c>
      <c r="AJ723" s="185" t="s">
        <v>1296</v>
      </c>
      <c r="AK723" s="185" t="s">
        <v>45</v>
      </c>
      <c r="AL723" s="185" t="s">
        <v>2267</v>
      </c>
      <c r="AM723" s="185" t="s">
        <v>2269</v>
      </c>
      <c r="AN723" s="196"/>
      <c r="AO723" s="196"/>
      <c r="AP723" s="195"/>
      <c r="AQ723" s="194"/>
      <c r="AR723" s="193"/>
      <c r="AS723" s="192"/>
      <c r="AT723" s="192"/>
      <c r="AU723" s="192"/>
      <c r="AV723" s="192"/>
      <c r="AW723" s="191"/>
      <c r="AX723" s="190" t="s">
        <v>72</v>
      </c>
      <c r="AY723" s="184"/>
    </row>
    <row r="724" spans="2:51">
      <c r="B724" s="185">
        <v>2183</v>
      </c>
      <c r="C724" s="189">
        <v>114272</v>
      </c>
      <c r="D724" s="185" t="s">
        <v>989</v>
      </c>
      <c r="E724" s="185" t="s">
        <v>2003</v>
      </c>
      <c r="F724" s="185" t="s">
        <v>1545</v>
      </c>
      <c r="G724" s="185"/>
      <c r="H724" s="185"/>
      <c r="I724" s="188">
        <v>1</v>
      </c>
      <c r="J724" s="185"/>
      <c r="K724" s="188">
        <v>0</v>
      </c>
      <c r="L724" s="185"/>
      <c r="M724" s="185"/>
      <c r="N724" s="185" t="s">
        <v>2212</v>
      </c>
      <c r="O724" s="185" t="s">
        <v>2184</v>
      </c>
      <c r="P724" s="185"/>
      <c r="Q724" s="185"/>
      <c r="R724" s="185"/>
      <c r="S724" s="186">
        <v>39755</v>
      </c>
      <c r="T724" s="186">
        <v>39755</v>
      </c>
      <c r="U724" s="185"/>
      <c r="V724" s="185">
        <v>1000</v>
      </c>
      <c r="W724" s="185">
        <v>15220</v>
      </c>
      <c r="X724" s="187">
        <v>1010555.08</v>
      </c>
      <c r="Y724" s="185">
        <v>15226</v>
      </c>
      <c r="Z724" s="187">
        <v>1010555.08</v>
      </c>
      <c r="AA724" s="187">
        <v>0</v>
      </c>
      <c r="AB724" s="187">
        <v>0</v>
      </c>
      <c r="AC724" s="187">
        <v>0</v>
      </c>
      <c r="AD724" s="185">
        <v>70264</v>
      </c>
      <c r="AE724" s="187">
        <v>0</v>
      </c>
      <c r="AF724" s="187">
        <v>0</v>
      </c>
      <c r="AG724" s="187">
        <v>0</v>
      </c>
      <c r="AH724" s="185" t="s">
        <v>994</v>
      </c>
      <c r="AI724" s="185" t="s">
        <v>1050</v>
      </c>
      <c r="AJ724" s="185" t="s">
        <v>1296</v>
      </c>
      <c r="AK724" s="185" t="s">
        <v>45</v>
      </c>
      <c r="AL724" s="185" t="s">
        <v>2267</v>
      </c>
      <c r="AM724" s="185" t="s">
        <v>2269</v>
      </c>
      <c r="AN724" s="196"/>
      <c r="AO724" s="196"/>
      <c r="AP724" s="195"/>
      <c r="AQ724" s="194"/>
      <c r="AR724" s="193"/>
      <c r="AS724" s="192"/>
      <c r="AT724" s="192"/>
      <c r="AU724" s="192"/>
      <c r="AV724" s="192"/>
      <c r="AW724" s="191"/>
      <c r="AX724" s="190" t="s">
        <v>72</v>
      </c>
      <c r="AY724" s="184"/>
    </row>
    <row r="725" spans="2:51">
      <c r="B725" s="185">
        <v>2183</v>
      </c>
      <c r="C725" s="189">
        <v>114271</v>
      </c>
      <c r="D725" s="185" t="s">
        <v>989</v>
      </c>
      <c r="E725" s="185" t="s">
        <v>2003</v>
      </c>
      <c r="F725" s="185" t="s">
        <v>1532</v>
      </c>
      <c r="G725" s="185"/>
      <c r="H725" s="185"/>
      <c r="I725" s="188">
        <v>1</v>
      </c>
      <c r="J725" s="185" t="s">
        <v>1546</v>
      </c>
      <c r="K725" s="188">
        <v>2008</v>
      </c>
      <c r="L725" s="185" t="s">
        <v>1511</v>
      </c>
      <c r="M725" s="185" t="s">
        <v>1534</v>
      </c>
      <c r="N725" s="185" t="s">
        <v>2183</v>
      </c>
      <c r="O725" s="185" t="s">
        <v>2184</v>
      </c>
      <c r="P725" s="185" t="s">
        <v>287</v>
      </c>
      <c r="Q725" s="185"/>
      <c r="R725" s="185"/>
      <c r="S725" s="186">
        <v>39755</v>
      </c>
      <c r="T725" s="186">
        <v>39755</v>
      </c>
      <c r="U725" s="185"/>
      <c r="V725" s="185">
        <v>900</v>
      </c>
      <c r="W725" s="185">
        <v>14040</v>
      </c>
      <c r="X725" s="187">
        <v>106500</v>
      </c>
      <c r="Y725" s="185">
        <v>14046</v>
      </c>
      <c r="Z725" s="187">
        <v>106500</v>
      </c>
      <c r="AA725" s="187">
        <v>0</v>
      </c>
      <c r="AB725" s="187">
        <v>0</v>
      </c>
      <c r="AC725" s="187">
        <v>0</v>
      </c>
      <c r="AD725" s="185">
        <v>51260</v>
      </c>
      <c r="AE725" s="187">
        <v>0</v>
      </c>
      <c r="AF725" s="187">
        <v>0</v>
      </c>
      <c r="AG725" s="187">
        <v>0</v>
      </c>
      <c r="AH725" s="185" t="s">
        <v>994</v>
      </c>
      <c r="AI725" s="185" t="s">
        <v>1050</v>
      </c>
      <c r="AJ725" s="185">
        <v>4059</v>
      </c>
      <c r="AK725" s="185" t="s">
        <v>45</v>
      </c>
      <c r="AL725" s="185" t="s">
        <v>2267</v>
      </c>
      <c r="AM725" s="185" t="s">
        <v>2269</v>
      </c>
      <c r="AN725" s="196"/>
      <c r="AO725" s="196"/>
      <c r="AP725" s="195"/>
      <c r="AQ725" s="194"/>
      <c r="AR725" s="193"/>
      <c r="AS725" s="192"/>
      <c r="AT725" s="192"/>
      <c r="AU725" s="192"/>
      <c r="AV725" s="192"/>
      <c r="AW725" s="191"/>
      <c r="AX725" s="190" t="s">
        <v>72</v>
      </c>
      <c r="AY725" s="184"/>
    </row>
    <row r="726" spans="2:51">
      <c r="B726" s="185">
        <v>2183</v>
      </c>
      <c r="C726" s="189">
        <v>114269</v>
      </c>
      <c r="D726" s="185" t="s">
        <v>989</v>
      </c>
      <c r="E726" s="185" t="s">
        <v>2003</v>
      </c>
      <c r="F726" s="185" t="s">
        <v>1547</v>
      </c>
      <c r="G726" s="185"/>
      <c r="H726" s="185"/>
      <c r="I726" s="188">
        <v>1</v>
      </c>
      <c r="J726" s="185" t="s">
        <v>1548</v>
      </c>
      <c r="K726" s="188">
        <v>2004</v>
      </c>
      <c r="L726" s="185" t="s">
        <v>1308</v>
      </c>
      <c r="M726" s="185" t="s">
        <v>1186</v>
      </c>
      <c r="N726" s="185" t="s">
        <v>2183</v>
      </c>
      <c r="O726" s="185" t="s">
        <v>2184</v>
      </c>
      <c r="P726" s="185" t="s">
        <v>2204</v>
      </c>
      <c r="Q726" s="185"/>
      <c r="R726" s="185"/>
      <c r="S726" s="186">
        <v>39755</v>
      </c>
      <c r="T726" s="186">
        <v>39755</v>
      </c>
      <c r="U726" s="185"/>
      <c r="V726" s="185">
        <v>500</v>
      </c>
      <c r="W726" s="185">
        <v>14040</v>
      </c>
      <c r="X726" s="187">
        <v>46500</v>
      </c>
      <c r="Y726" s="185">
        <v>14046</v>
      </c>
      <c r="Z726" s="187">
        <v>46500</v>
      </c>
      <c r="AA726" s="187">
        <v>0</v>
      </c>
      <c r="AB726" s="187">
        <v>0</v>
      </c>
      <c r="AC726" s="187">
        <v>0</v>
      </c>
      <c r="AD726" s="185">
        <v>51260</v>
      </c>
      <c r="AE726" s="187">
        <v>0</v>
      </c>
      <c r="AF726" s="187">
        <v>0</v>
      </c>
      <c r="AG726" s="187">
        <v>0</v>
      </c>
      <c r="AH726" s="185" t="s">
        <v>994</v>
      </c>
      <c r="AI726" s="185" t="s">
        <v>1050</v>
      </c>
      <c r="AJ726" s="185">
        <v>4518</v>
      </c>
      <c r="AK726" s="185" t="s">
        <v>45</v>
      </c>
      <c r="AL726" s="185" t="s">
        <v>2267</v>
      </c>
      <c r="AM726" s="185" t="s">
        <v>2269</v>
      </c>
      <c r="AN726" s="196"/>
      <c r="AO726" s="196"/>
      <c r="AP726" s="195"/>
      <c r="AQ726" s="194"/>
      <c r="AR726" s="193"/>
      <c r="AS726" s="192"/>
      <c r="AT726" s="192"/>
      <c r="AU726" s="192"/>
      <c r="AV726" s="192"/>
      <c r="AW726" s="191"/>
      <c r="AX726" s="190" t="s">
        <v>72</v>
      </c>
      <c r="AY726" s="184"/>
    </row>
    <row r="727" spans="2:51">
      <c r="B727" s="185">
        <v>2183</v>
      </c>
      <c r="C727" s="189">
        <v>114268</v>
      </c>
      <c r="D727" s="185" t="s">
        <v>989</v>
      </c>
      <c r="E727" s="185" t="s">
        <v>2003</v>
      </c>
      <c r="F727" s="185" t="s">
        <v>1537</v>
      </c>
      <c r="G727" s="185"/>
      <c r="H727" s="185"/>
      <c r="I727" s="188">
        <v>1</v>
      </c>
      <c r="J727" s="185" t="s">
        <v>1549</v>
      </c>
      <c r="K727" s="188">
        <v>2002</v>
      </c>
      <c r="L727" s="185" t="s">
        <v>1308</v>
      </c>
      <c r="M727" s="185" t="s">
        <v>1267</v>
      </c>
      <c r="N727" s="185" t="s">
        <v>2183</v>
      </c>
      <c r="O727" s="185" t="s">
        <v>2184</v>
      </c>
      <c r="P727" s="185" t="s">
        <v>2186</v>
      </c>
      <c r="Q727" s="185"/>
      <c r="R727" s="185"/>
      <c r="S727" s="186">
        <v>39755</v>
      </c>
      <c r="T727" s="186">
        <v>39755</v>
      </c>
      <c r="U727" s="185"/>
      <c r="V727" s="185">
        <v>300</v>
      </c>
      <c r="W727" s="185">
        <v>14040</v>
      </c>
      <c r="X727" s="187">
        <v>53500</v>
      </c>
      <c r="Y727" s="185">
        <v>14046</v>
      </c>
      <c r="Z727" s="187">
        <v>53500</v>
      </c>
      <c r="AA727" s="187">
        <v>0</v>
      </c>
      <c r="AB727" s="187">
        <v>0</v>
      </c>
      <c r="AC727" s="187">
        <v>0</v>
      </c>
      <c r="AD727" s="185">
        <v>51260</v>
      </c>
      <c r="AE727" s="187">
        <v>0</v>
      </c>
      <c r="AF727" s="187">
        <v>0</v>
      </c>
      <c r="AG727" s="187">
        <v>0</v>
      </c>
      <c r="AH727" s="185" t="s">
        <v>994</v>
      </c>
      <c r="AI727" s="185" t="s">
        <v>1050</v>
      </c>
      <c r="AJ727" s="185">
        <v>1036</v>
      </c>
      <c r="AK727" s="185" t="s">
        <v>45</v>
      </c>
      <c r="AL727" s="185" t="s">
        <v>2267</v>
      </c>
      <c r="AM727" s="185" t="s">
        <v>2269</v>
      </c>
      <c r="AN727" s="196"/>
      <c r="AO727" s="196"/>
      <c r="AP727" s="195"/>
      <c r="AQ727" s="194"/>
      <c r="AR727" s="193"/>
      <c r="AS727" s="192"/>
      <c r="AT727" s="192"/>
      <c r="AU727" s="192"/>
      <c r="AV727" s="192"/>
      <c r="AW727" s="191"/>
      <c r="AX727" s="190" t="s">
        <v>72</v>
      </c>
      <c r="AY727" s="184"/>
    </row>
    <row r="728" spans="2:51">
      <c r="B728" s="185">
        <v>2183</v>
      </c>
      <c r="C728" s="189">
        <v>113498</v>
      </c>
      <c r="D728" s="185" t="s">
        <v>989</v>
      </c>
      <c r="E728" s="185" t="s">
        <v>2003</v>
      </c>
      <c r="F728" s="185" t="s">
        <v>1550</v>
      </c>
      <c r="G728" s="185"/>
      <c r="H728" s="185"/>
      <c r="I728" s="188">
        <v>486</v>
      </c>
      <c r="J728" s="185"/>
      <c r="K728" s="188">
        <v>0</v>
      </c>
      <c r="L728" s="185" t="s">
        <v>1513</v>
      </c>
      <c r="M728" s="185"/>
      <c r="N728" s="185" t="s">
        <v>2190</v>
      </c>
      <c r="O728" s="185" t="s">
        <v>2184</v>
      </c>
      <c r="P728" s="185"/>
      <c r="Q728" s="185"/>
      <c r="R728" s="185"/>
      <c r="S728" s="186">
        <v>41792</v>
      </c>
      <c r="T728" s="186">
        <v>41792</v>
      </c>
      <c r="U728" s="185" t="s">
        <v>1497</v>
      </c>
      <c r="V728" s="185">
        <v>700</v>
      </c>
      <c r="W728" s="185">
        <v>14050</v>
      </c>
      <c r="X728" s="187">
        <v>28222.41</v>
      </c>
      <c r="Y728" s="185">
        <v>14056</v>
      </c>
      <c r="Z728" s="187">
        <v>28222.41</v>
      </c>
      <c r="AA728" s="187">
        <v>0</v>
      </c>
      <c r="AB728" s="187">
        <v>0</v>
      </c>
      <c r="AC728" s="187">
        <v>0</v>
      </c>
      <c r="AD728" s="185">
        <v>54260</v>
      </c>
      <c r="AE728" s="187">
        <v>0</v>
      </c>
      <c r="AF728" s="187">
        <v>0</v>
      </c>
      <c r="AG728" s="187">
        <v>0</v>
      </c>
      <c r="AH728" s="185" t="s">
        <v>989</v>
      </c>
      <c r="AI728" s="185"/>
      <c r="AJ728" s="185"/>
      <c r="AK728" s="185" t="s">
        <v>45</v>
      </c>
      <c r="AL728" s="185" t="s">
        <v>2267</v>
      </c>
      <c r="AM728" s="185" t="s">
        <v>2269</v>
      </c>
      <c r="AN728" s="196"/>
      <c r="AO728" s="196"/>
      <c r="AP728" s="195"/>
      <c r="AQ728" s="194"/>
      <c r="AR728" s="193"/>
      <c r="AS728" s="192"/>
      <c r="AT728" s="192"/>
      <c r="AU728" s="192"/>
      <c r="AV728" s="192"/>
      <c r="AW728" s="191"/>
      <c r="AX728" s="190" t="s">
        <v>72</v>
      </c>
      <c r="AY728" s="184"/>
    </row>
    <row r="729" spans="2:51">
      <c r="B729" s="185">
        <v>2183</v>
      </c>
      <c r="C729" s="189">
        <v>113497</v>
      </c>
      <c r="D729" s="185" t="s">
        <v>989</v>
      </c>
      <c r="E729" s="185" t="s">
        <v>2003</v>
      </c>
      <c r="F729" s="185" t="s">
        <v>1550</v>
      </c>
      <c r="G729" s="185"/>
      <c r="H729" s="185"/>
      <c r="I729" s="188">
        <v>486</v>
      </c>
      <c r="J729" s="185"/>
      <c r="K729" s="188">
        <v>0</v>
      </c>
      <c r="L729" s="185" t="s">
        <v>1513</v>
      </c>
      <c r="M729" s="185"/>
      <c r="N729" s="185" t="s">
        <v>2190</v>
      </c>
      <c r="O729" s="185" t="s">
        <v>2184</v>
      </c>
      <c r="P729" s="185"/>
      <c r="Q729" s="185"/>
      <c r="R729" s="185"/>
      <c r="S729" s="186">
        <v>41792</v>
      </c>
      <c r="T729" s="186">
        <v>41792</v>
      </c>
      <c r="U729" s="185" t="s">
        <v>1497</v>
      </c>
      <c r="V729" s="185">
        <v>700</v>
      </c>
      <c r="W729" s="185">
        <v>14050</v>
      </c>
      <c r="X729" s="187">
        <v>28222.41</v>
      </c>
      <c r="Y729" s="185">
        <v>14056</v>
      </c>
      <c r="Z729" s="187">
        <v>28222.41</v>
      </c>
      <c r="AA729" s="187">
        <v>0</v>
      </c>
      <c r="AB729" s="187">
        <v>0</v>
      </c>
      <c r="AC729" s="187">
        <v>0</v>
      </c>
      <c r="AD729" s="185">
        <v>54260</v>
      </c>
      <c r="AE729" s="187">
        <v>0</v>
      </c>
      <c r="AF729" s="187">
        <v>0</v>
      </c>
      <c r="AG729" s="187">
        <v>0</v>
      </c>
      <c r="AH729" s="185" t="s">
        <v>989</v>
      </c>
      <c r="AI729" s="185"/>
      <c r="AJ729" s="185"/>
      <c r="AK729" s="185" t="s">
        <v>45</v>
      </c>
      <c r="AL729" s="185" t="s">
        <v>2267</v>
      </c>
      <c r="AM729" s="185" t="s">
        <v>2269</v>
      </c>
      <c r="AN729" s="196"/>
      <c r="AO729" s="196"/>
      <c r="AP729" s="195"/>
      <c r="AQ729" s="194"/>
      <c r="AR729" s="193"/>
      <c r="AS729" s="192"/>
      <c r="AT729" s="192"/>
      <c r="AU729" s="192"/>
      <c r="AV729" s="192"/>
      <c r="AW729" s="191"/>
      <c r="AX729" s="190" t="s">
        <v>72</v>
      </c>
      <c r="AY729" s="184"/>
    </row>
    <row r="730" spans="2:51">
      <c r="B730" s="185">
        <v>2183</v>
      </c>
      <c r="C730" s="189">
        <v>113272</v>
      </c>
      <c r="D730" s="185" t="s">
        <v>989</v>
      </c>
      <c r="E730" s="185" t="s">
        <v>2003</v>
      </c>
      <c r="F730" s="185" t="s">
        <v>502</v>
      </c>
      <c r="G730" s="185"/>
      <c r="H730" s="185"/>
      <c r="I730" s="188">
        <v>2</v>
      </c>
      <c r="J730" s="185"/>
      <c r="K730" s="188">
        <v>0</v>
      </c>
      <c r="L730" s="185" t="s">
        <v>1145</v>
      </c>
      <c r="M730" s="185"/>
      <c r="N730" s="185" t="s">
        <v>2199</v>
      </c>
      <c r="O730" s="185" t="s">
        <v>2184</v>
      </c>
      <c r="P730" s="185"/>
      <c r="Q730" s="185"/>
      <c r="R730" s="185"/>
      <c r="S730" s="186">
        <v>41749</v>
      </c>
      <c r="T730" s="186">
        <v>41749</v>
      </c>
      <c r="U730" s="185" t="s">
        <v>1551</v>
      </c>
      <c r="V730" s="185">
        <v>300</v>
      </c>
      <c r="W730" s="185">
        <v>14110</v>
      </c>
      <c r="X730" s="187">
        <v>656.58</v>
      </c>
      <c r="Y730" s="185">
        <v>14116</v>
      </c>
      <c r="Z730" s="187">
        <v>656.58</v>
      </c>
      <c r="AA730" s="187">
        <v>0</v>
      </c>
      <c r="AB730" s="187">
        <v>0</v>
      </c>
      <c r="AC730" s="187">
        <v>0</v>
      </c>
      <c r="AD730" s="185">
        <v>70260</v>
      </c>
      <c r="AE730" s="187">
        <v>0</v>
      </c>
      <c r="AF730" s="187">
        <v>0</v>
      </c>
      <c r="AG730" s="187">
        <v>0</v>
      </c>
      <c r="AH730" s="185" t="s">
        <v>989</v>
      </c>
      <c r="AI730" s="185"/>
      <c r="AJ730" s="185"/>
      <c r="AK730" s="185" t="s">
        <v>45</v>
      </c>
      <c r="AL730" s="185" t="s">
        <v>2267</v>
      </c>
      <c r="AM730" s="185" t="s">
        <v>2269</v>
      </c>
      <c r="AN730" s="196"/>
      <c r="AO730" s="196"/>
      <c r="AP730" s="195"/>
      <c r="AQ730" s="194"/>
      <c r="AR730" s="193"/>
      <c r="AS730" s="192"/>
      <c r="AT730" s="192"/>
      <c r="AU730" s="192"/>
      <c r="AV730" s="192"/>
      <c r="AW730" s="191"/>
      <c r="AX730" s="190" t="s">
        <v>72</v>
      </c>
      <c r="AY730" s="184"/>
    </row>
    <row r="731" spans="2:51">
      <c r="B731" s="185">
        <v>2183</v>
      </c>
      <c r="C731" s="189">
        <v>112465</v>
      </c>
      <c r="D731" s="185" t="s">
        <v>989</v>
      </c>
      <c r="E731" s="185" t="s">
        <v>2003</v>
      </c>
      <c r="F731" s="185" t="s">
        <v>1552</v>
      </c>
      <c r="G731" s="185"/>
      <c r="H731" s="185"/>
      <c r="I731" s="188">
        <v>210</v>
      </c>
      <c r="J731" s="185"/>
      <c r="K731" s="188">
        <v>0</v>
      </c>
      <c r="L731" s="185" t="s">
        <v>1513</v>
      </c>
      <c r="M731" s="185"/>
      <c r="N731" s="185" t="s">
        <v>2190</v>
      </c>
      <c r="O731" s="185" t="s">
        <v>2184</v>
      </c>
      <c r="P731" s="185"/>
      <c r="Q731" s="185"/>
      <c r="R731" s="185"/>
      <c r="S731" s="186">
        <v>41719</v>
      </c>
      <c r="T731" s="186">
        <v>41719</v>
      </c>
      <c r="U731" s="185" t="s">
        <v>1553</v>
      </c>
      <c r="V731" s="185">
        <v>700</v>
      </c>
      <c r="W731" s="185">
        <v>14050</v>
      </c>
      <c r="X731" s="187">
        <v>9383.1</v>
      </c>
      <c r="Y731" s="185">
        <v>14056</v>
      </c>
      <c r="Z731" s="187">
        <v>9383.1</v>
      </c>
      <c r="AA731" s="187">
        <v>0</v>
      </c>
      <c r="AB731" s="187">
        <v>0</v>
      </c>
      <c r="AC731" s="187">
        <v>0</v>
      </c>
      <c r="AD731" s="185">
        <v>54260</v>
      </c>
      <c r="AE731" s="187">
        <v>0</v>
      </c>
      <c r="AF731" s="187">
        <v>0</v>
      </c>
      <c r="AG731" s="187">
        <v>0</v>
      </c>
      <c r="AH731" s="185" t="s">
        <v>989</v>
      </c>
      <c r="AI731" s="185"/>
      <c r="AJ731" s="185"/>
      <c r="AK731" s="185" t="s">
        <v>45</v>
      </c>
      <c r="AL731" s="185" t="s">
        <v>2267</v>
      </c>
      <c r="AM731" s="185" t="s">
        <v>2269</v>
      </c>
      <c r="AN731" s="196"/>
      <c r="AO731" s="196"/>
      <c r="AP731" s="195"/>
      <c r="AQ731" s="194"/>
      <c r="AR731" s="193"/>
      <c r="AS731" s="192"/>
      <c r="AT731" s="192"/>
      <c r="AU731" s="192"/>
      <c r="AV731" s="192"/>
      <c r="AW731" s="191"/>
      <c r="AX731" s="190" t="s">
        <v>72</v>
      </c>
      <c r="AY731" s="184"/>
    </row>
    <row r="732" spans="2:51">
      <c r="B732" s="185">
        <v>2183</v>
      </c>
      <c r="C732" s="189">
        <v>112464</v>
      </c>
      <c r="D732" s="185" t="s">
        <v>989</v>
      </c>
      <c r="E732" s="185" t="s">
        <v>2003</v>
      </c>
      <c r="F732" s="185" t="s">
        <v>1554</v>
      </c>
      <c r="G732" s="185"/>
      <c r="H732" s="185"/>
      <c r="I732" s="188">
        <v>810</v>
      </c>
      <c r="J732" s="185"/>
      <c r="K732" s="188">
        <v>0</v>
      </c>
      <c r="L732" s="185" t="s">
        <v>1513</v>
      </c>
      <c r="M732" s="185"/>
      <c r="N732" s="185" t="s">
        <v>2190</v>
      </c>
      <c r="O732" s="185" t="s">
        <v>2184</v>
      </c>
      <c r="P732" s="185"/>
      <c r="Q732" s="185"/>
      <c r="R732" s="185"/>
      <c r="S732" s="186">
        <v>41719</v>
      </c>
      <c r="T732" s="186">
        <v>41719</v>
      </c>
      <c r="U732" s="185" t="s">
        <v>1553</v>
      </c>
      <c r="V732" s="185">
        <v>700</v>
      </c>
      <c r="W732" s="185">
        <v>14050</v>
      </c>
      <c r="X732" s="187">
        <v>30408.07</v>
      </c>
      <c r="Y732" s="185">
        <v>14056</v>
      </c>
      <c r="Z732" s="187">
        <v>30408.07</v>
      </c>
      <c r="AA732" s="187">
        <v>0</v>
      </c>
      <c r="AB732" s="187">
        <v>0</v>
      </c>
      <c r="AC732" s="187">
        <v>0</v>
      </c>
      <c r="AD732" s="185">
        <v>54260</v>
      </c>
      <c r="AE732" s="187">
        <v>0</v>
      </c>
      <c r="AF732" s="187">
        <v>0</v>
      </c>
      <c r="AG732" s="187">
        <v>0</v>
      </c>
      <c r="AH732" s="185" t="s">
        <v>989</v>
      </c>
      <c r="AI732" s="185"/>
      <c r="AJ732" s="185"/>
      <c r="AK732" s="185" t="s">
        <v>45</v>
      </c>
      <c r="AL732" s="185" t="s">
        <v>2267</v>
      </c>
      <c r="AM732" s="185" t="s">
        <v>2269</v>
      </c>
      <c r="AN732" s="196"/>
      <c r="AO732" s="196"/>
      <c r="AP732" s="195"/>
      <c r="AQ732" s="194"/>
      <c r="AR732" s="193"/>
      <c r="AS732" s="192"/>
      <c r="AT732" s="192"/>
      <c r="AU732" s="192"/>
      <c r="AV732" s="192"/>
      <c r="AW732" s="191"/>
      <c r="AX732" s="190" t="s">
        <v>72</v>
      </c>
      <c r="AY732" s="184"/>
    </row>
    <row r="733" spans="2:51">
      <c r="B733" s="185">
        <v>2183</v>
      </c>
      <c r="C733" s="189">
        <v>112463</v>
      </c>
      <c r="D733" s="185" t="s">
        <v>989</v>
      </c>
      <c r="E733" s="185" t="s">
        <v>2003</v>
      </c>
      <c r="F733" s="185" t="s">
        <v>1555</v>
      </c>
      <c r="G733" s="185"/>
      <c r="H733" s="185"/>
      <c r="I733" s="188">
        <v>324</v>
      </c>
      <c r="J733" s="185"/>
      <c r="K733" s="188">
        <v>0</v>
      </c>
      <c r="L733" s="185" t="s">
        <v>1513</v>
      </c>
      <c r="M733" s="185"/>
      <c r="N733" s="185" t="s">
        <v>2190</v>
      </c>
      <c r="O733" s="185" t="s">
        <v>2184</v>
      </c>
      <c r="P733" s="185"/>
      <c r="Q733" s="185"/>
      <c r="R733" s="185"/>
      <c r="S733" s="186">
        <v>41719</v>
      </c>
      <c r="T733" s="186">
        <v>41719</v>
      </c>
      <c r="U733" s="185" t="s">
        <v>1553</v>
      </c>
      <c r="V733" s="185">
        <v>700</v>
      </c>
      <c r="W733" s="185">
        <v>14050</v>
      </c>
      <c r="X733" s="187">
        <v>16748.46</v>
      </c>
      <c r="Y733" s="185">
        <v>14056</v>
      </c>
      <c r="Z733" s="187">
        <v>16748.46</v>
      </c>
      <c r="AA733" s="187">
        <v>0</v>
      </c>
      <c r="AB733" s="187">
        <v>0</v>
      </c>
      <c r="AC733" s="187">
        <v>0</v>
      </c>
      <c r="AD733" s="185">
        <v>54260</v>
      </c>
      <c r="AE733" s="187">
        <v>0</v>
      </c>
      <c r="AF733" s="187">
        <v>0</v>
      </c>
      <c r="AG733" s="187">
        <v>0</v>
      </c>
      <c r="AH733" s="185" t="s">
        <v>989</v>
      </c>
      <c r="AI733" s="185"/>
      <c r="AJ733" s="185"/>
      <c r="AK733" s="185" t="s">
        <v>45</v>
      </c>
      <c r="AL733" s="185" t="s">
        <v>2267</v>
      </c>
      <c r="AM733" s="185" t="s">
        <v>2269</v>
      </c>
      <c r="AN733" s="196"/>
      <c r="AO733" s="196"/>
      <c r="AP733" s="195"/>
      <c r="AQ733" s="194"/>
      <c r="AR733" s="193"/>
      <c r="AS733" s="192"/>
      <c r="AT733" s="192"/>
      <c r="AU733" s="192"/>
      <c r="AV733" s="192"/>
      <c r="AW733" s="191"/>
      <c r="AX733" s="190" t="s">
        <v>72</v>
      </c>
      <c r="AY733" s="184"/>
    </row>
    <row r="734" spans="2:51">
      <c r="B734" s="185">
        <v>2183</v>
      </c>
      <c r="C734" s="189">
        <v>112462</v>
      </c>
      <c r="D734" s="185" t="s">
        <v>989</v>
      </c>
      <c r="E734" s="185" t="s">
        <v>2003</v>
      </c>
      <c r="F734" s="185" t="s">
        <v>1556</v>
      </c>
      <c r="G734" s="185"/>
      <c r="H734" s="185"/>
      <c r="I734" s="188">
        <v>243</v>
      </c>
      <c r="J734" s="185"/>
      <c r="K734" s="188">
        <v>0</v>
      </c>
      <c r="L734" s="185" t="s">
        <v>1513</v>
      </c>
      <c r="M734" s="185"/>
      <c r="N734" s="185" t="s">
        <v>2190</v>
      </c>
      <c r="O734" s="185" t="s">
        <v>2184</v>
      </c>
      <c r="P734" s="185"/>
      <c r="Q734" s="185"/>
      <c r="R734" s="185"/>
      <c r="S734" s="186">
        <v>41719</v>
      </c>
      <c r="T734" s="186">
        <v>41719</v>
      </c>
      <c r="U734" s="185" t="s">
        <v>1553</v>
      </c>
      <c r="V734" s="185">
        <v>700</v>
      </c>
      <c r="W734" s="185">
        <v>14050</v>
      </c>
      <c r="X734" s="187">
        <v>14855.45</v>
      </c>
      <c r="Y734" s="185">
        <v>14056</v>
      </c>
      <c r="Z734" s="187">
        <v>14855.45</v>
      </c>
      <c r="AA734" s="187">
        <v>0</v>
      </c>
      <c r="AB734" s="187">
        <v>0</v>
      </c>
      <c r="AC734" s="187">
        <v>0</v>
      </c>
      <c r="AD734" s="185">
        <v>54260</v>
      </c>
      <c r="AE734" s="187">
        <v>0</v>
      </c>
      <c r="AF734" s="187">
        <v>0</v>
      </c>
      <c r="AG734" s="187">
        <v>0</v>
      </c>
      <c r="AH734" s="185" t="s">
        <v>989</v>
      </c>
      <c r="AI734" s="185"/>
      <c r="AJ734" s="185"/>
      <c r="AK734" s="185" t="s">
        <v>45</v>
      </c>
      <c r="AL734" s="185" t="s">
        <v>2267</v>
      </c>
      <c r="AM734" s="185" t="s">
        <v>2269</v>
      </c>
      <c r="AN734" s="196"/>
      <c r="AO734" s="196"/>
      <c r="AP734" s="195"/>
      <c r="AQ734" s="194"/>
      <c r="AR734" s="193"/>
      <c r="AS734" s="192"/>
      <c r="AT734" s="192"/>
      <c r="AU734" s="192"/>
      <c r="AV734" s="192"/>
      <c r="AW734" s="191"/>
      <c r="AX734" s="190" t="s">
        <v>72</v>
      </c>
      <c r="AY734" s="184"/>
    </row>
    <row r="735" spans="2:51">
      <c r="B735" s="185">
        <v>2183</v>
      </c>
      <c r="C735" s="189">
        <v>112461</v>
      </c>
      <c r="D735" s="185" t="s">
        <v>989</v>
      </c>
      <c r="E735" s="185" t="s">
        <v>2003</v>
      </c>
      <c r="F735" s="185" t="s">
        <v>1556</v>
      </c>
      <c r="G735" s="185"/>
      <c r="H735" s="185"/>
      <c r="I735" s="188">
        <v>486</v>
      </c>
      <c r="J735" s="185"/>
      <c r="K735" s="188">
        <v>0</v>
      </c>
      <c r="L735" s="185" t="s">
        <v>1513</v>
      </c>
      <c r="M735" s="185"/>
      <c r="N735" s="185" t="s">
        <v>2190</v>
      </c>
      <c r="O735" s="185" t="s">
        <v>2184</v>
      </c>
      <c r="P735" s="185"/>
      <c r="Q735" s="185"/>
      <c r="R735" s="185"/>
      <c r="S735" s="186">
        <v>41719</v>
      </c>
      <c r="T735" s="186">
        <v>41719</v>
      </c>
      <c r="U735" s="185" t="s">
        <v>1553</v>
      </c>
      <c r="V735" s="185">
        <v>700</v>
      </c>
      <c r="W735" s="185">
        <v>14050</v>
      </c>
      <c r="X735" s="187">
        <v>27064.05</v>
      </c>
      <c r="Y735" s="185">
        <v>14056</v>
      </c>
      <c r="Z735" s="187">
        <v>27064.05</v>
      </c>
      <c r="AA735" s="187">
        <v>0</v>
      </c>
      <c r="AB735" s="187">
        <v>0</v>
      </c>
      <c r="AC735" s="187">
        <v>0</v>
      </c>
      <c r="AD735" s="185">
        <v>54260</v>
      </c>
      <c r="AE735" s="187">
        <v>0</v>
      </c>
      <c r="AF735" s="187">
        <v>0</v>
      </c>
      <c r="AG735" s="187">
        <v>0</v>
      </c>
      <c r="AH735" s="185" t="s">
        <v>989</v>
      </c>
      <c r="AI735" s="185"/>
      <c r="AJ735" s="185"/>
      <c r="AK735" s="185" t="s">
        <v>45</v>
      </c>
      <c r="AL735" s="185" t="s">
        <v>2267</v>
      </c>
      <c r="AM735" s="185" t="s">
        <v>2269</v>
      </c>
      <c r="AN735" s="196"/>
      <c r="AO735" s="196"/>
      <c r="AP735" s="195"/>
      <c r="AQ735" s="194"/>
      <c r="AR735" s="193"/>
      <c r="AS735" s="192"/>
      <c r="AT735" s="192"/>
      <c r="AU735" s="192"/>
      <c r="AV735" s="192"/>
      <c r="AW735" s="191"/>
      <c r="AX735" s="190" t="s">
        <v>72</v>
      </c>
      <c r="AY735" s="184"/>
    </row>
    <row r="736" spans="2:51" hidden="1">
      <c r="B736" s="185">
        <v>2183</v>
      </c>
      <c r="C736" s="189">
        <v>111304</v>
      </c>
      <c r="D736" s="185">
        <v>111303</v>
      </c>
      <c r="E736" s="185" t="s">
        <v>2003</v>
      </c>
      <c r="F736" s="185" t="s">
        <v>1557</v>
      </c>
      <c r="G736" s="185"/>
      <c r="H736" s="185"/>
      <c r="I736" s="188">
        <v>1</v>
      </c>
      <c r="J736" s="185"/>
      <c r="K736" s="188">
        <v>0</v>
      </c>
      <c r="L736" s="185" t="s">
        <v>1558</v>
      </c>
      <c r="M736" s="185"/>
      <c r="N736" s="185" t="s">
        <v>2183</v>
      </c>
      <c r="O736" s="185" t="s">
        <v>2184</v>
      </c>
      <c r="P736" s="185" t="s">
        <v>1028</v>
      </c>
      <c r="Q736" s="185"/>
      <c r="R736" s="185"/>
      <c r="S736" s="186">
        <v>41640</v>
      </c>
      <c r="T736" s="186">
        <v>41640</v>
      </c>
      <c r="U736" s="185" t="s">
        <v>1559</v>
      </c>
      <c r="V736" s="185">
        <v>1000</v>
      </c>
      <c r="W736" s="185">
        <v>14040</v>
      </c>
      <c r="X736" s="187">
        <v>904.93</v>
      </c>
      <c r="Y736" s="185">
        <v>14046</v>
      </c>
      <c r="Z736" s="187">
        <v>904.93</v>
      </c>
      <c r="AA736" s="187">
        <v>0</v>
      </c>
      <c r="AB736" s="187">
        <v>0</v>
      </c>
      <c r="AC736" s="187">
        <v>0</v>
      </c>
      <c r="AD736" s="185">
        <v>51260</v>
      </c>
      <c r="AE736" s="187">
        <v>0</v>
      </c>
      <c r="AF736" s="187">
        <v>0</v>
      </c>
      <c r="AG736" s="187">
        <v>0</v>
      </c>
      <c r="AH736" s="185" t="s">
        <v>989</v>
      </c>
      <c r="AI736" s="185"/>
      <c r="AJ736" s="185"/>
      <c r="AK736" s="185" t="s">
        <v>45</v>
      </c>
      <c r="AL736" s="185" t="s">
        <v>2267</v>
      </c>
      <c r="AM736" s="185" t="s">
        <v>2269</v>
      </c>
      <c r="AN736" s="196"/>
      <c r="AO736" s="196"/>
      <c r="AP736" s="195"/>
      <c r="AQ736" s="194"/>
      <c r="AR736" s="193"/>
      <c r="AS736" s="192"/>
      <c r="AT736" s="192"/>
      <c r="AU736" s="192"/>
      <c r="AV736" s="192"/>
      <c r="AW736" s="191"/>
      <c r="AX736" s="190" t="s">
        <v>72</v>
      </c>
      <c r="AY736" s="184"/>
    </row>
    <row r="737" spans="2:51">
      <c r="B737" s="185">
        <v>2183</v>
      </c>
      <c r="C737" s="189">
        <v>111303</v>
      </c>
      <c r="D737" s="185" t="s">
        <v>989</v>
      </c>
      <c r="E737" s="185" t="s">
        <v>2003</v>
      </c>
      <c r="F737" s="185" t="s">
        <v>1560</v>
      </c>
      <c r="G737" s="185"/>
      <c r="H737" s="185"/>
      <c r="I737" s="188">
        <v>1</v>
      </c>
      <c r="J737" s="185" t="s">
        <v>1561</v>
      </c>
      <c r="K737" s="188">
        <v>2014</v>
      </c>
      <c r="L737" s="185" t="s">
        <v>2210</v>
      </c>
      <c r="M737" s="185" t="s">
        <v>2211</v>
      </c>
      <c r="N737" s="185" t="s">
        <v>2183</v>
      </c>
      <c r="O737" s="185" t="s">
        <v>2184</v>
      </c>
      <c r="P737" s="185" t="s">
        <v>2187</v>
      </c>
      <c r="Q737" s="185"/>
      <c r="R737" s="185"/>
      <c r="S737" s="186">
        <v>41639</v>
      </c>
      <c r="T737" s="186">
        <v>41639</v>
      </c>
      <c r="U737" s="185" t="s">
        <v>1559</v>
      </c>
      <c r="V737" s="185">
        <v>1000</v>
      </c>
      <c r="W737" s="185">
        <v>14040</v>
      </c>
      <c r="X737" s="187">
        <v>323070.82</v>
      </c>
      <c r="Y737" s="185">
        <v>14046</v>
      </c>
      <c r="Z737" s="187">
        <v>323070.82</v>
      </c>
      <c r="AA737" s="187">
        <v>0</v>
      </c>
      <c r="AB737" s="187">
        <v>0</v>
      </c>
      <c r="AC737" s="187">
        <v>0</v>
      </c>
      <c r="AD737" s="185">
        <v>51260</v>
      </c>
      <c r="AE737" s="187">
        <v>0</v>
      </c>
      <c r="AF737" s="187">
        <v>0</v>
      </c>
      <c r="AG737" s="187">
        <v>0</v>
      </c>
      <c r="AH737" s="185" t="s">
        <v>989</v>
      </c>
      <c r="AI737" s="185"/>
      <c r="AJ737" s="185">
        <v>3542</v>
      </c>
      <c r="AK737" s="185" t="s">
        <v>45</v>
      </c>
      <c r="AL737" s="185" t="s">
        <v>2267</v>
      </c>
      <c r="AM737" s="185" t="s">
        <v>2269</v>
      </c>
      <c r="AN737" s="196"/>
      <c r="AO737" s="196"/>
      <c r="AP737" s="195"/>
      <c r="AQ737" s="194"/>
      <c r="AR737" s="193"/>
      <c r="AS737" s="192"/>
      <c r="AT737" s="192"/>
      <c r="AU737" s="192"/>
      <c r="AV737" s="192"/>
      <c r="AW737" s="191"/>
      <c r="AX737" s="190" t="s">
        <v>72</v>
      </c>
      <c r="AY737" s="184"/>
    </row>
    <row r="738" spans="2:51">
      <c r="B738" s="185">
        <v>2183</v>
      </c>
      <c r="C738" s="189">
        <v>110576</v>
      </c>
      <c r="D738" s="185" t="s">
        <v>989</v>
      </c>
      <c r="E738" s="185" t="s">
        <v>2003</v>
      </c>
      <c r="F738" s="185" t="s">
        <v>1562</v>
      </c>
      <c r="G738" s="185"/>
      <c r="H738" s="185"/>
      <c r="I738" s="188">
        <v>1</v>
      </c>
      <c r="J738" s="185" t="s">
        <v>1563</v>
      </c>
      <c r="K738" s="188">
        <v>2014</v>
      </c>
      <c r="L738" s="185" t="s">
        <v>1564</v>
      </c>
      <c r="M738" s="185" t="s">
        <v>1565</v>
      </c>
      <c r="N738" s="185" t="s">
        <v>2183</v>
      </c>
      <c r="O738" s="185" t="s">
        <v>2184</v>
      </c>
      <c r="P738" s="185" t="s">
        <v>1566</v>
      </c>
      <c r="Q738" s="185"/>
      <c r="R738" s="185"/>
      <c r="S738" s="186">
        <v>41640</v>
      </c>
      <c r="T738" s="186">
        <v>41640</v>
      </c>
      <c r="U738" s="185" t="s">
        <v>1567</v>
      </c>
      <c r="V738" s="185">
        <v>1000</v>
      </c>
      <c r="W738" s="185">
        <v>14040</v>
      </c>
      <c r="X738" s="187">
        <v>98824.34</v>
      </c>
      <c r="Y738" s="185">
        <v>14046</v>
      </c>
      <c r="Z738" s="187">
        <v>98824.34</v>
      </c>
      <c r="AA738" s="187">
        <v>0</v>
      </c>
      <c r="AB738" s="187">
        <v>0</v>
      </c>
      <c r="AC738" s="187">
        <v>0</v>
      </c>
      <c r="AD738" s="185">
        <v>51260</v>
      </c>
      <c r="AE738" s="187">
        <v>0</v>
      </c>
      <c r="AF738" s="187">
        <v>0</v>
      </c>
      <c r="AG738" s="187">
        <v>0</v>
      </c>
      <c r="AH738" s="185" t="s">
        <v>989</v>
      </c>
      <c r="AI738" s="185"/>
      <c r="AJ738" s="185">
        <v>9228</v>
      </c>
      <c r="AK738" s="185" t="s">
        <v>45</v>
      </c>
      <c r="AL738" s="185" t="s">
        <v>2267</v>
      </c>
      <c r="AM738" s="185" t="s">
        <v>2269</v>
      </c>
      <c r="AN738" s="196"/>
      <c r="AO738" s="196"/>
      <c r="AP738" s="195"/>
      <c r="AQ738" s="194"/>
      <c r="AR738" s="193"/>
      <c r="AS738" s="192"/>
      <c r="AT738" s="192"/>
      <c r="AU738" s="192"/>
      <c r="AV738" s="192"/>
      <c r="AW738" s="191"/>
      <c r="AX738" s="190" t="s">
        <v>72</v>
      </c>
      <c r="AY738" s="184"/>
    </row>
    <row r="739" spans="2:51" hidden="1">
      <c r="B739" s="185">
        <v>2183</v>
      </c>
      <c r="C739" s="189">
        <v>109992</v>
      </c>
      <c r="D739" s="185">
        <v>61120</v>
      </c>
      <c r="E739" s="185" t="s">
        <v>2003</v>
      </c>
      <c r="F739" s="185" t="s">
        <v>1568</v>
      </c>
      <c r="G739" s="185"/>
      <c r="H739" s="185"/>
      <c r="I739" s="188">
        <v>1</v>
      </c>
      <c r="J739" s="185"/>
      <c r="K739" s="188">
        <v>0</v>
      </c>
      <c r="L739" s="185" t="s">
        <v>1569</v>
      </c>
      <c r="M739" s="185"/>
      <c r="N739" s="185" t="s">
        <v>2183</v>
      </c>
      <c r="O739" s="185" t="s">
        <v>2184</v>
      </c>
      <c r="P739" s="185" t="s">
        <v>1028</v>
      </c>
      <c r="Q739" s="185"/>
      <c r="R739" s="185"/>
      <c r="S739" s="186">
        <v>41639</v>
      </c>
      <c r="T739" s="186">
        <v>41639</v>
      </c>
      <c r="U739" s="185" t="s">
        <v>1570</v>
      </c>
      <c r="V739" s="185">
        <v>300</v>
      </c>
      <c r="W739" s="185">
        <v>14040</v>
      </c>
      <c r="X739" s="187">
        <v>24943.74</v>
      </c>
      <c r="Y739" s="185">
        <v>14046</v>
      </c>
      <c r="Z739" s="187">
        <v>24943.74</v>
      </c>
      <c r="AA739" s="187">
        <v>0</v>
      </c>
      <c r="AB739" s="187">
        <v>0</v>
      </c>
      <c r="AC739" s="187">
        <v>0</v>
      </c>
      <c r="AD739" s="185">
        <v>51260</v>
      </c>
      <c r="AE739" s="187">
        <v>0</v>
      </c>
      <c r="AF739" s="187">
        <v>0</v>
      </c>
      <c r="AG739" s="187">
        <v>0</v>
      </c>
      <c r="AH739" s="185" t="s">
        <v>989</v>
      </c>
      <c r="AI739" s="185"/>
      <c r="AJ739" s="185"/>
      <c r="AK739" s="185" t="s">
        <v>45</v>
      </c>
      <c r="AL739" s="185" t="s">
        <v>2267</v>
      </c>
      <c r="AM739" s="185" t="s">
        <v>2269</v>
      </c>
      <c r="AN739" s="196"/>
      <c r="AO739" s="196"/>
      <c r="AP739" s="195"/>
      <c r="AQ739" s="194"/>
      <c r="AR739" s="193"/>
      <c r="AS739" s="192"/>
      <c r="AT739" s="192"/>
      <c r="AU739" s="192"/>
      <c r="AV739" s="192"/>
      <c r="AW739" s="191"/>
      <c r="AX739" s="190" t="s">
        <v>72</v>
      </c>
      <c r="AY739" s="184"/>
    </row>
    <row r="740" spans="2:51">
      <c r="B740" s="185">
        <v>2183</v>
      </c>
      <c r="C740" s="189">
        <v>109582</v>
      </c>
      <c r="D740" s="185" t="s">
        <v>989</v>
      </c>
      <c r="E740" s="185" t="s">
        <v>2003</v>
      </c>
      <c r="F740" s="185" t="s">
        <v>1571</v>
      </c>
      <c r="G740" s="185"/>
      <c r="H740" s="185"/>
      <c r="I740" s="188">
        <v>1</v>
      </c>
      <c r="J740" s="185"/>
      <c r="K740" s="188">
        <v>0</v>
      </c>
      <c r="L740" s="185"/>
      <c r="M740" s="185"/>
      <c r="N740" s="185" t="s">
        <v>2199</v>
      </c>
      <c r="O740" s="185" t="s">
        <v>2184</v>
      </c>
      <c r="P740" s="185"/>
      <c r="Q740" s="185"/>
      <c r="R740" s="185"/>
      <c r="S740" s="186">
        <v>41626</v>
      </c>
      <c r="T740" s="186">
        <v>41626</v>
      </c>
      <c r="U740" s="185" t="s">
        <v>1572</v>
      </c>
      <c r="V740" s="185">
        <v>300</v>
      </c>
      <c r="W740" s="185">
        <v>14110</v>
      </c>
      <c r="X740" s="187">
        <v>134875</v>
      </c>
      <c r="Y740" s="185">
        <v>14116</v>
      </c>
      <c r="Z740" s="187">
        <v>134875</v>
      </c>
      <c r="AA740" s="187">
        <v>0</v>
      </c>
      <c r="AB740" s="187">
        <v>0</v>
      </c>
      <c r="AC740" s="187">
        <v>0</v>
      </c>
      <c r="AD740" s="185">
        <v>70260</v>
      </c>
      <c r="AE740" s="187">
        <v>0</v>
      </c>
      <c r="AF740" s="187">
        <v>0</v>
      </c>
      <c r="AG740" s="187">
        <v>0</v>
      </c>
      <c r="AH740" s="185" t="s">
        <v>989</v>
      </c>
      <c r="AI740" s="185"/>
      <c r="AJ740" s="185"/>
      <c r="AK740" s="185" t="s">
        <v>45</v>
      </c>
      <c r="AL740" s="185" t="s">
        <v>2267</v>
      </c>
      <c r="AM740" s="185" t="s">
        <v>2269</v>
      </c>
      <c r="AN740" s="196"/>
      <c r="AO740" s="196"/>
      <c r="AP740" s="195"/>
      <c r="AQ740" s="194"/>
      <c r="AR740" s="193"/>
      <c r="AS740" s="192"/>
      <c r="AT740" s="192"/>
      <c r="AU740" s="192"/>
      <c r="AV740" s="192"/>
      <c r="AW740" s="191"/>
      <c r="AX740" s="190" t="s">
        <v>72</v>
      </c>
      <c r="AY740" s="184"/>
    </row>
    <row r="741" spans="2:51">
      <c r="B741" s="185">
        <v>2183</v>
      </c>
      <c r="C741" s="189">
        <v>109519</v>
      </c>
      <c r="D741" s="185" t="s">
        <v>989</v>
      </c>
      <c r="E741" s="185" t="s">
        <v>2003</v>
      </c>
      <c r="F741" s="185" t="s">
        <v>1560</v>
      </c>
      <c r="G741" s="185"/>
      <c r="H741" s="185"/>
      <c r="I741" s="188">
        <v>1</v>
      </c>
      <c r="J741" s="185" t="s">
        <v>1573</v>
      </c>
      <c r="K741" s="188">
        <v>2014</v>
      </c>
      <c r="L741" s="185" t="s">
        <v>1097</v>
      </c>
      <c r="M741" s="185" t="s">
        <v>1408</v>
      </c>
      <c r="N741" s="185" t="s">
        <v>2183</v>
      </c>
      <c r="O741" s="185" t="s">
        <v>2184</v>
      </c>
      <c r="P741" s="185" t="s">
        <v>2187</v>
      </c>
      <c r="Q741" s="185"/>
      <c r="R741" s="185"/>
      <c r="S741" s="186">
        <v>41639</v>
      </c>
      <c r="T741" s="186">
        <v>41639</v>
      </c>
      <c r="U741" s="185" t="s">
        <v>1574</v>
      </c>
      <c r="V741" s="185">
        <v>1000</v>
      </c>
      <c r="W741" s="185">
        <v>14040</v>
      </c>
      <c r="X741" s="187">
        <v>332641.82</v>
      </c>
      <c r="Y741" s="185">
        <v>14046</v>
      </c>
      <c r="Z741" s="187">
        <v>332641.82</v>
      </c>
      <c r="AA741" s="187">
        <v>0</v>
      </c>
      <c r="AB741" s="187">
        <v>0</v>
      </c>
      <c r="AC741" s="187">
        <v>0</v>
      </c>
      <c r="AD741" s="185">
        <v>51260</v>
      </c>
      <c r="AE741" s="187">
        <v>0</v>
      </c>
      <c r="AF741" s="187">
        <v>0</v>
      </c>
      <c r="AG741" s="187">
        <v>0</v>
      </c>
      <c r="AH741" s="185" t="s">
        <v>989</v>
      </c>
      <c r="AI741" s="185"/>
      <c r="AJ741" s="185">
        <v>3541</v>
      </c>
      <c r="AK741" s="185" t="s">
        <v>45</v>
      </c>
      <c r="AL741" s="185" t="s">
        <v>2267</v>
      </c>
      <c r="AM741" s="185" t="s">
        <v>2269</v>
      </c>
      <c r="AN741" s="196"/>
      <c r="AO741" s="196"/>
      <c r="AP741" s="195"/>
      <c r="AQ741" s="194"/>
      <c r="AR741" s="193"/>
      <c r="AS741" s="192"/>
      <c r="AT741" s="192"/>
      <c r="AU741" s="192"/>
      <c r="AV741" s="192"/>
      <c r="AW741" s="191"/>
      <c r="AX741" s="190" t="s">
        <v>72</v>
      </c>
      <c r="AY741" s="184"/>
    </row>
    <row r="742" spans="2:51">
      <c r="B742" s="185">
        <v>2183</v>
      </c>
      <c r="C742" s="189">
        <v>109518</v>
      </c>
      <c r="D742" s="185" t="s">
        <v>989</v>
      </c>
      <c r="E742" s="185" t="s">
        <v>2003</v>
      </c>
      <c r="F742" s="185" t="s">
        <v>1575</v>
      </c>
      <c r="G742" s="185"/>
      <c r="H742" s="185"/>
      <c r="I742" s="188">
        <v>1</v>
      </c>
      <c r="J742" s="185" t="s">
        <v>1576</v>
      </c>
      <c r="K742" s="188">
        <v>2013</v>
      </c>
      <c r="L742" s="185" t="s">
        <v>1097</v>
      </c>
      <c r="M742" s="185" t="s">
        <v>1408</v>
      </c>
      <c r="N742" s="185" t="s">
        <v>2183</v>
      </c>
      <c r="O742" s="185" t="s">
        <v>2184</v>
      </c>
      <c r="P742" s="185" t="s">
        <v>2187</v>
      </c>
      <c r="Q742" s="185"/>
      <c r="R742" s="185"/>
      <c r="S742" s="186">
        <v>41639</v>
      </c>
      <c r="T742" s="186">
        <v>41639</v>
      </c>
      <c r="U742" s="185" t="s">
        <v>1577</v>
      </c>
      <c r="V742" s="185">
        <v>900</v>
      </c>
      <c r="W742" s="185">
        <v>14040</v>
      </c>
      <c r="X742" s="187">
        <v>334095.67</v>
      </c>
      <c r="Y742" s="185">
        <v>14046</v>
      </c>
      <c r="Z742" s="187">
        <v>334095.67</v>
      </c>
      <c r="AA742" s="187">
        <v>0</v>
      </c>
      <c r="AB742" s="187">
        <v>0</v>
      </c>
      <c r="AC742" s="187">
        <v>0</v>
      </c>
      <c r="AD742" s="185">
        <v>51260</v>
      </c>
      <c r="AE742" s="187">
        <v>0</v>
      </c>
      <c r="AF742" s="187">
        <v>0</v>
      </c>
      <c r="AG742" s="187">
        <v>0</v>
      </c>
      <c r="AH742" s="185" t="s">
        <v>989</v>
      </c>
      <c r="AI742" s="185"/>
      <c r="AJ742" s="185">
        <v>3540</v>
      </c>
      <c r="AK742" s="185" t="s">
        <v>45</v>
      </c>
      <c r="AL742" s="185" t="s">
        <v>2267</v>
      </c>
      <c r="AM742" s="185" t="s">
        <v>2269</v>
      </c>
      <c r="AN742" s="196"/>
      <c r="AO742" s="196"/>
      <c r="AP742" s="195"/>
      <c r="AQ742" s="194"/>
      <c r="AR742" s="193"/>
      <c r="AS742" s="192"/>
      <c r="AT742" s="192"/>
      <c r="AU742" s="192"/>
      <c r="AV742" s="192"/>
      <c r="AW742" s="191"/>
      <c r="AX742" s="190" t="s">
        <v>72</v>
      </c>
      <c r="AY742" s="184"/>
    </row>
    <row r="743" spans="2:51">
      <c r="B743" s="185">
        <v>2183</v>
      </c>
      <c r="C743" s="189">
        <v>109517</v>
      </c>
      <c r="D743" s="185" t="s">
        <v>989</v>
      </c>
      <c r="E743" s="185" t="s">
        <v>2003</v>
      </c>
      <c r="F743" s="185" t="s">
        <v>1575</v>
      </c>
      <c r="G743" s="185"/>
      <c r="H743" s="185"/>
      <c r="I743" s="188">
        <v>1</v>
      </c>
      <c r="J743" s="185" t="s">
        <v>1578</v>
      </c>
      <c r="K743" s="188">
        <v>2013</v>
      </c>
      <c r="L743" s="185" t="s">
        <v>1097</v>
      </c>
      <c r="M743" s="185" t="s">
        <v>1408</v>
      </c>
      <c r="N743" s="185" t="s">
        <v>2183</v>
      </c>
      <c r="O743" s="185" t="s">
        <v>2184</v>
      </c>
      <c r="P743" s="185" t="s">
        <v>2187</v>
      </c>
      <c r="Q743" s="185"/>
      <c r="R743" s="185"/>
      <c r="S743" s="186">
        <v>41639</v>
      </c>
      <c r="T743" s="186">
        <v>41639</v>
      </c>
      <c r="U743" s="185" t="s">
        <v>1579</v>
      </c>
      <c r="V743" s="185">
        <v>900</v>
      </c>
      <c r="W743" s="185">
        <v>14040</v>
      </c>
      <c r="X743" s="187">
        <v>331758.37</v>
      </c>
      <c r="Y743" s="185">
        <v>14046</v>
      </c>
      <c r="Z743" s="187">
        <v>331758.37</v>
      </c>
      <c r="AA743" s="187">
        <v>0</v>
      </c>
      <c r="AB743" s="187">
        <v>0</v>
      </c>
      <c r="AC743" s="187">
        <v>0</v>
      </c>
      <c r="AD743" s="185">
        <v>51260</v>
      </c>
      <c r="AE743" s="187">
        <v>0</v>
      </c>
      <c r="AF743" s="187">
        <v>0</v>
      </c>
      <c r="AG743" s="187">
        <v>0</v>
      </c>
      <c r="AH743" s="185" t="s">
        <v>989</v>
      </c>
      <c r="AI743" s="185"/>
      <c r="AJ743" s="185">
        <v>3539</v>
      </c>
      <c r="AK743" s="185" t="s">
        <v>45</v>
      </c>
      <c r="AL743" s="185" t="s">
        <v>2267</v>
      </c>
      <c r="AM743" s="185" t="s">
        <v>2269</v>
      </c>
      <c r="AN743" s="196"/>
      <c r="AO743" s="196"/>
      <c r="AP743" s="195"/>
      <c r="AQ743" s="194"/>
      <c r="AR743" s="193"/>
      <c r="AS743" s="192"/>
      <c r="AT743" s="192"/>
      <c r="AU743" s="192"/>
      <c r="AV743" s="192"/>
      <c r="AW743" s="191"/>
      <c r="AX743" s="190" t="s">
        <v>72</v>
      </c>
      <c r="AY743" s="184"/>
    </row>
    <row r="744" spans="2:51">
      <c r="B744" s="185">
        <v>2183</v>
      </c>
      <c r="C744" s="189">
        <v>109344</v>
      </c>
      <c r="D744" s="185" t="s">
        <v>989</v>
      </c>
      <c r="E744" s="185" t="s">
        <v>2003</v>
      </c>
      <c r="F744" s="185" t="s">
        <v>615</v>
      </c>
      <c r="G744" s="185"/>
      <c r="H744" s="185"/>
      <c r="I744" s="188">
        <v>1080</v>
      </c>
      <c r="J744" s="185"/>
      <c r="K744" s="188">
        <v>0</v>
      </c>
      <c r="L744" s="185" t="s">
        <v>1513</v>
      </c>
      <c r="M744" s="185"/>
      <c r="N744" s="185" t="s">
        <v>2190</v>
      </c>
      <c r="O744" s="185" t="s">
        <v>2184</v>
      </c>
      <c r="P744" s="185"/>
      <c r="Q744" s="185"/>
      <c r="R744" s="185"/>
      <c r="S744" s="186">
        <v>41583</v>
      </c>
      <c r="T744" s="186">
        <v>41583</v>
      </c>
      <c r="U744" s="185" t="s">
        <v>1580</v>
      </c>
      <c r="V744" s="185">
        <v>700</v>
      </c>
      <c r="W744" s="185">
        <v>14050</v>
      </c>
      <c r="X744" s="187">
        <v>38869.17</v>
      </c>
      <c r="Y744" s="185">
        <v>14056</v>
      </c>
      <c r="Z744" s="187">
        <v>38869.17</v>
      </c>
      <c r="AA744" s="187">
        <v>0</v>
      </c>
      <c r="AB744" s="187">
        <v>0</v>
      </c>
      <c r="AC744" s="187">
        <v>0</v>
      </c>
      <c r="AD744" s="185">
        <v>54260</v>
      </c>
      <c r="AE744" s="187">
        <v>0</v>
      </c>
      <c r="AF744" s="187">
        <v>0</v>
      </c>
      <c r="AG744" s="187">
        <v>0</v>
      </c>
      <c r="AH744" s="185" t="s">
        <v>989</v>
      </c>
      <c r="AI744" s="185"/>
      <c r="AJ744" s="185"/>
      <c r="AK744" s="185" t="s">
        <v>45</v>
      </c>
      <c r="AL744" s="185" t="s">
        <v>2267</v>
      </c>
      <c r="AM744" s="185" t="s">
        <v>2269</v>
      </c>
      <c r="AN744" s="196"/>
      <c r="AO744" s="196"/>
      <c r="AP744" s="195"/>
      <c r="AQ744" s="194"/>
      <c r="AR744" s="193"/>
      <c r="AS744" s="192"/>
      <c r="AT744" s="192"/>
      <c r="AU744" s="192"/>
      <c r="AV744" s="192"/>
      <c r="AW744" s="191"/>
      <c r="AX744" s="190" t="s">
        <v>72</v>
      </c>
      <c r="AY744" s="184"/>
    </row>
    <row r="745" spans="2:51">
      <c r="B745" s="185">
        <v>2183</v>
      </c>
      <c r="C745" s="189">
        <v>109343</v>
      </c>
      <c r="D745" s="185" t="s">
        <v>989</v>
      </c>
      <c r="E745" s="185" t="s">
        <v>2003</v>
      </c>
      <c r="F745" s="185" t="s">
        <v>1581</v>
      </c>
      <c r="G745" s="185"/>
      <c r="H745" s="185"/>
      <c r="I745" s="188">
        <v>1</v>
      </c>
      <c r="J745" s="185"/>
      <c r="K745" s="188">
        <v>0</v>
      </c>
      <c r="L745" s="185" t="s">
        <v>1513</v>
      </c>
      <c r="M745" s="185"/>
      <c r="N745" s="185" t="s">
        <v>2190</v>
      </c>
      <c r="O745" s="185" t="s">
        <v>2184</v>
      </c>
      <c r="P745" s="185"/>
      <c r="Q745" s="185"/>
      <c r="R745" s="185"/>
      <c r="S745" s="186">
        <v>41589</v>
      </c>
      <c r="T745" s="186">
        <v>41589</v>
      </c>
      <c r="U745" s="185" t="s">
        <v>1582</v>
      </c>
      <c r="V745" s="185">
        <v>700</v>
      </c>
      <c r="W745" s="185">
        <v>14050</v>
      </c>
      <c r="X745" s="187">
        <v>47.49</v>
      </c>
      <c r="Y745" s="185">
        <v>14056</v>
      </c>
      <c r="Z745" s="187">
        <v>47.49</v>
      </c>
      <c r="AA745" s="187">
        <v>0</v>
      </c>
      <c r="AB745" s="187">
        <v>0</v>
      </c>
      <c r="AC745" s="187">
        <v>0</v>
      </c>
      <c r="AD745" s="185">
        <v>54260</v>
      </c>
      <c r="AE745" s="187">
        <v>0</v>
      </c>
      <c r="AF745" s="187">
        <v>0</v>
      </c>
      <c r="AG745" s="187">
        <v>0</v>
      </c>
      <c r="AH745" s="185" t="s">
        <v>989</v>
      </c>
      <c r="AI745" s="185"/>
      <c r="AJ745" s="185"/>
      <c r="AK745" s="185" t="s">
        <v>45</v>
      </c>
      <c r="AL745" s="185" t="s">
        <v>2267</v>
      </c>
      <c r="AM745" s="185" t="s">
        <v>2269</v>
      </c>
      <c r="AN745" s="196"/>
      <c r="AO745" s="196"/>
      <c r="AP745" s="195"/>
      <c r="AQ745" s="194"/>
      <c r="AR745" s="193"/>
      <c r="AS745" s="192"/>
      <c r="AT745" s="192"/>
      <c r="AU745" s="192"/>
      <c r="AV745" s="192"/>
      <c r="AW745" s="191"/>
      <c r="AX745" s="190" t="s">
        <v>72</v>
      </c>
      <c r="AY745" s="184"/>
    </row>
    <row r="746" spans="2:51">
      <c r="B746" s="185">
        <v>2183</v>
      </c>
      <c r="C746" s="189">
        <v>109342</v>
      </c>
      <c r="D746" s="185" t="s">
        <v>989</v>
      </c>
      <c r="E746" s="185" t="s">
        <v>2003</v>
      </c>
      <c r="F746" s="185" t="s">
        <v>1583</v>
      </c>
      <c r="G746" s="185"/>
      <c r="H746" s="185"/>
      <c r="I746" s="188">
        <v>121</v>
      </c>
      <c r="J746" s="185"/>
      <c r="K746" s="188">
        <v>0</v>
      </c>
      <c r="L746" s="185" t="s">
        <v>1513</v>
      </c>
      <c r="M746" s="185"/>
      <c r="N746" s="185" t="s">
        <v>2190</v>
      </c>
      <c r="O746" s="185" t="s">
        <v>2184</v>
      </c>
      <c r="P746" s="185"/>
      <c r="Q746" s="185"/>
      <c r="R746" s="185"/>
      <c r="S746" s="186">
        <v>41582</v>
      </c>
      <c r="T746" s="186">
        <v>41582</v>
      </c>
      <c r="U746" s="185" t="s">
        <v>1582</v>
      </c>
      <c r="V746" s="185">
        <v>700</v>
      </c>
      <c r="W746" s="185">
        <v>14050</v>
      </c>
      <c r="X746" s="187">
        <v>7248.64</v>
      </c>
      <c r="Y746" s="185">
        <v>14056</v>
      </c>
      <c r="Z746" s="187">
        <v>7248.64</v>
      </c>
      <c r="AA746" s="187">
        <v>0</v>
      </c>
      <c r="AB746" s="187">
        <v>0</v>
      </c>
      <c r="AC746" s="187">
        <v>0</v>
      </c>
      <c r="AD746" s="185">
        <v>54260</v>
      </c>
      <c r="AE746" s="187">
        <v>0</v>
      </c>
      <c r="AF746" s="187">
        <v>0</v>
      </c>
      <c r="AG746" s="187">
        <v>0</v>
      </c>
      <c r="AH746" s="185" t="s">
        <v>989</v>
      </c>
      <c r="AI746" s="185"/>
      <c r="AJ746" s="185"/>
      <c r="AK746" s="185" t="s">
        <v>45</v>
      </c>
      <c r="AL746" s="185" t="s">
        <v>2267</v>
      </c>
      <c r="AM746" s="185" t="s">
        <v>2269</v>
      </c>
      <c r="AN746" s="196"/>
      <c r="AO746" s="196"/>
      <c r="AP746" s="195"/>
      <c r="AQ746" s="194"/>
      <c r="AR746" s="193"/>
      <c r="AS746" s="192"/>
      <c r="AT746" s="192"/>
      <c r="AU746" s="192"/>
      <c r="AV746" s="192"/>
      <c r="AW746" s="191"/>
      <c r="AX746" s="190" t="s">
        <v>72</v>
      </c>
      <c r="AY746" s="184"/>
    </row>
    <row r="747" spans="2:51">
      <c r="B747" s="185">
        <v>2183</v>
      </c>
      <c r="C747" s="189">
        <v>109341</v>
      </c>
      <c r="D747" s="185" t="s">
        <v>989</v>
      </c>
      <c r="E747" s="185" t="s">
        <v>2003</v>
      </c>
      <c r="F747" s="185" t="s">
        <v>1584</v>
      </c>
      <c r="G747" s="185"/>
      <c r="H747" s="185"/>
      <c r="I747" s="188">
        <v>122</v>
      </c>
      <c r="J747" s="185"/>
      <c r="K747" s="188">
        <v>0</v>
      </c>
      <c r="L747" s="185" t="s">
        <v>1513</v>
      </c>
      <c r="M747" s="185"/>
      <c r="N747" s="185" t="s">
        <v>2190</v>
      </c>
      <c r="O747" s="185" t="s">
        <v>2184</v>
      </c>
      <c r="P747" s="185"/>
      <c r="Q747" s="185"/>
      <c r="R747" s="185"/>
      <c r="S747" s="186">
        <v>41582</v>
      </c>
      <c r="T747" s="186">
        <v>41582</v>
      </c>
      <c r="U747" s="185" t="s">
        <v>1585</v>
      </c>
      <c r="V747" s="185">
        <v>700</v>
      </c>
      <c r="W747" s="185">
        <v>14050</v>
      </c>
      <c r="X747" s="187">
        <v>7308.09</v>
      </c>
      <c r="Y747" s="185">
        <v>14056</v>
      </c>
      <c r="Z747" s="187">
        <v>7308.09</v>
      </c>
      <c r="AA747" s="187">
        <v>0</v>
      </c>
      <c r="AB747" s="187">
        <v>0</v>
      </c>
      <c r="AC747" s="187">
        <v>0</v>
      </c>
      <c r="AD747" s="185">
        <v>54260</v>
      </c>
      <c r="AE747" s="187">
        <v>0</v>
      </c>
      <c r="AF747" s="187">
        <v>0</v>
      </c>
      <c r="AG747" s="187">
        <v>0</v>
      </c>
      <c r="AH747" s="185" t="s">
        <v>989</v>
      </c>
      <c r="AI747" s="185"/>
      <c r="AJ747" s="185"/>
      <c r="AK747" s="185" t="s">
        <v>45</v>
      </c>
      <c r="AL747" s="185" t="s">
        <v>2267</v>
      </c>
      <c r="AM747" s="185" t="s">
        <v>2269</v>
      </c>
      <c r="AN747" s="196"/>
      <c r="AO747" s="196"/>
      <c r="AP747" s="195"/>
      <c r="AQ747" s="194"/>
      <c r="AR747" s="193"/>
      <c r="AS747" s="192"/>
      <c r="AT747" s="192"/>
      <c r="AU747" s="192"/>
      <c r="AV747" s="192"/>
      <c r="AW747" s="191"/>
      <c r="AX747" s="190" t="s">
        <v>72</v>
      </c>
      <c r="AY747" s="184"/>
    </row>
    <row r="748" spans="2:51">
      <c r="B748" s="185">
        <v>2183</v>
      </c>
      <c r="C748" s="189">
        <v>109186</v>
      </c>
      <c r="D748" s="185" t="s">
        <v>989</v>
      </c>
      <c r="E748" s="185" t="s">
        <v>2003</v>
      </c>
      <c r="F748" s="185" t="s">
        <v>718</v>
      </c>
      <c r="G748" s="185"/>
      <c r="H748" s="185"/>
      <c r="I748" s="188">
        <v>324</v>
      </c>
      <c r="J748" s="185"/>
      <c r="K748" s="188">
        <v>0</v>
      </c>
      <c r="L748" s="185" t="s">
        <v>1513</v>
      </c>
      <c r="M748" s="185"/>
      <c r="N748" s="185" t="s">
        <v>2190</v>
      </c>
      <c r="O748" s="185" t="s">
        <v>2184</v>
      </c>
      <c r="P748" s="185"/>
      <c r="Q748" s="185"/>
      <c r="R748" s="185"/>
      <c r="S748" s="186">
        <v>41589</v>
      </c>
      <c r="T748" s="186">
        <v>41589</v>
      </c>
      <c r="U748" s="185" t="s">
        <v>1582</v>
      </c>
      <c r="V748" s="185">
        <v>700</v>
      </c>
      <c r="W748" s="185">
        <v>14050</v>
      </c>
      <c r="X748" s="187">
        <v>13520.49</v>
      </c>
      <c r="Y748" s="185">
        <v>14056</v>
      </c>
      <c r="Z748" s="187">
        <v>13520.49</v>
      </c>
      <c r="AA748" s="187">
        <v>0</v>
      </c>
      <c r="AB748" s="187">
        <v>0</v>
      </c>
      <c r="AC748" s="187">
        <v>0</v>
      </c>
      <c r="AD748" s="185">
        <v>54260</v>
      </c>
      <c r="AE748" s="187">
        <v>0</v>
      </c>
      <c r="AF748" s="187">
        <v>0</v>
      </c>
      <c r="AG748" s="187">
        <v>0</v>
      </c>
      <c r="AH748" s="185" t="s">
        <v>989</v>
      </c>
      <c r="AI748" s="185"/>
      <c r="AJ748" s="185"/>
      <c r="AK748" s="185" t="s">
        <v>45</v>
      </c>
      <c r="AL748" s="185" t="s">
        <v>2267</v>
      </c>
      <c r="AM748" s="185" t="s">
        <v>2269</v>
      </c>
      <c r="AN748" s="196"/>
      <c r="AO748" s="196"/>
      <c r="AP748" s="195"/>
      <c r="AQ748" s="194"/>
      <c r="AR748" s="193"/>
      <c r="AS748" s="192"/>
      <c r="AT748" s="192"/>
      <c r="AU748" s="192"/>
      <c r="AV748" s="192"/>
      <c r="AW748" s="191"/>
      <c r="AX748" s="190" t="s">
        <v>72</v>
      </c>
      <c r="AY748" s="184"/>
    </row>
    <row r="749" spans="2:51" hidden="1">
      <c r="B749" s="185">
        <v>2183</v>
      </c>
      <c r="C749" s="189">
        <v>109182</v>
      </c>
      <c r="D749" s="185">
        <v>61096</v>
      </c>
      <c r="E749" s="185" t="s">
        <v>2003</v>
      </c>
      <c r="F749" s="185" t="s">
        <v>1535</v>
      </c>
      <c r="G749" s="185"/>
      <c r="H749" s="185"/>
      <c r="I749" s="188">
        <v>1</v>
      </c>
      <c r="J749" s="185"/>
      <c r="K749" s="188">
        <v>0</v>
      </c>
      <c r="L749" s="185" t="s">
        <v>1442</v>
      </c>
      <c r="M749" s="185"/>
      <c r="N749" s="185" t="s">
        <v>2183</v>
      </c>
      <c r="O749" s="185" t="s">
        <v>2184</v>
      </c>
      <c r="P749" s="185" t="s">
        <v>1028</v>
      </c>
      <c r="Q749" s="185"/>
      <c r="R749" s="185"/>
      <c r="S749" s="186">
        <v>41570</v>
      </c>
      <c r="T749" s="186">
        <v>41570</v>
      </c>
      <c r="U749" s="185" t="s">
        <v>1586</v>
      </c>
      <c r="V749" s="185">
        <v>300</v>
      </c>
      <c r="W749" s="185">
        <v>14040</v>
      </c>
      <c r="X749" s="187">
        <v>8837.86</v>
      </c>
      <c r="Y749" s="185">
        <v>14046</v>
      </c>
      <c r="Z749" s="187">
        <v>8837.86</v>
      </c>
      <c r="AA749" s="187">
        <v>0</v>
      </c>
      <c r="AB749" s="187">
        <v>0</v>
      </c>
      <c r="AC749" s="187">
        <v>0</v>
      </c>
      <c r="AD749" s="185">
        <v>51260</v>
      </c>
      <c r="AE749" s="187">
        <v>0</v>
      </c>
      <c r="AF749" s="187">
        <v>0</v>
      </c>
      <c r="AG749" s="187">
        <v>0</v>
      </c>
      <c r="AH749" s="185" t="s">
        <v>989</v>
      </c>
      <c r="AI749" s="185"/>
      <c r="AJ749" s="185"/>
      <c r="AK749" s="185" t="s">
        <v>45</v>
      </c>
      <c r="AL749" s="185" t="s">
        <v>2267</v>
      </c>
      <c r="AM749" s="185" t="s">
        <v>2269</v>
      </c>
      <c r="AN749" s="196"/>
      <c r="AO749" s="196"/>
      <c r="AP749" s="195"/>
      <c r="AQ749" s="194"/>
      <c r="AR749" s="193"/>
      <c r="AS749" s="192"/>
      <c r="AT749" s="192"/>
      <c r="AU749" s="192"/>
      <c r="AV749" s="192"/>
      <c r="AW749" s="191"/>
      <c r="AX749" s="190" t="s">
        <v>72</v>
      </c>
      <c r="AY749" s="184"/>
    </row>
    <row r="750" spans="2:51" hidden="1">
      <c r="B750" s="185">
        <v>2183</v>
      </c>
      <c r="C750" s="189">
        <v>109181</v>
      </c>
      <c r="D750" s="185">
        <v>61125</v>
      </c>
      <c r="E750" s="185" t="s">
        <v>2003</v>
      </c>
      <c r="F750" s="185" t="s">
        <v>1535</v>
      </c>
      <c r="G750" s="185"/>
      <c r="H750" s="185"/>
      <c r="I750" s="188">
        <v>1</v>
      </c>
      <c r="J750" s="185"/>
      <c r="K750" s="188">
        <v>0</v>
      </c>
      <c r="L750" s="185" t="s">
        <v>1442</v>
      </c>
      <c r="M750" s="185"/>
      <c r="N750" s="185" t="s">
        <v>2183</v>
      </c>
      <c r="O750" s="185" t="s">
        <v>2184</v>
      </c>
      <c r="P750" s="185" t="s">
        <v>1028</v>
      </c>
      <c r="Q750" s="185"/>
      <c r="R750" s="185"/>
      <c r="S750" s="186">
        <v>41570</v>
      </c>
      <c r="T750" s="186">
        <v>41570</v>
      </c>
      <c r="U750" s="185" t="s">
        <v>1587</v>
      </c>
      <c r="V750" s="185">
        <v>300</v>
      </c>
      <c r="W750" s="185">
        <v>14040</v>
      </c>
      <c r="X750" s="187">
        <v>8837.86</v>
      </c>
      <c r="Y750" s="185">
        <v>14046</v>
      </c>
      <c r="Z750" s="187">
        <v>8837.86</v>
      </c>
      <c r="AA750" s="187">
        <v>0</v>
      </c>
      <c r="AB750" s="187">
        <v>0</v>
      </c>
      <c r="AC750" s="187">
        <v>0</v>
      </c>
      <c r="AD750" s="185">
        <v>51260</v>
      </c>
      <c r="AE750" s="187">
        <v>0</v>
      </c>
      <c r="AF750" s="187">
        <v>0</v>
      </c>
      <c r="AG750" s="187">
        <v>0</v>
      </c>
      <c r="AH750" s="185" t="s">
        <v>989</v>
      </c>
      <c r="AI750" s="185"/>
      <c r="AJ750" s="185"/>
      <c r="AK750" s="185" t="s">
        <v>45</v>
      </c>
      <c r="AL750" s="185" t="s">
        <v>2267</v>
      </c>
      <c r="AM750" s="185" t="s">
        <v>2269</v>
      </c>
      <c r="AN750" s="196"/>
      <c r="AO750" s="196"/>
      <c r="AP750" s="195"/>
      <c r="AQ750" s="194"/>
      <c r="AR750" s="193"/>
      <c r="AS750" s="192"/>
      <c r="AT750" s="192"/>
      <c r="AU750" s="192"/>
      <c r="AV750" s="192"/>
      <c r="AW750" s="191"/>
      <c r="AX750" s="190" t="s">
        <v>72</v>
      </c>
      <c r="AY750" s="184"/>
    </row>
    <row r="751" spans="2:51" hidden="1">
      <c r="B751" s="185">
        <v>2183</v>
      </c>
      <c r="C751" s="189">
        <v>109180</v>
      </c>
      <c r="D751" s="185">
        <v>61097</v>
      </c>
      <c r="E751" s="185" t="s">
        <v>2003</v>
      </c>
      <c r="F751" s="185" t="s">
        <v>1535</v>
      </c>
      <c r="G751" s="185"/>
      <c r="H751" s="185"/>
      <c r="I751" s="188">
        <v>1</v>
      </c>
      <c r="J751" s="185"/>
      <c r="K751" s="188">
        <v>0</v>
      </c>
      <c r="L751" s="185" t="s">
        <v>1442</v>
      </c>
      <c r="M751" s="185"/>
      <c r="N751" s="185" t="s">
        <v>2183</v>
      </c>
      <c r="O751" s="185" t="s">
        <v>2184</v>
      </c>
      <c r="P751" s="185" t="s">
        <v>1028</v>
      </c>
      <c r="Q751" s="185"/>
      <c r="R751" s="185"/>
      <c r="S751" s="186">
        <v>41570</v>
      </c>
      <c r="T751" s="186">
        <v>41570</v>
      </c>
      <c r="U751" s="185" t="s">
        <v>1588</v>
      </c>
      <c r="V751" s="185">
        <v>300</v>
      </c>
      <c r="W751" s="185">
        <v>14040</v>
      </c>
      <c r="X751" s="187">
        <v>8837.86</v>
      </c>
      <c r="Y751" s="185">
        <v>14046</v>
      </c>
      <c r="Z751" s="187">
        <v>8837.86</v>
      </c>
      <c r="AA751" s="187">
        <v>0</v>
      </c>
      <c r="AB751" s="187">
        <v>0</v>
      </c>
      <c r="AC751" s="187">
        <v>0</v>
      </c>
      <c r="AD751" s="185">
        <v>51260</v>
      </c>
      <c r="AE751" s="187">
        <v>0</v>
      </c>
      <c r="AF751" s="187">
        <v>0</v>
      </c>
      <c r="AG751" s="187">
        <v>0</v>
      </c>
      <c r="AH751" s="185" t="s">
        <v>989</v>
      </c>
      <c r="AI751" s="185"/>
      <c r="AJ751" s="185"/>
      <c r="AK751" s="185" t="s">
        <v>45</v>
      </c>
      <c r="AL751" s="185" t="s">
        <v>2267</v>
      </c>
      <c r="AM751" s="185" t="s">
        <v>2269</v>
      </c>
      <c r="AN751" s="196"/>
      <c r="AO751" s="196"/>
      <c r="AP751" s="195"/>
      <c r="AQ751" s="194"/>
      <c r="AR751" s="193"/>
      <c r="AS751" s="192"/>
      <c r="AT751" s="192"/>
      <c r="AU751" s="192"/>
      <c r="AV751" s="192"/>
      <c r="AW751" s="191"/>
      <c r="AX751" s="190" t="s">
        <v>72</v>
      </c>
      <c r="AY751" s="184"/>
    </row>
    <row r="752" spans="2:51" hidden="1">
      <c r="B752" s="185">
        <v>2183</v>
      </c>
      <c r="C752" s="189">
        <v>108675</v>
      </c>
      <c r="D752" s="185">
        <v>61112</v>
      </c>
      <c r="E752" s="185" t="s">
        <v>2003</v>
      </c>
      <c r="F752" s="185" t="s">
        <v>1530</v>
      </c>
      <c r="G752" s="185"/>
      <c r="H752" s="185"/>
      <c r="I752" s="188">
        <v>1</v>
      </c>
      <c r="J752" s="185"/>
      <c r="K752" s="188">
        <v>0</v>
      </c>
      <c r="L752" s="185" t="s">
        <v>1442</v>
      </c>
      <c r="M752" s="185"/>
      <c r="N752" s="185" t="s">
        <v>2183</v>
      </c>
      <c r="O752" s="185" t="s">
        <v>2184</v>
      </c>
      <c r="P752" s="185" t="s">
        <v>1028</v>
      </c>
      <c r="Q752" s="185"/>
      <c r="R752" s="185"/>
      <c r="S752" s="186">
        <v>41590</v>
      </c>
      <c r="T752" s="186">
        <v>41590</v>
      </c>
      <c r="U752" s="185" t="s">
        <v>1589</v>
      </c>
      <c r="V752" s="185">
        <v>300</v>
      </c>
      <c r="W752" s="185">
        <v>14040</v>
      </c>
      <c r="X752" s="187">
        <v>8837.86</v>
      </c>
      <c r="Y752" s="185">
        <v>14046</v>
      </c>
      <c r="Z752" s="187">
        <v>8837.86</v>
      </c>
      <c r="AA752" s="187">
        <v>0</v>
      </c>
      <c r="AB752" s="187">
        <v>0</v>
      </c>
      <c r="AC752" s="187">
        <v>0</v>
      </c>
      <c r="AD752" s="185">
        <v>51260</v>
      </c>
      <c r="AE752" s="187">
        <v>0</v>
      </c>
      <c r="AF752" s="187">
        <v>0</v>
      </c>
      <c r="AG752" s="187">
        <v>0</v>
      </c>
      <c r="AH752" s="185" t="s">
        <v>989</v>
      </c>
      <c r="AI752" s="185"/>
      <c r="AJ752" s="185"/>
      <c r="AK752" s="185" t="s">
        <v>45</v>
      </c>
      <c r="AL752" s="185" t="s">
        <v>2267</v>
      </c>
      <c r="AM752" s="185" t="s">
        <v>2269</v>
      </c>
      <c r="AN752" s="196"/>
      <c r="AO752" s="196"/>
      <c r="AP752" s="195"/>
      <c r="AQ752" s="194"/>
      <c r="AR752" s="193"/>
      <c r="AS752" s="192"/>
      <c r="AT752" s="192"/>
      <c r="AU752" s="192"/>
      <c r="AV752" s="192"/>
      <c r="AW752" s="191"/>
      <c r="AX752" s="190" t="s">
        <v>72</v>
      </c>
      <c r="AY752" s="184"/>
    </row>
    <row r="753" spans="2:51">
      <c r="B753" s="185">
        <v>2183</v>
      </c>
      <c r="C753" s="189">
        <v>108250</v>
      </c>
      <c r="D753" s="185" t="s">
        <v>989</v>
      </c>
      <c r="E753" s="185" t="s">
        <v>2003</v>
      </c>
      <c r="F753" s="185" t="s">
        <v>1590</v>
      </c>
      <c r="G753" s="185"/>
      <c r="H753" s="185"/>
      <c r="I753" s="188">
        <v>1</v>
      </c>
      <c r="J753" s="185"/>
      <c r="K753" s="188">
        <v>0</v>
      </c>
      <c r="L753" s="185" t="s">
        <v>1145</v>
      </c>
      <c r="M753" s="185"/>
      <c r="N753" s="185" t="s">
        <v>2199</v>
      </c>
      <c r="O753" s="185" t="s">
        <v>2184</v>
      </c>
      <c r="P753" s="185"/>
      <c r="Q753" s="185"/>
      <c r="R753" s="185"/>
      <c r="S753" s="186">
        <v>41562</v>
      </c>
      <c r="T753" s="186">
        <v>41562</v>
      </c>
      <c r="U753" s="185" t="s">
        <v>1591</v>
      </c>
      <c r="V753" s="185">
        <v>300</v>
      </c>
      <c r="W753" s="185">
        <v>14110</v>
      </c>
      <c r="X753" s="187">
        <v>743.47</v>
      </c>
      <c r="Y753" s="185">
        <v>14116</v>
      </c>
      <c r="Z753" s="187">
        <v>743.47</v>
      </c>
      <c r="AA753" s="187">
        <v>0</v>
      </c>
      <c r="AB753" s="187">
        <v>0</v>
      </c>
      <c r="AC753" s="187">
        <v>0</v>
      </c>
      <c r="AD753" s="185">
        <v>70260</v>
      </c>
      <c r="AE753" s="187">
        <v>0</v>
      </c>
      <c r="AF753" s="187">
        <v>0</v>
      </c>
      <c r="AG753" s="187">
        <v>0</v>
      </c>
      <c r="AH753" s="185" t="s">
        <v>989</v>
      </c>
      <c r="AI753" s="185"/>
      <c r="AJ753" s="185"/>
      <c r="AK753" s="185" t="s">
        <v>45</v>
      </c>
      <c r="AL753" s="185" t="s">
        <v>2267</v>
      </c>
      <c r="AM753" s="185" t="s">
        <v>2269</v>
      </c>
      <c r="AN753" s="196"/>
      <c r="AO753" s="196"/>
      <c r="AP753" s="195"/>
      <c r="AQ753" s="194"/>
      <c r="AR753" s="193"/>
      <c r="AS753" s="192"/>
      <c r="AT753" s="192"/>
      <c r="AU753" s="192"/>
      <c r="AV753" s="192"/>
      <c r="AW753" s="191"/>
      <c r="AX753" s="190" t="s">
        <v>72</v>
      </c>
      <c r="AY753" s="184"/>
    </row>
    <row r="754" spans="2:51" hidden="1">
      <c r="B754" s="185">
        <v>2183</v>
      </c>
      <c r="C754" s="189">
        <v>108086</v>
      </c>
      <c r="D754" s="185">
        <v>61121</v>
      </c>
      <c r="E754" s="185" t="s">
        <v>2003</v>
      </c>
      <c r="F754" s="185" t="s">
        <v>1592</v>
      </c>
      <c r="G754" s="185"/>
      <c r="H754" s="185"/>
      <c r="I754" s="188">
        <v>1</v>
      </c>
      <c r="J754" s="185"/>
      <c r="K754" s="188">
        <v>0</v>
      </c>
      <c r="L754" s="185" t="s">
        <v>1593</v>
      </c>
      <c r="M754" s="185"/>
      <c r="N754" s="185" t="s">
        <v>2183</v>
      </c>
      <c r="O754" s="185" t="s">
        <v>2184</v>
      </c>
      <c r="P754" s="185" t="s">
        <v>1028</v>
      </c>
      <c r="Q754" s="185"/>
      <c r="R754" s="185"/>
      <c r="S754" s="186">
        <v>41565</v>
      </c>
      <c r="T754" s="186">
        <v>41565</v>
      </c>
      <c r="U754" s="185" t="s">
        <v>1594</v>
      </c>
      <c r="V754" s="185">
        <v>300</v>
      </c>
      <c r="W754" s="185">
        <v>14040</v>
      </c>
      <c r="X754" s="187">
        <v>23561.96</v>
      </c>
      <c r="Y754" s="185">
        <v>14046</v>
      </c>
      <c r="Z754" s="187">
        <v>23561.96</v>
      </c>
      <c r="AA754" s="187">
        <v>0</v>
      </c>
      <c r="AB754" s="187">
        <v>0</v>
      </c>
      <c r="AC754" s="187">
        <v>0</v>
      </c>
      <c r="AD754" s="185">
        <v>51260</v>
      </c>
      <c r="AE754" s="187">
        <v>0</v>
      </c>
      <c r="AF754" s="187">
        <v>0</v>
      </c>
      <c r="AG754" s="187">
        <v>0</v>
      </c>
      <c r="AH754" s="185" t="s">
        <v>989</v>
      </c>
      <c r="AI754" s="185"/>
      <c r="AJ754" s="185"/>
      <c r="AK754" s="185" t="s">
        <v>45</v>
      </c>
      <c r="AL754" s="185" t="s">
        <v>2267</v>
      </c>
      <c r="AM754" s="185" t="s">
        <v>2269</v>
      </c>
      <c r="AN754" s="196"/>
      <c r="AO754" s="196"/>
      <c r="AP754" s="195"/>
      <c r="AQ754" s="194"/>
      <c r="AR754" s="193"/>
      <c r="AS754" s="192"/>
      <c r="AT754" s="192"/>
      <c r="AU754" s="192"/>
      <c r="AV754" s="192"/>
      <c r="AW754" s="191"/>
      <c r="AX754" s="190" t="s">
        <v>72</v>
      </c>
      <c r="AY754" s="184"/>
    </row>
    <row r="755" spans="2:51">
      <c r="B755" s="185">
        <v>2183</v>
      </c>
      <c r="C755" s="189">
        <v>107455</v>
      </c>
      <c r="D755" s="185" t="s">
        <v>989</v>
      </c>
      <c r="E755" s="185" t="s">
        <v>2003</v>
      </c>
      <c r="F755" s="185" t="s">
        <v>1595</v>
      </c>
      <c r="G755" s="185"/>
      <c r="H755" s="185"/>
      <c r="I755" s="188">
        <v>162</v>
      </c>
      <c r="J755" s="185"/>
      <c r="K755" s="188">
        <v>0</v>
      </c>
      <c r="L755" s="185" t="s">
        <v>1513</v>
      </c>
      <c r="M755" s="185"/>
      <c r="N755" s="185" t="s">
        <v>2190</v>
      </c>
      <c r="O755" s="185" t="s">
        <v>2184</v>
      </c>
      <c r="P755" s="185"/>
      <c r="Q755" s="185"/>
      <c r="R755" s="185"/>
      <c r="S755" s="186">
        <v>41482</v>
      </c>
      <c r="T755" s="186">
        <v>41482</v>
      </c>
      <c r="U755" s="185" t="s">
        <v>1596</v>
      </c>
      <c r="V755" s="185">
        <v>700</v>
      </c>
      <c r="W755" s="185">
        <v>14050</v>
      </c>
      <c r="X755" s="187">
        <v>7724.66</v>
      </c>
      <c r="Y755" s="185">
        <v>14056</v>
      </c>
      <c r="Z755" s="187">
        <v>7724.66</v>
      </c>
      <c r="AA755" s="187">
        <v>0</v>
      </c>
      <c r="AB755" s="187">
        <v>0</v>
      </c>
      <c r="AC755" s="187">
        <v>0</v>
      </c>
      <c r="AD755" s="185">
        <v>54260</v>
      </c>
      <c r="AE755" s="187">
        <v>0</v>
      </c>
      <c r="AF755" s="187">
        <v>0</v>
      </c>
      <c r="AG755" s="187">
        <v>0</v>
      </c>
      <c r="AH755" s="185" t="s">
        <v>989</v>
      </c>
      <c r="AI755" s="185"/>
      <c r="AJ755" s="185"/>
      <c r="AK755" s="185" t="s">
        <v>45</v>
      </c>
      <c r="AL755" s="185" t="s">
        <v>2267</v>
      </c>
      <c r="AM755" s="185" t="s">
        <v>2269</v>
      </c>
      <c r="AN755" s="196"/>
      <c r="AO755" s="196"/>
      <c r="AP755" s="195"/>
      <c r="AQ755" s="194"/>
      <c r="AR755" s="193"/>
      <c r="AS755" s="192"/>
      <c r="AT755" s="192"/>
      <c r="AU755" s="192"/>
      <c r="AV755" s="192"/>
      <c r="AW755" s="191"/>
      <c r="AX755" s="190" t="s">
        <v>72</v>
      </c>
      <c r="AY755" s="184"/>
    </row>
    <row r="756" spans="2:51">
      <c r="B756" s="185">
        <v>2183</v>
      </c>
      <c r="C756" s="189">
        <v>107454</v>
      </c>
      <c r="D756" s="185" t="s">
        <v>989</v>
      </c>
      <c r="E756" s="185" t="s">
        <v>2003</v>
      </c>
      <c r="F756" s="185" t="s">
        <v>1597</v>
      </c>
      <c r="G756" s="185"/>
      <c r="H756" s="185"/>
      <c r="I756" s="188">
        <v>237</v>
      </c>
      <c r="J756" s="185"/>
      <c r="K756" s="188">
        <v>0</v>
      </c>
      <c r="L756" s="185" t="s">
        <v>1513</v>
      </c>
      <c r="M756" s="185"/>
      <c r="N756" s="185" t="s">
        <v>2190</v>
      </c>
      <c r="O756" s="185" t="s">
        <v>2184</v>
      </c>
      <c r="P756" s="185"/>
      <c r="Q756" s="185"/>
      <c r="R756" s="185"/>
      <c r="S756" s="186">
        <v>41482</v>
      </c>
      <c r="T756" s="186">
        <v>41482</v>
      </c>
      <c r="U756" s="185" t="s">
        <v>1596</v>
      </c>
      <c r="V756" s="185">
        <v>700</v>
      </c>
      <c r="W756" s="185">
        <v>14050</v>
      </c>
      <c r="X756" s="187">
        <v>13002.62</v>
      </c>
      <c r="Y756" s="185">
        <v>14056</v>
      </c>
      <c r="Z756" s="187">
        <v>13002.62</v>
      </c>
      <c r="AA756" s="187">
        <v>0</v>
      </c>
      <c r="AB756" s="187">
        <v>0</v>
      </c>
      <c r="AC756" s="187">
        <v>0</v>
      </c>
      <c r="AD756" s="185">
        <v>54260</v>
      </c>
      <c r="AE756" s="187">
        <v>0</v>
      </c>
      <c r="AF756" s="187">
        <v>0</v>
      </c>
      <c r="AG756" s="187">
        <v>0</v>
      </c>
      <c r="AH756" s="185" t="s">
        <v>989</v>
      </c>
      <c r="AI756" s="185"/>
      <c r="AJ756" s="185"/>
      <c r="AK756" s="185" t="s">
        <v>45</v>
      </c>
      <c r="AL756" s="185" t="s">
        <v>2267</v>
      </c>
      <c r="AM756" s="185" t="s">
        <v>2269</v>
      </c>
      <c r="AN756" s="196"/>
      <c r="AO756" s="196"/>
      <c r="AP756" s="195"/>
      <c r="AQ756" s="194"/>
      <c r="AR756" s="193"/>
      <c r="AS756" s="192"/>
      <c r="AT756" s="192"/>
      <c r="AU756" s="192"/>
      <c r="AV756" s="192"/>
      <c r="AW756" s="191"/>
      <c r="AX756" s="190" t="s">
        <v>72</v>
      </c>
      <c r="AY756" s="184"/>
    </row>
    <row r="757" spans="2:51">
      <c r="B757" s="185">
        <v>2183</v>
      </c>
      <c r="C757" s="189">
        <v>107453</v>
      </c>
      <c r="D757" s="185" t="s">
        <v>989</v>
      </c>
      <c r="E757" s="185" t="s">
        <v>2003</v>
      </c>
      <c r="F757" s="185" t="s">
        <v>1597</v>
      </c>
      <c r="G757" s="185"/>
      <c r="H757" s="185"/>
      <c r="I757" s="188">
        <v>5</v>
      </c>
      <c r="J757" s="185"/>
      <c r="K757" s="188">
        <v>0</v>
      </c>
      <c r="L757" s="185" t="s">
        <v>1513</v>
      </c>
      <c r="M757" s="185"/>
      <c r="N757" s="185" t="s">
        <v>2190</v>
      </c>
      <c r="O757" s="185" t="s">
        <v>2184</v>
      </c>
      <c r="P757" s="185"/>
      <c r="Q757" s="185"/>
      <c r="R757" s="185"/>
      <c r="S757" s="186">
        <v>41482</v>
      </c>
      <c r="T757" s="186">
        <v>41482</v>
      </c>
      <c r="U757" s="185" t="s">
        <v>1598</v>
      </c>
      <c r="V757" s="185">
        <v>700</v>
      </c>
      <c r="W757" s="185">
        <v>14050</v>
      </c>
      <c r="X757" s="187">
        <v>243.98</v>
      </c>
      <c r="Y757" s="185">
        <v>14056</v>
      </c>
      <c r="Z757" s="187">
        <v>243.98</v>
      </c>
      <c r="AA757" s="187">
        <v>0</v>
      </c>
      <c r="AB757" s="187">
        <v>0</v>
      </c>
      <c r="AC757" s="187">
        <v>0</v>
      </c>
      <c r="AD757" s="185">
        <v>54260</v>
      </c>
      <c r="AE757" s="187">
        <v>0</v>
      </c>
      <c r="AF757" s="187">
        <v>0</v>
      </c>
      <c r="AG757" s="187">
        <v>0</v>
      </c>
      <c r="AH757" s="185" t="s">
        <v>989</v>
      </c>
      <c r="AI757" s="185"/>
      <c r="AJ757" s="185"/>
      <c r="AK757" s="185" t="s">
        <v>45</v>
      </c>
      <c r="AL757" s="185" t="s">
        <v>2267</v>
      </c>
      <c r="AM757" s="185" t="s">
        <v>2269</v>
      </c>
      <c r="AN757" s="196"/>
      <c r="AO757" s="196"/>
      <c r="AP757" s="195"/>
      <c r="AQ757" s="194"/>
      <c r="AR757" s="193"/>
      <c r="AS757" s="192"/>
      <c r="AT757" s="192"/>
      <c r="AU757" s="192"/>
      <c r="AV757" s="192"/>
      <c r="AW757" s="191"/>
      <c r="AX757" s="190" t="s">
        <v>72</v>
      </c>
      <c r="AY757" s="184"/>
    </row>
    <row r="758" spans="2:51">
      <c r="B758" s="185">
        <v>2183</v>
      </c>
      <c r="C758" s="189">
        <v>107452</v>
      </c>
      <c r="D758" s="185" t="s">
        <v>989</v>
      </c>
      <c r="E758" s="185" t="s">
        <v>2003</v>
      </c>
      <c r="F758" s="185" t="s">
        <v>1599</v>
      </c>
      <c r="G758" s="185"/>
      <c r="H758" s="185"/>
      <c r="I758" s="188">
        <v>486</v>
      </c>
      <c r="J758" s="185"/>
      <c r="K758" s="188">
        <v>0</v>
      </c>
      <c r="L758" s="185" t="s">
        <v>1513</v>
      </c>
      <c r="M758" s="185"/>
      <c r="N758" s="185" t="s">
        <v>2190</v>
      </c>
      <c r="O758" s="185" t="s">
        <v>2184</v>
      </c>
      <c r="P758" s="185"/>
      <c r="Q758" s="185"/>
      <c r="R758" s="185"/>
      <c r="S758" s="186">
        <v>41482</v>
      </c>
      <c r="T758" s="186">
        <v>41482</v>
      </c>
      <c r="U758" s="185" t="s">
        <v>1600</v>
      </c>
      <c r="V758" s="185">
        <v>700</v>
      </c>
      <c r="W758" s="185">
        <v>14050</v>
      </c>
      <c r="X758" s="187">
        <v>24969.75</v>
      </c>
      <c r="Y758" s="185">
        <v>14056</v>
      </c>
      <c r="Z758" s="187">
        <v>24969.75</v>
      </c>
      <c r="AA758" s="187">
        <v>0</v>
      </c>
      <c r="AB758" s="187">
        <v>0</v>
      </c>
      <c r="AC758" s="187">
        <v>0</v>
      </c>
      <c r="AD758" s="185">
        <v>54260</v>
      </c>
      <c r="AE758" s="187">
        <v>0</v>
      </c>
      <c r="AF758" s="187">
        <v>0</v>
      </c>
      <c r="AG758" s="187">
        <v>0</v>
      </c>
      <c r="AH758" s="185" t="s">
        <v>989</v>
      </c>
      <c r="AI758" s="185"/>
      <c r="AJ758" s="185"/>
      <c r="AK758" s="185" t="s">
        <v>45</v>
      </c>
      <c r="AL758" s="185" t="s">
        <v>2267</v>
      </c>
      <c r="AM758" s="185" t="s">
        <v>2269</v>
      </c>
      <c r="AN758" s="196"/>
      <c r="AO758" s="196"/>
      <c r="AP758" s="195"/>
      <c r="AQ758" s="194"/>
      <c r="AR758" s="193"/>
      <c r="AS758" s="192"/>
      <c r="AT758" s="192"/>
      <c r="AU758" s="192"/>
      <c r="AV758" s="192"/>
      <c r="AW758" s="191"/>
      <c r="AX758" s="190" t="s">
        <v>72</v>
      </c>
      <c r="AY758" s="184"/>
    </row>
    <row r="759" spans="2:51">
      <c r="B759" s="185">
        <v>2183</v>
      </c>
      <c r="C759" s="189">
        <v>107430</v>
      </c>
      <c r="D759" s="185" t="s">
        <v>989</v>
      </c>
      <c r="E759" s="185" t="s">
        <v>2003</v>
      </c>
      <c r="F759" s="185" t="s">
        <v>1601</v>
      </c>
      <c r="G759" s="185"/>
      <c r="H759" s="185"/>
      <c r="I759" s="188">
        <v>10</v>
      </c>
      <c r="J759" s="185"/>
      <c r="K759" s="188">
        <v>0</v>
      </c>
      <c r="L759" s="185" t="s">
        <v>1059</v>
      </c>
      <c r="M759" s="185"/>
      <c r="N759" s="185" t="s">
        <v>2190</v>
      </c>
      <c r="O759" s="185" t="s">
        <v>2184</v>
      </c>
      <c r="P759" s="185"/>
      <c r="Q759" s="185" t="s">
        <v>2194</v>
      </c>
      <c r="R759" s="185" t="s">
        <v>2195</v>
      </c>
      <c r="S759" s="186">
        <v>41536</v>
      </c>
      <c r="T759" s="186">
        <v>41536</v>
      </c>
      <c r="U759" s="185" t="s">
        <v>1602</v>
      </c>
      <c r="V759" s="185">
        <v>1200</v>
      </c>
      <c r="W759" s="185">
        <v>14050</v>
      </c>
      <c r="X759" s="187">
        <v>3940.38</v>
      </c>
      <c r="Y759" s="185">
        <v>14056</v>
      </c>
      <c r="Z759" s="187">
        <v>3475.23</v>
      </c>
      <c r="AA759" s="187">
        <v>0</v>
      </c>
      <c r="AB759" s="187">
        <v>465.15000000000009</v>
      </c>
      <c r="AC759" s="187">
        <v>109.44</v>
      </c>
      <c r="AD759" s="185">
        <v>54260</v>
      </c>
      <c r="AE759" s="187">
        <v>27.36</v>
      </c>
      <c r="AF759" s="187">
        <v>0</v>
      </c>
      <c r="AG759" s="187">
        <v>27.36</v>
      </c>
      <c r="AH759" s="185" t="s">
        <v>989</v>
      </c>
      <c r="AI759" s="185"/>
      <c r="AJ759" s="185"/>
      <c r="AK759" s="185" t="s">
        <v>45</v>
      </c>
      <c r="AL759" s="185" t="s">
        <v>2267</v>
      </c>
      <c r="AM759" s="185" t="s">
        <v>2269</v>
      </c>
      <c r="AN759" s="196"/>
      <c r="AO759" s="196"/>
      <c r="AP759" s="195"/>
      <c r="AQ759" s="194"/>
      <c r="AR759" s="193"/>
      <c r="AS759" s="192"/>
      <c r="AT759" s="192"/>
      <c r="AU759" s="192"/>
      <c r="AV759" s="192"/>
      <c r="AW759" s="191"/>
      <c r="AX759" s="190" t="s">
        <v>72</v>
      </c>
      <c r="AY759" s="184"/>
    </row>
    <row r="760" spans="2:51">
      <c r="B760" s="185">
        <v>2183</v>
      </c>
      <c r="C760" s="189">
        <v>107429</v>
      </c>
      <c r="D760" s="185" t="s">
        <v>989</v>
      </c>
      <c r="E760" s="185" t="s">
        <v>2003</v>
      </c>
      <c r="F760" s="185" t="s">
        <v>1601</v>
      </c>
      <c r="G760" s="185"/>
      <c r="H760" s="185"/>
      <c r="I760" s="188">
        <v>4</v>
      </c>
      <c r="J760" s="185"/>
      <c r="K760" s="188">
        <v>0</v>
      </c>
      <c r="L760" s="185" t="s">
        <v>1059</v>
      </c>
      <c r="M760" s="185"/>
      <c r="N760" s="185" t="s">
        <v>2190</v>
      </c>
      <c r="O760" s="185" t="s">
        <v>2184</v>
      </c>
      <c r="P760" s="185"/>
      <c r="Q760" s="185" t="s">
        <v>2194</v>
      </c>
      <c r="R760" s="185" t="s">
        <v>2195</v>
      </c>
      <c r="S760" s="186">
        <v>41536</v>
      </c>
      <c r="T760" s="186">
        <v>41536</v>
      </c>
      <c r="U760" s="185" t="s">
        <v>1602</v>
      </c>
      <c r="V760" s="185">
        <v>1200</v>
      </c>
      <c r="W760" s="185">
        <v>14050</v>
      </c>
      <c r="X760" s="187">
        <v>3152.3</v>
      </c>
      <c r="Y760" s="185">
        <v>14056</v>
      </c>
      <c r="Z760" s="187">
        <v>2780.13</v>
      </c>
      <c r="AA760" s="187">
        <v>0</v>
      </c>
      <c r="AB760" s="187">
        <v>372.17000000000007</v>
      </c>
      <c r="AC760" s="187">
        <v>87.56</v>
      </c>
      <c r="AD760" s="185">
        <v>54260</v>
      </c>
      <c r="AE760" s="187">
        <v>21.89</v>
      </c>
      <c r="AF760" s="187">
        <v>0</v>
      </c>
      <c r="AG760" s="187">
        <v>21.89</v>
      </c>
      <c r="AH760" s="185" t="s">
        <v>989</v>
      </c>
      <c r="AI760" s="185"/>
      <c r="AJ760" s="185"/>
      <c r="AK760" s="185" t="s">
        <v>45</v>
      </c>
      <c r="AL760" s="185" t="s">
        <v>2267</v>
      </c>
      <c r="AM760" s="185" t="s">
        <v>2269</v>
      </c>
      <c r="AN760" s="196"/>
      <c r="AO760" s="196"/>
      <c r="AP760" s="195"/>
      <c r="AQ760" s="194"/>
      <c r="AR760" s="193"/>
      <c r="AS760" s="192"/>
      <c r="AT760" s="192"/>
      <c r="AU760" s="192"/>
      <c r="AV760" s="192"/>
      <c r="AW760" s="191"/>
      <c r="AX760" s="190" t="s">
        <v>72</v>
      </c>
      <c r="AY760" s="184"/>
    </row>
    <row r="761" spans="2:51">
      <c r="B761" s="185">
        <v>2183</v>
      </c>
      <c r="C761" s="189">
        <v>107428</v>
      </c>
      <c r="D761" s="185" t="s">
        <v>989</v>
      </c>
      <c r="E761" s="185" t="s">
        <v>2003</v>
      </c>
      <c r="F761" s="185" t="s">
        <v>1601</v>
      </c>
      <c r="G761" s="185"/>
      <c r="H761" s="185"/>
      <c r="I761" s="188">
        <v>11</v>
      </c>
      <c r="J761" s="185"/>
      <c r="K761" s="188">
        <v>0</v>
      </c>
      <c r="L761" s="185" t="s">
        <v>1059</v>
      </c>
      <c r="M761" s="185"/>
      <c r="N761" s="185" t="s">
        <v>2190</v>
      </c>
      <c r="O761" s="185" t="s">
        <v>2184</v>
      </c>
      <c r="P761" s="185"/>
      <c r="Q761" s="185" t="s">
        <v>2194</v>
      </c>
      <c r="R761" s="185" t="s">
        <v>2195</v>
      </c>
      <c r="S761" s="186">
        <v>41536</v>
      </c>
      <c r="T761" s="186">
        <v>41536</v>
      </c>
      <c r="U761" s="185" t="s">
        <v>1602</v>
      </c>
      <c r="V761" s="185">
        <v>1200</v>
      </c>
      <c r="W761" s="185">
        <v>14050</v>
      </c>
      <c r="X761" s="187">
        <v>8668.83</v>
      </c>
      <c r="Y761" s="185">
        <v>14056</v>
      </c>
      <c r="Z761" s="187">
        <v>7645.4</v>
      </c>
      <c r="AA761" s="187">
        <v>0</v>
      </c>
      <c r="AB761" s="187">
        <v>1023.4300000000003</v>
      </c>
      <c r="AC761" s="187">
        <v>240.8</v>
      </c>
      <c r="AD761" s="185">
        <v>54260</v>
      </c>
      <c r="AE761" s="187">
        <v>60.2</v>
      </c>
      <c r="AF761" s="187">
        <v>0</v>
      </c>
      <c r="AG761" s="187">
        <v>60.2</v>
      </c>
      <c r="AH761" s="185" t="s">
        <v>989</v>
      </c>
      <c r="AI761" s="185"/>
      <c r="AJ761" s="185"/>
      <c r="AK761" s="185" t="s">
        <v>45</v>
      </c>
      <c r="AL761" s="185" t="s">
        <v>2267</v>
      </c>
      <c r="AM761" s="185" t="s">
        <v>2269</v>
      </c>
      <c r="AN761" s="196"/>
      <c r="AO761" s="196"/>
      <c r="AP761" s="195"/>
      <c r="AQ761" s="194"/>
      <c r="AR761" s="193"/>
      <c r="AS761" s="192"/>
      <c r="AT761" s="192"/>
      <c r="AU761" s="192"/>
      <c r="AV761" s="192"/>
      <c r="AW761" s="191"/>
      <c r="AX761" s="190" t="s">
        <v>72</v>
      </c>
      <c r="AY761" s="184"/>
    </row>
    <row r="762" spans="2:51">
      <c r="B762" s="185">
        <v>2183</v>
      </c>
      <c r="C762" s="189">
        <v>107130</v>
      </c>
      <c r="D762" s="185" t="s">
        <v>989</v>
      </c>
      <c r="E762" s="185" t="s">
        <v>2003</v>
      </c>
      <c r="F762" s="185" t="s">
        <v>1603</v>
      </c>
      <c r="G762" s="185"/>
      <c r="H762" s="185"/>
      <c r="I762" s="188">
        <v>8</v>
      </c>
      <c r="J762" s="185"/>
      <c r="K762" s="188">
        <v>0</v>
      </c>
      <c r="L762" s="185" t="s">
        <v>1059</v>
      </c>
      <c r="M762" s="185"/>
      <c r="N762" s="185" t="s">
        <v>2190</v>
      </c>
      <c r="O762" s="185" t="s">
        <v>2184</v>
      </c>
      <c r="P762" s="185"/>
      <c r="Q762" s="185" t="s">
        <v>2203</v>
      </c>
      <c r="R762" s="185" t="s">
        <v>2195</v>
      </c>
      <c r="S762" s="186">
        <v>41517</v>
      </c>
      <c r="T762" s="186">
        <v>41517</v>
      </c>
      <c r="U762" s="185" t="s">
        <v>1604</v>
      </c>
      <c r="V762" s="185">
        <v>1200</v>
      </c>
      <c r="W762" s="185">
        <v>14050</v>
      </c>
      <c r="X762" s="187">
        <v>5000.2</v>
      </c>
      <c r="Y762" s="185">
        <v>14056</v>
      </c>
      <c r="Z762" s="187">
        <v>4444.58</v>
      </c>
      <c r="AA762" s="187">
        <v>0</v>
      </c>
      <c r="AB762" s="187">
        <v>555.61999999999989</v>
      </c>
      <c r="AC762" s="187">
        <v>138.88</v>
      </c>
      <c r="AD762" s="185">
        <v>54260</v>
      </c>
      <c r="AE762" s="187">
        <v>34.72</v>
      </c>
      <c r="AF762" s="187">
        <v>0</v>
      </c>
      <c r="AG762" s="187">
        <v>34.72</v>
      </c>
      <c r="AH762" s="185" t="s">
        <v>989</v>
      </c>
      <c r="AI762" s="185"/>
      <c r="AJ762" s="185"/>
      <c r="AK762" s="185" t="s">
        <v>45</v>
      </c>
      <c r="AL762" s="185" t="s">
        <v>2267</v>
      </c>
      <c r="AM762" s="185" t="s">
        <v>2269</v>
      </c>
      <c r="AN762" s="196"/>
      <c r="AO762" s="196"/>
      <c r="AP762" s="195"/>
      <c r="AQ762" s="194"/>
      <c r="AR762" s="193"/>
      <c r="AS762" s="192"/>
      <c r="AT762" s="192"/>
      <c r="AU762" s="192"/>
      <c r="AV762" s="192"/>
      <c r="AW762" s="191"/>
      <c r="AX762" s="190" t="s">
        <v>72</v>
      </c>
      <c r="AY762" s="184"/>
    </row>
    <row r="763" spans="2:51">
      <c r="B763" s="185">
        <v>2183</v>
      </c>
      <c r="C763" s="189">
        <v>107129</v>
      </c>
      <c r="D763" s="185" t="s">
        <v>989</v>
      </c>
      <c r="E763" s="185" t="s">
        <v>2003</v>
      </c>
      <c r="F763" s="185" t="s">
        <v>1603</v>
      </c>
      <c r="G763" s="185"/>
      <c r="H763" s="185"/>
      <c r="I763" s="188">
        <v>12</v>
      </c>
      <c r="J763" s="185"/>
      <c r="K763" s="188">
        <v>0</v>
      </c>
      <c r="L763" s="185" t="s">
        <v>1059</v>
      </c>
      <c r="M763" s="185"/>
      <c r="N763" s="185" t="s">
        <v>2190</v>
      </c>
      <c r="O763" s="185" t="s">
        <v>2184</v>
      </c>
      <c r="P763" s="185"/>
      <c r="Q763" s="185" t="s">
        <v>2203</v>
      </c>
      <c r="R763" s="185" t="s">
        <v>2195</v>
      </c>
      <c r="S763" s="186">
        <v>41517</v>
      </c>
      <c r="T763" s="186">
        <v>41517</v>
      </c>
      <c r="U763" s="185" t="s">
        <v>1602</v>
      </c>
      <c r="V763" s="185">
        <v>1200</v>
      </c>
      <c r="W763" s="185">
        <v>14050</v>
      </c>
      <c r="X763" s="187">
        <v>7500.3</v>
      </c>
      <c r="Y763" s="185">
        <v>14056</v>
      </c>
      <c r="Z763" s="187">
        <v>6667</v>
      </c>
      <c r="AA763" s="187">
        <v>0</v>
      </c>
      <c r="AB763" s="187">
        <v>833.30000000000018</v>
      </c>
      <c r="AC763" s="187">
        <v>208.36</v>
      </c>
      <c r="AD763" s="185">
        <v>54260</v>
      </c>
      <c r="AE763" s="187">
        <v>52.09</v>
      </c>
      <c r="AF763" s="187">
        <v>0</v>
      </c>
      <c r="AG763" s="187">
        <v>52.09</v>
      </c>
      <c r="AH763" s="185" t="s">
        <v>989</v>
      </c>
      <c r="AI763" s="185"/>
      <c r="AJ763" s="185"/>
      <c r="AK763" s="185" t="s">
        <v>45</v>
      </c>
      <c r="AL763" s="185" t="s">
        <v>2267</v>
      </c>
      <c r="AM763" s="185" t="s">
        <v>2269</v>
      </c>
      <c r="AN763" s="196"/>
      <c r="AO763" s="196"/>
      <c r="AP763" s="195"/>
      <c r="AQ763" s="194"/>
      <c r="AR763" s="193"/>
      <c r="AS763" s="192"/>
      <c r="AT763" s="192"/>
      <c r="AU763" s="192"/>
      <c r="AV763" s="192"/>
      <c r="AW763" s="191"/>
      <c r="AX763" s="190" t="s">
        <v>72</v>
      </c>
      <c r="AY763" s="184"/>
    </row>
    <row r="764" spans="2:51">
      <c r="B764" s="185">
        <v>2183</v>
      </c>
      <c r="C764" s="189">
        <v>107056</v>
      </c>
      <c r="D764" s="185" t="s">
        <v>989</v>
      </c>
      <c r="E764" s="185" t="s">
        <v>2003</v>
      </c>
      <c r="F764" s="185" t="s">
        <v>1605</v>
      </c>
      <c r="G764" s="185"/>
      <c r="H764" s="185"/>
      <c r="I764" s="188">
        <v>20</v>
      </c>
      <c r="J764" s="185"/>
      <c r="K764" s="188">
        <v>0</v>
      </c>
      <c r="L764" s="185" t="s">
        <v>1059</v>
      </c>
      <c r="M764" s="185"/>
      <c r="N764" s="185" t="s">
        <v>2190</v>
      </c>
      <c r="O764" s="185" t="s">
        <v>2184</v>
      </c>
      <c r="P764" s="185"/>
      <c r="Q764" s="185" t="s">
        <v>2209</v>
      </c>
      <c r="R764" s="185" t="s">
        <v>2195</v>
      </c>
      <c r="S764" s="186">
        <v>41498</v>
      </c>
      <c r="T764" s="186">
        <v>41498</v>
      </c>
      <c r="U764" s="185" t="s">
        <v>1604</v>
      </c>
      <c r="V764" s="185">
        <v>1200</v>
      </c>
      <c r="W764" s="185">
        <v>14050</v>
      </c>
      <c r="X764" s="187">
        <v>8913.4</v>
      </c>
      <c r="Y764" s="185">
        <v>14056</v>
      </c>
      <c r="Z764" s="187">
        <v>7984.89</v>
      </c>
      <c r="AA764" s="187">
        <v>0</v>
      </c>
      <c r="AB764" s="187">
        <v>928.50999999999931</v>
      </c>
      <c r="AC764" s="187">
        <v>247.6</v>
      </c>
      <c r="AD764" s="185">
        <v>54260</v>
      </c>
      <c r="AE764" s="187">
        <v>61.9</v>
      </c>
      <c r="AF764" s="187">
        <v>0</v>
      </c>
      <c r="AG764" s="187">
        <v>61.9</v>
      </c>
      <c r="AH764" s="185" t="s">
        <v>989</v>
      </c>
      <c r="AI764" s="185"/>
      <c r="AJ764" s="185"/>
      <c r="AK764" s="185" t="s">
        <v>45</v>
      </c>
      <c r="AL764" s="185" t="s">
        <v>2267</v>
      </c>
      <c r="AM764" s="185" t="s">
        <v>2269</v>
      </c>
      <c r="AN764" s="196"/>
      <c r="AO764" s="196"/>
      <c r="AP764" s="195"/>
      <c r="AQ764" s="194"/>
      <c r="AR764" s="193"/>
      <c r="AS764" s="192"/>
      <c r="AT764" s="192"/>
      <c r="AU764" s="192"/>
      <c r="AV764" s="192"/>
      <c r="AW764" s="191"/>
      <c r="AX764" s="190" t="s">
        <v>72</v>
      </c>
      <c r="AY764" s="184"/>
    </row>
    <row r="765" spans="2:51">
      <c r="B765" s="185">
        <v>2183</v>
      </c>
      <c r="C765" s="189">
        <v>107055</v>
      </c>
      <c r="D765" s="185" t="s">
        <v>989</v>
      </c>
      <c r="E765" s="185" t="s">
        <v>2003</v>
      </c>
      <c r="F765" s="185" t="s">
        <v>1606</v>
      </c>
      <c r="G765" s="185"/>
      <c r="H765" s="185"/>
      <c r="I765" s="188">
        <v>163</v>
      </c>
      <c r="J765" s="185"/>
      <c r="K765" s="188">
        <v>0</v>
      </c>
      <c r="L765" s="185" t="s">
        <v>1513</v>
      </c>
      <c r="M765" s="185"/>
      <c r="N765" s="185" t="s">
        <v>2190</v>
      </c>
      <c r="O765" s="185" t="s">
        <v>2184</v>
      </c>
      <c r="P765" s="185"/>
      <c r="Q765" s="185"/>
      <c r="R765" s="185"/>
      <c r="S765" s="186">
        <v>41409</v>
      </c>
      <c r="T765" s="186">
        <v>41409</v>
      </c>
      <c r="U765" s="185" t="s">
        <v>1598</v>
      </c>
      <c r="V765" s="185">
        <v>700</v>
      </c>
      <c r="W765" s="185">
        <v>14050</v>
      </c>
      <c r="X765" s="187">
        <v>6529.77</v>
      </c>
      <c r="Y765" s="185">
        <v>14056</v>
      </c>
      <c r="Z765" s="187">
        <v>6529.77</v>
      </c>
      <c r="AA765" s="187">
        <v>0</v>
      </c>
      <c r="AB765" s="187">
        <v>0</v>
      </c>
      <c r="AC765" s="187">
        <v>0</v>
      </c>
      <c r="AD765" s="185">
        <v>54260</v>
      </c>
      <c r="AE765" s="187">
        <v>0</v>
      </c>
      <c r="AF765" s="187">
        <v>0</v>
      </c>
      <c r="AG765" s="187">
        <v>0</v>
      </c>
      <c r="AH765" s="185" t="s">
        <v>989</v>
      </c>
      <c r="AI765" s="185"/>
      <c r="AJ765" s="185"/>
      <c r="AK765" s="185" t="s">
        <v>45</v>
      </c>
      <c r="AL765" s="185" t="s">
        <v>2267</v>
      </c>
      <c r="AM765" s="185" t="s">
        <v>2269</v>
      </c>
      <c r="AN765" s="196"/>
      <c r="AO765" s="196"/>
      <c r="AP765" s="195"/>
      <c r="AQ765" s="194"/>
      <c r="AR765" s="193"/>
      <c r="AS765" s="192"/>
      <c r="AT765" s="192"/>
      <c r="AU765" s="192"/>
      <c r="AV765" s="192"/>
      <c r="AW765" s="191"/>
      <c r="AX765" s="190" t="s">
        <v>72</v>
      </c>
      <c r="AY765" s="184"/>
    </row>
    <row r="766" spans="2:51">
      <c r="B766" s="185">
        <v>2183</v>
      </c>
      <c r="C766" s="189">
        <v>106521</v>
      </c>
      <c r="D766" s="185" t="s">
        <v>989</v>
      </c>
      <c r="E766" s="185" t="s">
        <v>2003</v>
      </c>
      <c r="F766" s="185" t="s">
        <v>1607</v>
      </c>
      <c r="G766" s="185"/>
      <c r="H766" s="185"/>
      <c r="I766" s="188">
        <v>243</v>
      </c>
      <c r="J766" s="185"/>
      <c r="K766" s="188">
        <v>0</v>
      </c>
      <c r="L766" s="185" t="s">
        <v>1513</v>
      </c>
      <c r="M766" s="185"/>
      <c r="N766" s="185" t="s">
        <v>2190</v>
      </c>
      <c r="O766" s="185" t="s">
        <v>2184</v>
      </c>
      <c r="P766" s="185"/>
      <c r="Q766" s="185"/>
      <c r="R766" s="185"/>
      <c r="S766" s="186">
        <v>41479</v>
      </c>
      <c r="T766" s="186">
        <v>41479</v>
      </c>
      <c r="U766" s="185" t="s">
        <v>1596</v>
      </c>
      <c r="V766" s="185">
        <v>700</v>
      </c>
      <c r="W766" s="185">
        <v>14050</v>
      </c>
      <c r="X766" s="187">
        <v>11857.29</v>
      </c>
      <c r="Y766" s="185">
        <v>14056</v>
      </c>
      <c r="Z766" s="187">
        <v>11857.29</v>
      </c>
      <c r="AA766" s="187">
        <v>0</v>
      </c>
      <c r="AB766" s="187">
        <v>0</v>
      </c>
      <c r="AC766" s="187">
        <v>0</v>
      </c>
      <c r="AD766" s="185">
        <v>54260</v>
      </c>
      <c r="AE766" s="187">
        <v>0</v>
      </c>
      <c r="AF766" s="187">
        <v>0</v>
      </c>
      <c r="AG766" s="187">
        <v>0</v>
      </c>
      <c r="AH766" s="185" t="s">
        <v>989</v>
      </c>
      <c r="AI766" s="185"/>
      <c r="AJ766" s="185"/>
      <c r="AK766" s="185" t="s">
        <v>45</v>
      </c>
      <c r="AL766" s="185" t="s">
        <v>2267</v>
      </c>
      <c r="AM766" s="185" t="s">
        <v>2269</v>
      </c>
      <c r="AN766" s="196"/>
      <c r="AO766" s="196"/>
      <c r="AP766" s="195"/>
      <c r="AQ766" s="194"/>
      <c r="AR766" s="193"/>
      <c r="AS766" s="192"/>
      <c r="AT766" s="192"/>
      <c r="AU766" s="192"/>
      <c r="AV766" s="192"/>
      <c r="AW766" s="191"/>
      <c r="AX766" s="190" t="s">
        <v>72</v>
      </c>
      <c r="AY766" s="184"/>
    </row>
    <row r="767" spans="2:51">
      <c r="B767" s="185">
        <v>2183</v>
      </c>
      <c r="C767" s="189">
        <v>106520</v>
      </c>
      <c r="D767" s="185" t="s">
        <v>989</v>
      </c>
      <c r="E767" s="185" t="s">
        <v>2003</v>
      </c>
      <c r="F767" s="185" t="s">
        <v>1608</v>
      </c>
      <c r="G767" s="185"/>
      <c r="H767" s="185"/>
      <c r="I767" s="188">
        <v>20</v>
      </c>
      <c r="J767" s="185"/>
      <c r="K767" s="188">
        <v>0</v>
      </c>
      <c r="L767" s="185" t="s">
        <v>1047</v>
      </c>
      <c r="M767" s="185"/>
      <c r="N767" s="185" t="s">
        <v>2190</v>
      </c>
      <c r="O767" s="185" t="s">
        <v>2184</v>
      </c>
      <c r="P767" s="185"/>
      <c r="Q767" s="185" t="s">
        <v>2208</v>
      </c>
      <c r="R767" s="185" t="s">
        <v>2195</v>
      </c>
      <c r="S767" s="186">
        <v>41498</v>
      </c>
      <c r="T767" s="186">
        <v>41498</v>
      </c>
      <c r="U767" s="185" t="s">
        <v>1604</v>
      </c>
      <c r="V767" s="185">
        <v>1200</v>
      </c>
      <c r="W767" s="185">
        <v>14050</v>
      </c>
      <c r="X767" s="187">
        <v>10000.4</v>
      </c>
      <c r="Y767" s="185">
        <v>14056</v>
      </c>
      <c r="Z767" s="187">
        <v>8958.74</v>
      </c>
      <c r="AA767" s="187">
        <v>0</v>
      </c>
      <c r="AB767" s="187">
        <v>1041.6599999999999</v>
      </c>
      <c r="AC767" s="187">
        <v>277.8</v>
      </c>
      <c r="AD767" s="185">
        <v>54260</v>
      </c>
      <c r="AE767" s="187">
        <v>69.45</v>
      </c>
      <c r="AF767" s="187">
        <v>0</v>
      </c>
      <c r="AG767" s="187">
        <v>69.45</v>
      </c>
      <c r="AH767" s="185" t="s">
        <v>989</v>
      </c>
      <c r="AI767" s="185"/>
      <c r="AJ767" s="185"/>
      <c r="AK767" s="185" t="s">
        <v>45</v>
      </c>
      <c r="AL767" s="185" t="s">
        <v>2267</v>
      </c>
      <c r="AM767" s="185" t="s">
        <v>2269</v>
      </c>
      <c r="AN767" s="196"/>
      <c r="AO767" s="196"/>
      <c r="AP767" s="195"/>
      <c r="AQ767" s="194"/>
      <c r="AR767" s="193"/>
      <c r="AS767" s="192"/>
      <c r="AT767" s="192"/>
      <c r="AU767" s="192"/>
      <c r="AV767" s="192"/>
      <c r="AW767" s="191"/>
      <c r="AX767" s="190" t="s">
        <v>72</v>
      </c>
      <c r="AY767" s="184"/>
    </row>
    <row r="768" spans="2:51">
      <c r="B768" s="185">
        <v>2183</v>
      </c>
      <c r="C768" s="189">
        <v>106448</v>
      </c>
      <c r="D768" s="185" t="s">
        <v>989</v>
      </c>
      <c r="E768" s="185" t="s">
        <v>2003</v>
      </c>
      <c r="F768" s="185" t="s">
        <v>1609</v>
      </c>
      <c r="G768" s="185"/>
      <c r="H768" s="185"/>
      <c r="I768" s="188">
        <v>540</v>
      </c>
      <c r="J768" s="185" t="s">
        <v>1610</v>
      </c>
      <c r="K768" s="188">
        <v>0</v>
      </c>
      <c r="L768" s="185"/>
      <c r="M768" s="185"/>
      <c r="N768" s="185" t="s">
        <v>2190</v>
      </c>
      <c r="O768" s="185" t="s">
        <v>2184</v>
      </c>
      <c r="P768" s="185"/>
      <c r="Q768" s="185"/>
      <c r="R768" s="185"/>
      <c r="S768" s="186">
        <v>41479</v>
      </c>
      <c r="T768" s="186">
        <v>41479</v>
      </c>
      <c r="U768" s="185" t="s">
        <v>1596</v>
      </c>
      <c r="V768" s="185">
        <v>700</v>
      </c>
      <c r="W768" s="185">
        <v>14050</v>
      </c>
      <c r="X768" s="187">
        <v>21137.37</v>
      </c>
      <c r="Y768" s="185">
        <v>14056</v>
      </c>
      <c r="Z768" s="187">
        <v>21137.37</v>
      </c>
      <c r="AA768" s="187">
        <v>0</v>
      </c>
      <c r="AB768" s="187">
        <v>0</v>
      </c>
      <c r="AC768" s="187">
        <v>0</v>
      </c>
      <c r="AD768" s="185">
        <v>54260</v>
      </c>
      <c r="AE768" s="187">
        <v>0</v>
      </c>
      <c r="AF768" s="187">
        <v>0</v>
      </c>
      <c r="AG768" s="187">
        <v>0</v>
      </c>
      <c r="AH768" s="185" t="s">
        <v>989</v>
      </c>
      <c r="AI768" s="185"/>
      <c r="AJ768" s="185"/>
      <c r="AK768" s="185" t="s">
        <v>45</v>
      </c>
      <c r="AL768" s="185" t="s">
        <v>2267</v>
      </c>
      <c r="AM768" s="185" t="s">
        <v>2269</v>
      </c>
      <c r="AN768" s="196"/>
      <c r="AO768" s="196"/>
      <c r="AP768" s="195"/>
      <c r="AQ768" s="194"/>
      <c r="AR768" s="193"/>
      <c r="AS768" s="192"/>
      <c r="AT768" s="192"/>
      <c r="AU768" s="192"/>
      <c r="AV768" s="192"/>
      <c r="AW768" s="191"/>
      <c r="AX768" s="190" t="s">
        <v>72</v>
      </c>
      <c r="AY768" s="184"/>
    </row>
    <row r="769" spans="2:51">
      <c r="B769" s="185">
        <v>2183</v>
      </c>
      <c r="C769" s="189">
        <v>106016</v>
      </c>
      <c r="D769" s="185" t="s">
        <v>989</v>
      </c>
      <c r="E769" s="185" t="s">
        <v>2003</v>
      </c>
      <c r="F769" s="185" t="s">
        <v>481</v>
      </c>
      <c r="G769" s="185"/>
      <c r="H769" s="185"/>
      <c r="I769" s="188">
        <v>1</v>
      </c>
      <c r="J769" s="185"/>
      <c r="K769" s="188">
        <v>0</v>
      </c>
      <c r="L769" s="185"/>
      <c r="M769" s="185"/>
      <c r="N769" s="185" t="s">
        <v>2198</v>
      </c>
      <c r="O769" s="185" t="s">
        <v>2184</v>
      </c>
      <c r="P769" s="185"/>
      <c r="Q769" s="185"/>
      <c r="R769" s="185"/>
      <c r="S769" s="186">
        <v>41470</v>
      </c>
      <c r="T769" s="186">
        <v>41470</v>
      </c>
      <c r="U769" s="185" t="s">
        <v>1611</v>
      </c>
      <c r="V769" s="185">
        <v>500</v>
      </c>
      <c r="W769" s="185">
        <v>14070</v>
      </c>
      <c r="X769" s="187">
        <v>14451.45</v>
      </c>
      <c r="Y769" s="185">
        <v>14076</v>
      </c>
      <c r="Z769" s="187">
        <v>14451.45</v>
      </c>
      <c r="AA769" s="187">
        <v>0</v>
      </c>
      <c r="AB769" s="187">
        <v>0</v>
      </c>
      <c r="AC769" s="187">
        <v>0</v>
      </c>
      <c r="AD769" s="185">
        <v>51260</v>
      </c>
      <c r="AE769" s="187">
        <v>0</v>
      </c>
      <c r="AF769" s="187">
        <v>0</v>
      </c>
      <c r="AG769" s="187">
        <v>0</v>
      </c>
      <c r="AH769" s="185" t="s">
        <v>989</v>
      </c>
      <c r="AI769" s="185"/>
      <c r="AJ769" s="185"/>
      <c r="AK769" s="185" t="s">
        <v>45</v>
      </c>
      <c r="AL769" s="185" t="s">
        <v>2267</v>
      </c>
      <c r="AM769" s="185" t="s">
        <v>2269</v>
      </c>
      <c r="AN769" s="196"/>
      <c r="AO769" s="196"/>
      <c r="AP769" s="195"/>
      <c r="AQ769" s="194"/>
      <c r="AR769" s="193"/>
      <c r="AS769" s="192"/>
      <c r="AT769" s="192"/>
      <c r="AU769" s="192"/>
      <c r="AV769" s="192"/>
      <c r="AW769" s="191"/>
      <c r="AX769" s="190" t="s">
        <v>72</v>
      </c>
      <c r="AY769" s="184"/>
    </row>
    <row r="770" spans="2:51">
      <c r="B770" s="185">
        <v>2183</v>
      </c>
      <c r="C770" s="189">
        <v>104202</v>
      </c>
      <c r="D770" s="185" t="s">
        <v>989</v>
      </c>
      <c r="E770" s="185" t="s">
        <v>2003</v>
      </c>
      <c r="F770" s="185" t="s">
        <v>1612</v>
      </c>
      <c r="G770" s="185"/>
      <c r="H770" s="185"/>
      <c r="I770" s="188">
        <v>1</v>
      </c>
      <c r="J770" s="185"/>
      <c r="K770" s="188">
        <v>0</v>
      </c>
      <c r="L770" s="185" t="s">
        <v>1613</v>
      </c>
      <c r="M770" s="185"/>
      <c r="N770" s="185" t="s">
        <v>2183</v>
      </c>
      <c r="O770" s="185" t="s">
        <v>2184</v>
      </c>
      <c r="P770" s="185" t="s">
        <v>1028</v>
      </c>
      <c r="Q770" s="185"/>
      <c r="R770" s="185"/>
      <c r="S770" s="186">
        <v>41393</v>
      </c>
      <c r="T770" s="186">
        <v>41393</v>
      </c>
      <c r="U770" s="185" t="s">
        <v>1614</v>
      </c>
      <c r="V770" s="185">
        <v>300</v>
      </c>
      <c r="W770" s="185">
        <v>14040</v>
      </c>
      <c r="X770" s="187">
        <v>5869</v>
      </c>
      <c r="Y770" s="185">
        <v>14046</v>
      </c>
      <c r="Z770" s="187">
        <v>5869</v>
      </c>
      <c r="AA770" s="187">
        <v>0</v>
      </c>
      <c r="AB770" s="187">
        <v>0</v>
      </c>
      <c r="AC770" s="187">
        <v>0</v>
      </c>
      <c r="AD770" s="185">
        <v>51260</v>
      </c>
      <c r="AE770" s="187">
        <v>0</v>
      </c>
      <c r="AF770" s="187">
        <v>0</v>
      </c>
      <c r="AG770" s="187">
        <v>0</v>
      </c>
      <c r="AH770" s="185" t="s">
        <v>989</v>
      </c>
      <c r="AI770" s="185"/>
      <c r="AJ770" s="185"/>
      <c r="AK770" s="185" t="s">
        <v>45</v>
      </c>
      <c r="AL770" s="185" t="s">
        <v>2267</v>
      </c>
      <c r="AM770" s="185" t="s">
        <v>2269</v>
      </c>
      <c r="AN770" s="196"/>
      <c r="AO770" s="196"/>
      <c r="AP770" s="195"/>
      <c r="AQ770" s="194"/>
      <c r="AR770" s="193"/>
      <c r="AS770" s="192"/>
      <c r="AT770" s="192"/>
      <c r="AU770" s="192"/>
      <c r="AV770" s="192"/>
      <c r="AW770" s="191"/>
      <c r="AX770" s="190" t="s">
        <v>72</v>
      </c>
      <c r="AY770" s="184"/>
    </row>
    <row r="771" spans="2:51">
      <c r="B771" s="185">
        <v>2183</v>
      </c>
      <c r="C771" s="189">
        <v>104091</v>
      </c>
      <c r="D771" s="185" t="s">
        <v>989</v>
      </c>
      <c r="E771" s="185" t="s">
        <v>2003</v>
      </c>
      <c r="F771" s="185" t="s">
        <v>1615</v>
      </c>
      <c r="G771" s="185"/>
      <c r="H771" s="185"/>
      <c r="I771" s="188">
        <v>360</v>
      </c>
      <c r="J771" s="185"/>
      <c r="K771" s="188">
        <v>0</v>
      </c>
      <c r="L771" s="185" t="s">
        <v>1513</v>
      </c>
      <c r="M771" s="185"/>
      <c r="N771" s="185" t="s">
        <v>2190</v>
      </c>
      <c r="O771" s="185" t="s">
        <v>2184</v>
      </c>
      <c r="P771" s="185"/>
      <c r="Q771" s="185"/>
      <c r="R771" s="185"/>
      <c r="S771" s="186">
        <v>41364</v>
      </c>
      <c r="T771" s="186">
        <v>41364</v>
      </c>
      <c r="U771" s="185" t="s">
        <v>1616</v>
      </c>
      <c r="V771" s="185">
        <v>700</v>
      </c>
      <c r="W771" s="185">
        <v>14050</v>
      </c>
      <c r="X771" s="187">
        <v>14320.19</v>
      </c>
      <c r="Y771" s="185">
        <v>14056</v>
      </c>
      <c r="Z771" s="187">
        <v>14320.19</v>
      </c>
      <c r="AA771" s="187">
        <v>0</v>
      </c>
      <c r="AB771" s="187">
        <v>0</v>
      </c>
      <c r="AC771" s="187">
        <v>0</v>
      </c>
      <c r="AD771" s="185">
        <v>54260</v>
      </c>
      <c r="AE771" s="187">
        <v>0</v>
      </c>
      <c r="AF771" s="187">
        <v>0</v>
      </c>
      <c r="AG771" s="187">
        <v>0</v>
      </c>
      <c r="AH771" s="185" t="s">
        <v>989</v>
      </c>
      <c r="AI771" s="185"/>
      <c r="AJ771" s="185"/>
      <c r="AK771" s="185" t="s">
        <v>45</v>
      </c>
      <c r="AL771" s="185" t="s">
        <v>2267</v>
      </c>
      <c r="AM771" s="185" t="s">
        <v>2269</v>
      </c>
      <c r="AN771" s="196"/>
      <c r="AO771" s="196"/>
      <c r="AP771" s="195"/>
      <c r="AQ771" s="194"/>
      <c r="AR771" s="193"/>
      <c r="AS771" s="192"/>
      <c r="AT771" s="192"/>
      <c r="AU771" s="192"/>
      <c r="AV771" s="192"/>
      <c r="AW771" s="191"/>
      <c r="AX771" s="190" t="s">
        <v>72</v>
      </c>
      <c r="AY771" s="184"/>
    </row>
    <row r="772" spans="2:51">
      <c r="B772" s="185">
        <v>2183</v>
      </c>
      <c r="C772" s="189">
        <v>104090</v>
      </c>
      <c r="D772" s="185" t="s">
        <v>989</v>
      </c>
      <c r="E772" s="185" t="s">
        <v>2003</v>
      </c>
      <c r="F772" s="185" t="s">
        <v>1617</v>
      </c>
      <c r="G772" s="185"/>
      <c r="H772" s="185"/>
      <c r="I772" s="188">
        <v>360</v>
      </c>
      <c r="J772" s="185"/>
      <c r="K772" s="188">
        <v>0</v>
      </c>
      <c r="L772" s="185" t="s">
        <v>1513</v>
      </c>
      <c r="M772" s="185"/>
      <c r="N772" s="185" t="s">
        <v>2190</v>
      </c>
      <c r="O772" s="185" t="s">
        <v>2184</v>
      </c>
      <c r="P772" s="185"/>
      <c r="Q772" s="185"/>
      <c r="R772" s="185"/>
      <c r="S772" s="186">
        <v>41406</v>
      </c>
      <c r="T772" s="186">
        <v>41406</v>
      </c>
      <c r="U772" s="185" t="s">
        <v>1618</v>
      </c>
      <c r="V772" s="185">
        <v>700</v>
      </c>
      <c r="W772" s="185">
        <v>14050</v>
      </c>
      <c r="X772" s="187">
        <v>4482.74</v>
      </c>
      <c r="Y772" s="185">
        <v>14056</v>
      </c>
      <c r="Z772" s="187">
        <v>4482.74</v>
      </c>
      <c r="AA772" s="187">
        <v>0</v>
      </c>
      <c r="AB772" s="187">
        <v>0</v>
      </c>
      <c r="AC772" s="187">
        <v>0</v>
      </c>
      <c r="AD772" s="185">
        <v>54260</v>
      </c>
      <c r="AE772" s="187">
        <v>0</v>
      </c>
      <c r="AF772" s="187">
        <v>0</v>
      </c>
      <c r="AG772" s="187">
        <v>0</v>
      </c>
      <c r="AH772" s="185" t="s">
        <v>989</v>
      </c>
      <c r="AI772" s="185"/>
      <c r="AJ772" s="185"/>
      <c r="AK772" s="185" t="s">
        <v>45</v>
      </c>
      <c r="AL772" s="185" t="s">
        <v>2267</v>
      </c>
      <c r="AM772" s="185" t="s">
        <v>2269</v>
      </c>
      <c r="AN772" s="196"/>
      <c r="AO772" s="196"/>
      <c r="AP772" s="195"/>
      <c r="AQ772" s="194"/>
      <c r="AR772" s="193"/>
      <c r="AS772" s="192"/>
      <c r="AT772" s="192"/>
      <c r="AU772" s="192"/>
      <c r="AV772" s="192"/>
      <c r="AW772" s="191"/>
      <c r="AX772" s="190" t="s">
        <v>72</v>
      </c>
      <c r="AY772" s="184"/>
    </row>
    <row r="773" spans="2:51">
      <c r="B773" s="185">
        <v>2183</v>
      </c>
      <c r="C773" s="189">
        <v>104089</v>
      </c>
      <c r="D773" s="185" t="s">
        <v>989</v>
      </c>
      <c r="E773" s="185" t="s">
        <v>2003</v>
      </c>
      <c r="F773" s="185" t="s">
        <v>1617</v>
      </c>
      <c r="G773" s="185"/>
      <c r="H773" s="185"/>
      <c r="I773" s="188">
        <v>126</v>
      </c>
      <c r="J773" s="185"/>
      <c r="K773" s="188">
        <v>0</v>
      </c>
      <c r="L773" s="185" t="s">
        <v>1513</v>
      </c>
      <c r="M773" s="185"/>
      <c r="N773" s="185" t="s">
        <v>2190</v>
      </c>
      <c r="O773" s="185" t="s">
        <v>2184</v>
      </c>
      <c r="P773" s="185"/>
      <c r="Q773" s="185"/>
      <c r="R773" s="185"/>
      <c r="S773" s="186">
        <v>41409</v>
      </c>
      <c r="T773" s="186">
        <v>41409</v>
      </c>
      <c r="U773" s="185" t="s">
        <v>1598</v>
      </c>
      <c r="V773" s="185">
        <v>700</v>
      </c>
      <c r="W773" s="185">
        <v>14050</v>
      </c>
      <c r="X773" s="187">
        <v>6580.15</v>
      </c>
      <c r="Y773" s="185">
        <v>14056</v>
      </c>
      <c r="Z773" s="187">
        <v>6580.15</v>
      </c>
      <c r="AA773" s="187">
        <v>0</v>
      </c>
      <c r="AB773" s="187">
        <v>0</v>
      </c>
      <c r="AC773" s="187">
        <v>0</v>
      </c>
      <c r="AD773" s="185">
        <v>54260</v>
      </c>
      <c r="AE773" s="187">
        <v>0</v>
      </c>
      <c r="AF773" s="187">
        <v>0</v>
      </c>
      <c r="AG773" s="187">
        <v>0</v>
      </c>
      <c r="AH773" s="185" t="s">
        <v>989</v>
      </c>
      <c r="AI773" s="185"/>
      <c r="AJ773" s="185"/>
      <c r="AK773" s="185" t="s">
        <v>45</v>
      </c>
      <c r="AL773" s="185" t="s">
        <v>2267</v>
      </c>
      <c r="AM773" s="185" t="s">
        <v>2269</v>
      </c>
      <c r="AN773" s="196"/>
      <c r="AO773" s="196"/>
      <c r="AP773" s="195"/>
      <c r="AQ773" s="194"/>
      <c r="AR773" s="193"/>
      <c r="AS773" s="192"/>
      <c r="AT773" s="192"/>
      <c r="AU773" s="192"/>
      <c r="AV773" s="192"/>
      <c r="AW773" s="191"/>
      <c r="AX773" s="190" t="s">
        <v>72</v>
      </c>
      <c r="AY773" s="184"/>
    </row>
    <row r="774" spans="2:51">
      <c r="B774" s="185">
        <v>2183</v>
      </c>
      <c r="C774" s="189">
        <v>104088</v>
      </c>
      <c r="D774" s="185" t="s">
        <v>989</v>
      </c>
      <c r="E774" s="185" t="s">
        <v>2003</v>
      </c>
      <c r="F774" s="185" t="s">
        <v>1619</v>
      </c>
      <c r="G774" s="185"/>
      <c r="H774" s="185"/>
      <c r="I774" s="188">
        <v>444</v>
      </c>
      <c r="J774" s="185"/>
      <c r="K774" s="188">
        <v>0</v>
      </c>
      <c r="L774" s="185" t="s">
        <v>1513</v>
      </c>
      <c r="M774" s="185"/>
      <c r="N774" s="185" t="s">
        <v>2190</v>
      </c>
      <c r="O774" s="185" t="s">
        <v>2184</v>
      </c>
      <c r="P774" s="185"/>
      <c r="Q774" s="185"/>
      <c r="R774" s="185"/>
      <c r="S774" s="186">
        <v>41406</v>
      </c>
      <c r="T774" s="186">
        <v>41406</v>
      </c>
      <c r="U774" s="185" t="s">
        <v>1618</v>
      </c>
      <c r="V774" s="185">
        <v>700</v>
      </c>
      <c r="W774" s="185">
        <v>14050</v>
      </c>
      <c r="X774" s="187">
        <v>16700.669999999998</v>
      </c>
      <c r="Y774" s="185">
        <v>14056</v>
      </c>
      <c r="Z774" s="187">
        <v>16700.669999999998</v>
      </c>
      <c r="AA774" s="187">
        <v>0</v>
      </c>
      <c r="AB774" s="187">
        <v>0</v>
      </c>
      <c r="AC774" s="187">
        <v>0</v>
      </c>
      <c r="AD774" s="185">
        <v>54260</v>
      </c>
      <c r="AE774" s="187">
        <v>0</v>
      </c>
      <c r="AF774" s="187">
        <v>0</v>
      </c>
      <c r="AG774" s="187">
        <v>0</v>
      </c>
      <c r="AH774" s="185" t="s">
        <v>989</v>
      </c>
      <c r="AI774" s="185"/>
      <c r="AJ774" s="185"/>
      <c r="AK774" s="185" t="s">
        <v>45</v>
      </c>
      <c r="AL774" s="185" t="s">
        <v>2267</v>
      </c>
      <c r="AM774" s="185" t="s">
        <v>2269</v>
      </c>
      <c r="AN774" s="196"/>
      <c r="AO774" s="196"/>
      <c r="AP774" s="195"/>
      <c r="AQ774" s="194"/>
      <c r="AR774" s="193"/>
      <c r="AS774" s="192"/>
      <c r="AT774" s="192"/>
      <c r="AU774" s="192"/>
      <c r="AV774" s="192"/>
      <c r="AW774" s="191"/>
      <c r="AX774" s="190" t="s">
        <v>72</v>
      </c>
      <c r="AY774" s="184"/>
    </row>
    <row r="775" spans="2:51">
      <c r="B775" s="185">
        <v>2183</v>
      </c>
      <c r="C775" s="189">
        <v>104087</v>
      </c>
      <c r="D775" s="185" t="s">
        <v>989</v>
      </c>
      <c r="E775" s="185" t="s">
        <v>2003</v>
      </c>
      <c r="F775" s="185" t="s">
        <v>1620</v>
      </c>
      <c r="G775" s="185"/>
      <c r="H775" s="185"/>
      <c r="I775" s="188">
        <v>324</v>
      </c>
      <c r="J775" s="185"/>
      <c r="K775" s="188">
        <v>0</v>
      </c>
      <c r="L775" s="185" t="s">
        <v>1513</v>
      </c>
      <c r="M775" s="185"/>
      <c r="N775" s="185" t="s">
        <v>2190</v>
      </c>
      <c r="O775" s="185" t="s">
        <v>2184</v>
      </c>
      <c r="P775" s="185"/>
      <c r="Q775" s="185"/>
      <c r="R775" s="185"/>
      <c r="S775" s="186">
        <v>41364</v>
      </c>
      <c r="T775" s="186">
        <v>41364</v>
      </c>
      <c r="U775" s="185" t="s">
        <v>1616</v>
      </c>
      <c r="V775" s="185">
        <v>700</v>
      </c>
      <c r="W775" s="185">
        <v>14050</v>
      </c>
      <c r="X775" s="187">
        <v>14387.53</v>
      </c>
      <c r="Y775" s="185">
        <v>14056</v>
      </c>
      <c r="Z775" s="187">
        <v>14387.53</v>
      </c>
      <c r="AA775" s="187">
        <v>0</v>
      </c>
      <c r="AB775" s="187">
        <v>0</v>
      </c>
      <c r="AC775" s="187">
        <v>0</v>
      </c>
      <c r="AD775" s="185">
        <v>54260</v>
      </c>
      <c r="AE775" s="187">
        <v>0</v>
      </c>
      <c r="AF775" s="187">
        <v>0</v>
      </c>
      <c r="AG775" s="187">
        <v>0</v>
      </c>
      <c r="AH775" s="185" t="s">
        <v>989</v>
      </c>
      <c r="AI775" s="185"/>
      <c r="AJ775" s="185"/>
      <c r="AK775" s="185" t="s">
        <v>45</v>
      </c>
      <c r="AL775" s="185" t="s">
        <v>2267</v>
      </c>
      <c r="AM775" s="185" t="s">
        <v>2269</v>
      </c>
      <c r="AN775" s="196"/>
      <c r="AO775" s="196"/>
      <c r="AP775" s="195"/>
      <c r="AQ775" s="194"/>
      <c r="AR775" s="193"/>
      <c r="AS775" s="192"/>
      <c r="AT775" s="192"/>
      <c r="AU775" s="192"/>
      <c r="AV775" s="192"/>
      <c r="AW775" s="191"/>
      <c r="AX775" s="190" t="s">
        <v>72</v>
      </c>
      <c r="AY775" s="184"/>
    </row>
    <row r="776" spans="2:51" hidden="1">
      <c r="B776" s="185">
        <v>2183</v>
      </c>
      <c r="C776" s="189">
        <v>103479</v>
      </c>
      <c r="D776" s="185">
        <v>61093</v>
      </c>
      <c r="E776" s="185" t="s">
        <v>2003</v>
      </c>
      <c r="F776" s="185" t="s">
        <v>1621</v>
      </c>
      <c r="G776" s="185"/>
      <c r="H776" s="185"/>
      <c r="I776" s="188">
        <v>1</v>
      </c>
      <c r="J776" s="185"/>
      <c r="K776" s="188">
        <v>0</v>
      </c>
      <c r="L776" s="185" t="s">
        <v>1622</v>
      </c>
      <c r="M776" s="185"/>
      <c r="N776" s="185" t="s">
        <v>2183</v>
      </c>
      <c r="O776" s="185" t="s">
        <v>2184</v>
      </c>
      <c r="P776" s="185" t="s">
        <v>1873</v>
      </c>
      <c r="Q776" s="185"/>
      <c r="R776" s="185"/>
      <c r="S776" s="186">
        <v>41353</v>
      </c>
      <c r="T776" s="186">
        <v>41353</v>
      </c>
      <c r="U776" s="185" t="s">
        <v>1623</v>
      </c>
      <c r="V776" s="185">
        <v>300</v>
      </c>
      <c r="W776" s="185">
        <v>14040</v>
      </c>
      <c r="X776" s="187">
        <v>13741.65</v>
      </c>
      <c r="Y776" s="185">
        <v>14046</v>
      </c>
      <c r="Z776" s="187">
        <v>13741.65</v>
      </c>
      <c r="AA776" s="187">
        <v>0</v>
      </c>
      <c r="AB776" s="187">
        <v>0</v>
      </c>
      <c r="AC776" s="187">
        <v>0</v>
      </c>
      <c r="AD776" s="185">
        <v>51260</v>
      </c>
      <c r="AE776" s="187">
        <v>0</v>
      </c>
      <c r="AF776" s="187">
        <v>0</v>
      </c>
      <c r="AG776" s="187">
        <v>0</v>
      </c>
      <c r="AH776" s="185" t="s">
        <v>989</v>
      </c>
      <c r="AI776" s="185"/>
      <c r="AJ776" s="185"/>
      <c r="AK776" s="185" t="s">
        <v>45</v>
      </c>
      <c r="AL776" s="185" t="s">
        <v>2267</v>
      </c>
      <c r="AM776" s="185" t="s">
        <v>2269</v>
      </c>
      <c r="AN776" s="196"/>
      <c r="AO776" s="196"/>
      <c r="AP776" s="195"/>
      <c r="AQ776" s="194"/>
      <c r="AR776" s="193"/>
      <c r="AS776" s="192"/>
      <c r="AT776" s="192"/>
      <c r="AU776" s="192"/>
      <c r="AV776" s="192"/>
      <c r="AW776" s="191"/>
      <c r="AX776" s="190" t="s">
        <v>72</v>
      </c>
      <c r="AY776" s="184"/>
    </row>
    <row r="777" spans="2:51" hidden="1">
      <c r="B777" s="185">
        <v>2183</v>
      </c>
      <c r="C777" s="189">
        <v>102857</v>
      </c>
      <c r="D777" s="185">
        <v>102855</v>
      </c>
      <c r="E777" s="185" t="s">
        <v>2003</v>
      </c>
      <c r="F777" s="185" t="s">
        <v>1624</v>
      </c>
      <c r="G777" s="185"/>
      <c r="H777" s="185"/>
      <c r="I777" s="188">
        <v>513</v>
      </c>
      <c r="J777" s="185"/>
      <c r="K777" s="188">
        <v>0</v>
      </c>
      <c r="L777" s="185" t="s">
        <v>1513</v>
      </c>
      <c r="M777" s="185"/>
      <c r="N777" s="185" t="s">
        <v>2190</v>
      </c>
      <c r="O777" s="185" t="s">
        <v>2184</v>
      </c>
      <c r="P777" s="185"/>
      <c r="Q777" s="185"/>
      <c r="R777" s="185"/>
      <c r="S777" s="186">
        <v>41364</v>
      </c>
      <c r="T777" s="186">
        <v>41364</v>
      </c>
      <c r="U777" s="185" t="s">
        <v>1616</v>
      </c>
      <c r="V777" s="185">
        <v>500</v>
      </c>
      <c r="W777" s="185">
        <v>14050</v>
      </c>
      <c r="X777" s="187">
        <v>292.27999999999997</v>
      </c>
      <c r="Y777" s="185">
        <v>14056</v>
      </c>
      <c r="Z777" s="187">
        <v>292.27999999999997</v>
      </c>
      <c r="AA777" s="187">
        <v>0</v>
      </c>
      <c r="AB777" s="187">
        <v>0</v>
      </c>
      <c r="AC777" s="187">
        <v>0</v>
      </c>
      <c r="AD777" s="185">
        <v>54260</v>
      </c>
      <c r="AE777" s="187">
        <v>0</v>
      </c>
      <c r="AF777" s="187">
        <v>0</v>
      </c>
      <c r="AG777" s="187">
        <v>0</v>
      </c>
      <c r="AH777" s="185" t="s">
        <v>989</v>
      </c>
      <c r="AI777" s="185"/>
      <c r="AJ777" s="185"/>
      <c r="AK777" s="185" t="s">
        <v>45</v>
      </c>
      <c r="AL777" s="185" t="s">
        <v>2267</v>
      </c>
      <c r="AM777" s="185" t="s">
        <v>2269</v>
      </c>
      <c r="AN777" s="196"/>
      <c r="AO777" s="196"/>
      <c r="AP777" s="195"/>
      <c r="AQ777" s="194"/>
      <c r="AR777" s="193"/>
      <c r="AS777" s="192"/>
      <c r="AT777" s="192"/>
      <c r="AU777" s="192"/>
      <c r="AV777" s="192"/>
      <c r="AW777" s="191"/>
      <c r="AX777" s="190" t="s">
        <v>72</v>
      </c>
      <c r="AY777" s="184"/>
    </row>
    <row r="778" spans="2:51" hidden="1">
      <c r="B778" s="185">
        <v>2183</v>
      </c>
      <c r="C778" s="189">
        <v>102856</v>
      </c>
      <c r="D778" s="185">
        <v>102855</v>
      </c>
      <c r="E778" s="185" t="s">
        <v>2003</v>
      </c>
      <c r="F778" s="185" t="s">
        <v>1624</v>
      </c>
      <c r="G778" s="185"/>
      <c r="H778" s="185"/>
      <c r="I778" s="188">
        <v>513</v>
      </c>
      <c r="J778" s="185"/>
      <c r="K778" s="188">
        <v>0</v>
      </c>
      <c r="L778" s="185" t="s">
        <v>1513</v>
      </c>
      <c r="M778" s="185"/>
      <c r="N778" s="185" t="s">
        <v>2190</v>
      </c>
      <c r="O778" s="185" t="s">
        <v>2184</v>
      </c>
      <c r="P778" s="185"/>
      <c r="Q778" s="185"/>
      <c r="R778" s="185"/>
      <c r="S778" s="186">
        <v>41364</v>
      </c>
      <c r="T778" s="186">
        <v>41364</v>
      </c>
      <c r="U778" s="185" t="s">
        <v>1625</v>
      </c>
      <c r="V778" s="185">
        <v>500</v>
      </c>
      <c r="W778" s="185">
        <v>14050</v>
      </c>
      <c r="X778" s="187">
        <v>1148</v>
      </c>
      <c r="Y778" s="185">
        <v>14056</v>
      </c>
      <c r="Z778" s="187">
        <v>1148</v>
      </c>
      <c r="AA778" s="187">
        <v>0</v>
      </c>
      <c r="AB778" s="187">
        <v>0</v>
      </c>
      <c r="AC778" s="187">
        <v>0</v>
      </c>
      <c r="AD778" s="185">
        <v>54260</v>
      </c>
      <c r="AE778" s="187">
        <v>0</v>
      </c>
      <c r="AF778" s="187">
        <v>0</v>
      </c>
      <c r="AG778" s="187">
        <v>0</v>
      </c>
      <c r="AH778" s="185" t="s">
        <v>989</v>
      </c>
      <c r="AI778" s="185"/>
      <c r="AJ778" s="185"/>
      <c r="AK778" s="185" t="s">
        <v>45</v>
      </c>
      <c r="AL778" s="185" t="s">
        <v>2267</v>
      </c>
      <c r="AM778" s="185" t="s">
        <v>2269</v>
      </c>
      <c r="AN778" s="196"/>
      <c r="AO778" s="196"/>
      <c r="AP778" s="195"/>
      <c r="AQ778" s="194"/>
      <c r="AR778" s="193"/>
      <c r="AS778" s="192"/>
      <c r="AT778" s="192"/>
      <c r="AU778" s="192"/>
      <c r="AV778" s="192"/>
      <c r="AW778" s="191"/>
      <c r="AX778" s="190" t="s">
        <v>72</v>
      </c>
      <c r="AY778" s="184"/>
    </row>
    <row r="779" spans="2:51">
      <c r="B779" s="185">
        <v>2183</v>
      </c>
      <c r="C779" s="189">
        <v>102855</v>
      </c>
      <c r="D779" s="185" t="s">
        <v>989</v>
      </c>
      <c r="E779" s="185" t="s">
        <v>2003</v>
      </c>
      <c r="F779" s="185" t="s">
        <v>1626</v>
      </c>
      <c r="G779" s="185"/>
      <c r="H779" s="185"/>
      <c r="I779" s="188">
        <v>513</v>
      </c>
      <c r="J779" s="185"/>
      <c r="K779" s="188">
        <v>0</v>
      </c>
      <c r="L779" s="185" t="s">
        <v>1513</v>
      </c>
      <c r="M779" s="185"/>
      <c r="N779" s="185" t="s">
        <v>2190</v>
      </c>
      <c r="O779" s="185" t="s">
        <v>2184</v>
      </c>
      <c r="P779" s="185"/>
      <c r="Q779" s="185"/>
      <c r="R779" s="185"/>
      <c r="S779" s="186">
        <v>41364</v>
      </c>
      <c r="T779" s="186">
        <v>41364</v>
      </c>
      <c r="U779" s="185" t="s">
        <v>1625</v>
      </c>
      <c r="V779" s="185">
        <v>500</v>
      </c>
      <c r="W779" s="185">
        <v>14050</v>
      </c>
      <c r="X779" s="187">
        <v>16650.86</v>
      </c>
      <c r="Y779" s="185">
        <v>14056</v>
      </c>
      <c r="Z779" s="187">
        <v>16650.86</v>
      </c>
      <c r="AA779" s="187">
        <v>0</v>
      </c>
      <c r="AB779" s="187">
        <v>0</v>
      </c>
      <c r="AC779" s="187">
        <v>0</v>
      </c>
      <c r="AD779" s="185">
        <v>54260</v>
      </c>
      <c r="AE779" s="187">
        <v>0</v>
      </c>
      <c r="AF779" s="187">
        <v>0</v>
      </c>
      <c r="AG779" s="187">
        <v>0</v>
      </c>
      <c r="AH779" s="185" t="s">
        <v>989</v>
      </c>
      <c r="AI779" s="185"/>
      <c r="AJ779" s="185"/>
      <c r="AK779" s="185" t="s">
        <v>45</v>
      </c>
      <c r="AL779" s="185" t="s">
        <v>2267</v>
      </c>
      <c r="AM779" s="185" t="s">
        <v>2269</v>
      </c>
      <c r="AN779" s="196"/>
      <c r="AO779" s="196"/>
      <c r="AP779" s="195"/>
      <c r="AQ779" s="194"/>
      <c r="AR779" s="193"/>
      <c r="AS779" s="192"/>
      <c r="AT779" s="192"/>
      <c r="AU779" s="192"/>
      <c r="AV779" s="192"/>
      <c r="AW779" s="191"/>
      <c r="AX779" s="190" t="s">
        <v>72</v>
      </c>
      <c r="AY779" s="184"/>
    </row>
    <row r="780" spans="2:51" hidden="1">
      <c r="B780" s="185">
        <v>2183</v>
      </c>
      <c r="C780" s="189">
        <v>102295</v>
      </c>
      <c r="D780" s="185">
        <v>97216</v>
      </c>
      <c r="E780" s="185" t="s">
        <v>2003</v>
      </c>
      <c r="F780" s="185" t="s">
        <v>1627</v>
      </c>
      <c r="G780" s="185"/>
      <c r="H780" s="185"/>
      <c r="I780" s="188">
        <v>1</v>
      </c>
      <c r="J780" s="185"/>
      <c r="K780" s="188">
        <v>0</v>
      </c>
      <c r="L780" s="185" t="s">
        <v>1628</v>
      </c>
      <c r="M780" s="185"/>
      <c r="N780" s="185" t="s">
        <v>2196</v>
      </c>
      <c r="O780" s="185" t="s">
        <v>2184</v>
      </c>
      <c r="P780" s="185"/>
      <c r="Q780" s="185"/>
      <c r="R780" s="185"/>
      <c r="S780" s="186">
        <v>41275</v>
      </c>
      <c r="T780" s="186">
        <v>41275</v>
      </c>
      <c r="U780" s="185" t="s">
        <v>1629</v>
      </c>
      <c r="V780" s="185">
        <v>909</v>
      </c>
      <c r="W780" s="185">
        <v>14080</v>
      </c>
      <c r="X780" s="187">
        <v>48345.38</v>
      </c>
      <c r="Y780" s="185">
        <v>14086</v>
      </c>
      <c r="Z780" s="187">
        <v>48345.38</v>
      </c>
      <c r="AA780" s="187">
        <v>0</v>
      </c>
      <c r="AB780" s="187">
        <v>0</v>
      </c>
      <c r="AC780" s="187">
        <v>0</v>
      </c>
      <c r="AD780" s="185">
        <v>57260</v>
      </c>
      <c r="AE780" s="187">
        <v>0</v>
      </c>
      <c r="AF780" s="187">
        <v>0</v>
      </c>
      <c r="AG780" s="187">
        <v>0</v>
      </c>
      <c r="AH780" s="185" t="s">
        <v>989</v>
      </c>
      <c r="AI780" s="185"/>
      <c r="AJ780" s="185"/>
      <c r="AK780" s="185" t="s">
        <v>45</v>
      </c>
      <c r="AL780" s="185" t="s">
        <v>2267</v>
      </c>
      <c r="AM780" s="185" t="s">
        <v>2269</v>
      </c>
      <c r="AN780" s="196"/>
      <c r="AO780" s="196"/>
      <c r="AP780" s="195"/>
      <c r="AQ780" s="194"/>
      <c r="AR780" s="193"/>
      <c r="AS780" s="192"/>
      <c r="AT780" s="192"/>
      <c r="AU780" s="192"/>
      <c r="AV780" s="192"/>
      <c r="AW780" s="191"/>
      <c r="AX780" s="190" t="s">
        <v>72</v>
      </c>
      <c r="AY780" s="184"/>
    </row>
    <row r="781" spans="2:51">
      <c r="B781" s="185">
        <v>2183</v>
      </c>
      <c r="C781" s="189">
        <v>99673</v>
      </c>
      <c r="D781" s="185" t="s">
        <v>989</v>
      </c>
      <c r="E781" s="185" t="s">
        <v>2003</v>
      </c>
      <c r="F781" s="185" t="s">
        <v>1630</v>
      </c>
      <c r="G781" s="185"/>
      <c r="H781" s="185"/>
      <c r="I781" s="188">
        <v>1</v>
      </c>
      <c r="J781" s="185"/>
      <c r="K781" s="188">
        <v>0</v>
      </c>
      <c r="L781" s="185"/>
      <c r="M781" s="185"/>
      <c r="N781" s="185" t="s">
        <v>409</v>
      </c>
      <c r="O781" s="185" t="s">
        <v>2184</v>
      </c>
      <c r="P781" s="185"/>
      <c r="Q781" s="185"/>
      <c r="R781" s="185"/>
      <c r="S781" s="186">
        <v>41274</v>
      </c>
      <c r="T781" s="186">
        <v>41274</v>
      </c>
      <c r="U781" s="185" t="s">
        <v>1631</v>
      </c>
      <c r="V781" s="185">
        <v>1000</v>
      </c>
      <c r="W781" s="185">
        <v>14100</v>
      </c>
      <c r="X781" s="187">
        <v>9416.14</v>
      </c>
      <c r="Y781" s="185">
        <v>14106</v>
      </c>
      <c r="Z781" s="187">
        <v>9416.14</v>
      </c>
      <c r="AA781" s="187">
        <v>0</v>
      </c>
      <c r="AB781" s="187">
        <v>0</v>
      </c>
      <c r="AC781" s="187">
        <v>0</v>
      </c>
      <c r="AD781" s="185">
        <v>70260</v>
      </c>
      <c r="AE781" s="187">
        <v>0</v>
      </c>
      <c r="AF781" s="187">
        <v>0</v>
      </c>
      <c r="AG781" s="187">
        <v>0</v>
      </c>
      <c r="AH781" s="185" t="s">
        <v>989</v>
      </c>
      <c r="AI781" s="185"/>
      <c r="AJ781" s="185"/>
      <c r="AK781" s="185" t="s">
        <v>45</v>
      </c>
      <c r="AL781" s="185" t="s">
        <v>2267</v>
      </c>
      <c r="AM781" s="185" t="s">
        <v>2269</v>
      </c>
      <c r="AN781" s="196"/>
      <c r="AO781" s="196"/>
      <c r="AP781" s="195"/>
      <c r="AQ781" s="194"/>
      <c r="AR781" s="193"/>
      <c r="AS781" s="192"/>
      <c r="AT781" s="192"/>
      <c r="AU781" s="192"/>
      <c r="AV781" s="192"/>
      <c r="AW781" s="191"/>
      <c r="AX781" s="190" t="s">
        <v>72</v>
      </c>
      <c r="AY781" s="184"/>
    </row>
    <row r="782" spans="2:51">
      <c r="B782" s="185">
        <v>2183</v>
      </c>
      <c r="C782" s="189">
        <v>99666</v>
      </c>
      <c r="D782" s="185" t="s">
        <v>989</v>
      </c>
      <c r="E782" s="185" t="s">
        <v>2003</v>
      </c>
      <c r="F782" s="185" t="s">
        <v>1632</v>
      </c>
      <c r="G782" s="185"/>
      <c r="H782" s="185"/>
      <c r="I782" s="188">
        <v>1</v>
      </c>
      <c r="J782" s="185" t="s">
        <v>1633</v>
      </c>
      <c r="K782" s="188">
        <v>2013</v>
      </c>
      <c r="L782" s="185" t="s">
        <v>1634</v>
      </c>
      <c r="M782" s="185" t="s">
        <v>1635</v>
      </c>
      <c r="N782" s="185" t="s">
        <v>2183</v>
      </c>
      <c r="O782" s="185" t="s">
        <v>2184</v>
      </c>
      <c r="P782" s="185" t="s">
        <v>2206</v>
      </c>
      <c r="Q782" s="185"/>
      <c r="R782" s="185"/>
      <c r="S782" s="186">
        <v>41274</v>
      </c>
      <c r="T782" s="186">
        <v>41274</v>
      </c>
      <c r="U782" s="185" t="s">
        <v>1636</v>
      </c>
      <c r="V782" s="185">
        <v>1000</v>
      </c>
      <c r="W782" s="185">
        <v>14040</v>
      </c>
      <c r="X782" s="187">
        <v>301280.5</v>
      </c>
      <c r="Y782" s="185">
        <v>14046</v>
      </c>
      <c r="Z782" s="187">
        <v>301280.5</v>
      </c>
      <c r="AA782" s="187">
        <v>0</v>
      </c>
      <c r="AB782" s="187">
        <v>0</v>
      </c>
      <c r="AC782" s="187">
        <v>0</v>
      </c>
      <c r="AD782" s="185">
        <v>51260</v>
      </c>
      <c r="AE782" s="187">
        <v>0</v>
      </c>
      <c r="AF782" s="187">
        <v>0</v>
      </c>
      <c r="AG782" s="187">
        <v>0</v>
      </c>
      <c r="AH782" s="185" t="s">
        <v>989</v>
      </c>
      <c r="AI782" s="185"/>
      <c r="AJ782" s="185">
        <v>2011</v>
      </c>
      <c r="AK782" s="185" t="s">
        <v>45</v>
      </c>
      <c r="AL782" s="185" t="s">
        <v>2267</v>
      </c>
      <c r="AM782" s="185" t="s">
        <v>2269</v>
      </c>
      <c r="AN782" s="196"/>
      <c r="AO782" s="196"/>
      <c r="AP782" s="195"/>
      <c r="AQ782" s="194"/>
      <c r="AR782" s="193"/>
      <c r="AS782" s="192"/>
      <c r="AT782" s="192"/>
      <c r="AU782" s="192"/>
      <c r="AV782" s="192"/>
      <c r="AW782" s="191"/>
      <c r="AX782" s="190" t="s">
        <v>72</v>
      </c>
      <c r="AY782" s="184"/>
    </row>
    <row r="783" spans="2:51">
      <c r="B783" s="185">
        <v>2183</v>
      </c>
      <c r="C783" s="189">
        <v>98282</v>
      </c>
      <c r="D783" s="185" t="s">
        <v>989</v>
      </c>
      <c r="E783" s="185" t="s">
        <v>2003</v>
      </c>
      <c r="F783" s="185" t="s">
        <v>1637</v>
      </c>
      <c r="G783" s="185"/>
      <c r="H783" s="185"/>
      <c r="I783" s="188">
        <v>1</v>
      </c>
      <c r="J783" s="185"/>
      <c r="K783" s="188">
        <v>0</v>
      </c>
      <c r="L783" s="185" t="s">
        <v>1638</v>
      </c>
      <c r="M783" s="185"/>
      <c r="N783" s="185" t="s">
        <v>2199</v>
      </c>
      <c r="O783" s="185" t="s">
        <v>2184</v>
      </c>
      <c r="P783" s="185"/>
      <c r="Q783" s="185"/>
      <c r="R783" s="185"/>
      <c r="S783" s="186">
        <v>41211</v>
      </c>
      <c r="T783" s="186">
        <v>41211</v>
      </c>
      <c r="U783" s="185" t="s">
        <v>1639</v>
      </c>
      <c r="V783" s="185">
        <v>300</v>
      </c>
      <c r="W783" s="185">
        <v>14110</v>
      </c>
      <c r="X783" s="187">
        <v>2625</v>
      </c>
      <c r="Y783" s="185">
        <v>14116</v>
      </c>
      <c r="Z783" s="187">
        <v>2625</v>
      </c>
      <c r="AA783" s="187">
        <v>0</v>
      </c>
      <c r="AB783" s="187">
        <v>0</v>
      </c>
      <c r="AC783" s="187">
        <v>0</v>
      </c>
      <c r="AD783" s="185">
        <v>70260</v>
      </c>
      <c r="AE783" s="187">
        <v>0</v>
      </c>
      <c r="AF783" s="187">
        <v>0</v>
      </c>
      <c r="AG783" s="187">
        <v>0</v>
      </c>
      <c r="AH783" s="185" t="s">
        <v>989</v>
      </c>
      <c r="AI783" s="185"/>
      <c r="AJ783" s="185"/>
      <c r="AK783" s="185" t="s">
        <v>45</v>
      </c>
      <c r="AL783" s="185" t="s">
        <v>2267</v>
      </c>
      <c r="AM783" s="185" t="s">
        <v>2269</v>
      </c>
      <c r="AN783" s="196"/>
      <c r="AO783" s="196"/>
      <c r="AP783" s="195"/>
      <c r="AQ783" s="194"/>
      <c r="AR783" s="193"/>
      <c r="AS783" s="192"/>
      <c r="AT783" s="192"/>
      <c r="AU783" s="192"/>
      <c r="AV783" s="192"/>
      <c r="AW783" s="191"/>
      <c r="AX783" s="190" t="s">
        <v>72</v>
      </c>
      <c r="AY783" s="184"/>
    </row>
    <row r="784" spans="2:51">
      <c r="B784" s="185">
        <v>2183</v>
      </c>
      <c r="C784" s="189">
        <v>97739</v>
      </c>
      <c r="D784" s="185" t="s">
        <v>989</v>
      </c>
      <c r="E784" s="185" t="s">
        <v>2003</v>
      </c>
      <c r="F784" s="185" t="s">
        <v>1640</v>
      </c>
      <c r="G784" s="185"/>
      <c r="H784" s="185"/>
      <c r="I784" s="188">
        <v>217</v>
      </c>
      <c r="J784" s="185"/>
      <c r="K784" s="188">
        <v>0</v>
      </c>
      <c r="L784" s="185" t="s">
        <v>1513</v>
      </c>
      <c r="M784" s="185"/>
      <c r="N784" s="185" t="s">
        <v>2190</v>
      </c>
      <c r="O784" s="185" t="s">
        <v>2184</v>
      </c>
      <c r="P784" s="185"/>
      <c r="Q784" s="185"/>
      <c r="R784" s="185"/>
      <c r="S784" s="186">
        <v>41201</v>
      </c>
      <c r="T784" s="186">
        <v>41201</v>
      </c>
      <c r="U784" s="185" t="s">
        <v>1641</v>
      </c>
      <c r="V784" s="185">
        <v>700</v>
      </c>
      <c r="W784" s="185">
        <v>14050</v>
      </c>
      <c r="X784" s="187">
        <v>7167.46</v>
      </c>
      <c r="Y784" s="185">
        <v>14056</v>
      </c>
      <c r="Z784" s="187">
        <v>7167.46</v>
      </c>
      <c r="AA784" s="187">
        <v>0</v>
      </c>
      <c r="AB784" s="187">
        <v>0</v>
      </c>
      <c r="AC784" s="187">
        <v>0</v>
      </c>
      <c r="AD784" s="185">
        <v>54260</v>
      </c>
      <c r="AE784" s="187">
        <v>0</v>
      </c>
      <c r="AF784" s="187">
        <v>0</v>
      </c>
      <c r="AG784" s="187">
        <v>0</v>
      </c>
      <c r="AH784" s="185" t="s">
        <v>989</v>
      </c>
      <c r="AI784" s="185"/>
      <c r="AJ784" s="185"/>
      <c r="AK784" s="185" t="s">
        <v>45</v>
      </c>
      <c r="AL784" s="185" t="s">
        <v>2267</v>
      </c>
      <c r="AM784" s="185" t="s">
        <v>2269</v>
      </c>
      <c r="AN784" s="196"/>
      <c r="AO784" s="196"/>
      <c r="AP784" s="195"/>
      <c r="AQ784" s="194"/>
      <c r="AR784" s="193"/>
      <c r="AS784" s="192"/>
      <c r="AT784" s="192"/>
      <c r="AU784" s="192"/>
      <c r="AV784" s="192"/>
      <c r="AW784" s="191"/>
      <c r="AX784" s="190" t="s">
        <v>72</v>
      </c>
      <c r="AY784" s="184"/>
    </row>
    <row r="785" spans="2:51">
      <c r="B785" s="185">
        <v>2183</v>
      </c>
      <c r="C785" s="189">
        <v>97551</v>
      </c>
      <c r="D785" s="185" t="s">
        <v>989</v>
      </c>
      <c r="E785" s="185" t="s">
        <v>2003</v>
      </c>
      <c r="F785" s="185" t="s">
        <v>1642</v>
      </c>
      <c r="G785" s="185"/>
      <c r="H785" s="185"/>
      <c r="I785" s="188">
        <v>1</v>
      </c>
      <c r="J785" s="185"/>
      <c r="K785" s="188">
        <v>0</v>
      </c>
      <c r="L785" s="185" t="s">
        <v>1145</v>
      </c>
      <c r="M785" s="185"/>
      <c r="N785" s="185" t="s">
        <v>2199</v>
      </c>
      <c r="O785" s="185" t="s">
        <v>2184</v>
      </c>
      <c r="P785" s="185"/>
      <c r="Q785" s="185"/>
      <c r="R785" s="185"/>
      <c r="S785" s="186">
        <v>41207</v>
      </c>
      <c r="T785" s="186">
        <v>41207</v>
      </c>
      <c r="U785" s="185" t="s">
        <v>1643</v>
      </c>
      <c r="V785" s="185">
        <v>300</v>
      </c>
      <c r="W785" s="185">
        <v>14110</v>
      </c>
      <c r="X785" s="187">
        <v>767.09</v>
      </c>
      <c r="Y785" s="185">
        <v>14116</v>
      </c>
      <c r="Z785" s="187">
        <v>767.09</v>
      </c>
      <c r="AA785" s="187">
        <v>0</v>
      </c>
      <c r="AB785" s="187">
        <v>0</v>
      </c>
      <c r="AC785" s="187">
        <v>0</v>
      </c>
      <c r="AD785" s="185">
        <v>70260</v>
      </c>
      <c r="AE785" s="187">
        <v>0</v>
      </c>
      <c r="AF785" s="187">
        <v>0</v>
      </c>
      <c r="AG785" s="187">
        <v>0</v>
      </c>
      <c r="AH785" s="185" t="s">
        <v>989</v>
      </c>
      <c r="AI785" s="185"/>
      <c r="AJ785" s="185"/>
      <c r="AK785" s="185" t="s">
        <v>45</v>
      </c>
      <c r="AL785" s="185" t="s">
        <v>2267</v>
      </c>
      <c r="AM785" s="185" t="s">
        <v>2269</v>
      </c>
      <c r="AN785" s="196"/>
      <c r="AO785" s="196"/>
      <c r="AP785" s="195"/>
      <c r="AQ785" s="194"/>
      <c r="AR785" s="193"/>
      <c r="AS785" s="192"/>
      <c r="AT785" s="192"/>
      <c r="AU785" s="192"/>
      <c r="AV785" s="192"/>
      <c r="AW785" s="191"/>
      <c r="AX785" s="190" t="s">
        <v>72</v>
      </c>
      <c r="AY785" s="184"/>
    </row>
    <row r="786" spans="2:51">
      <c r="B786" s="185">
        <v>2183</v>
      </c>
      <c r="C786" s="189">
        <v>97550</v>
      </c>
      <c r="D786" s="185" t="s">
        <v>989</v>
      </c>
      <c r="E786" s="185" t="s">
        <v>2003</v>
      </c>
      <c r="F786" s="185" t="s">
        <v>1644</v>
      </c>
      <c r="G786" s="185"/>
      <c r="H786" s="185"/>
      <c r="I786" s="188">
        <v>1</v>
      </c>
      <c r="J786" s="185"/>
      <c r="K786" s="188">
        <v>0</v>
      </c>
      <c r="L786" s="185" t="s">
        <v>1145</v>
      </c>
      <c r="M786" s="185"/>
      <c r="N786" s="185" t="s">
        <v>2199</v>
      </c>
      <c r="O786" s="185" t="s">
        <v>2184</v>
      </c>
      <c r="P786" s="185"/>
      <c r="Q786" s="185"/>
      <c r="R786" s="185"/>
      <c r="S786" s="186">
        <v>41207</v>
      </c>
      <c r="T786" s="186">
        <v>41207</v>
      </c>
      <c r="U786" s="185" t="s">
        <v>1643</v>
      </c>
      <c r="V786" s="185">
        <v>300</v>
      </c>
      <c r="W786" s="185">
        <v>14110</v>
      </c>
      <c r="X786" s="187">
        <v>180.05</v>
      </c>
      <c r="Y786" s="185">
        <v>14116</v>
      </c>
      <c r="Z786" s="187">
        <v>180.05</v>
      </c>
      <c r="AA786" s="187">
        <v>0</v>
      </c>
      <c r="AB786" s="187">
        <v>0</v>
      </c>
      <c r="AC786" s="187">
        <v>0</v>
      </c>
      <c r="AD786" s="185">
        <v>70260</v>
      </c>
      <c r="AE786" s="187">
        <v>0</v>
      </c>
      <c r="AF786" s="187">
        <v>0</v>
      </c>
      <c r="AG786" s="187">
        <v>0</v>
      </c>
      <c r="AH786" s="185" t="s">
        <v>989</v>
      </c>
      <c r="AI786" s="185"/>
      <c r="AJ786" s="185"/>
      <c r="AK786" s="185" t="s">
        <v>45</v>
      </c>
      <c r="AL786" s="185" t="s">
        <v>2267</v>
      </c>
      <c r="AM786" s="185" t="s">
        <v>2269</v>
      </c>
      <c r="AN786" s="196"/>
      <c r="AO786" s="196"/>
      <c r="AP786" s="195"/>
      <c r="AQ786" s="194"/>
      <c r="AR786" s="193"/>
      <c r="AS786" s="192"/>
      <c r="AT786" s="192"/>
      <c r="AU786" s="192"/>
      <c r="AV786" s="192"/>
      <c r="AW786" s="191"/>
      <c r="AX786" s="190" t="s">
        <v>72</v>
      </c>
      <c r="AY786" s="184"/>
    </row>
    <row r="787" spans="2:51">
      <c r="B787" s="185">
        <v>2183</v>
      </c>
      <c r="C787" s="189">
        <v>97274</v>
      </c>
      <c r="D787" s="185" t="s">
        <v>989</v>
      </c>
      <c r="E787" s="185" t="s">
        <v>2003</v>
      </c>
      <c r="F787" s="185" t="s">
        <v>1645</v>
      </c>
      <c r="G787" s="185"/>
      <c r="H787" s="185"/>
      <c r="I787" s="188">
        <v>121</v>
      </c>
      <c r="J787" s="185"/>
      <c r="K787" s="188">
        <v>0</v>
      </c>
      <c r="L787" s="185" t="s">
        <v>1513</v>
      </c>
      <c r="M787" s="185"/>
      <c r="N787" s="185" t="s">
        <v>2190</v>
      </c>
      <c r="O787" s="185" t="s">
        <v>2184</v>
      </c>
      <c r="P787" s="185"/>
      <c r="Q787" s="185"/>
      <c r="R787" s="185"/>
      <c r="S787" s="186">
        <v>41071</v>
      </c>
      <c r="T787" s="186">
        <v>41071</v>
      </c>
      <c r="U787" s="185" t="s">
        <v>1646</v>
      </c>
      <c r="V787" s="185">
        <v>700</v>
      </c>
      <c r="W787" s="185">
        <v>14050</v>
      </c>
      <c r="X787" s="187">
        <v>6276.47</v>
      </c>
      <c r="Y787" s="185">
        <v>14056</v>
      </c>
      <c r="Z787" s="187">
        <v>6276.47</v>
      </c>
      <c r="AA787" s="187">
        <v>0</v>
      </c>
      <c r="AB787" s="187">
        <v>0</v>
      </c>
      <c r="AC787" s="187">
        <v>0</v>
      </c>
      <c r="AD787" s="185">
        <v>54260</v>
      </c>
      <c r="AE787" s="187">
        <v>0</v>
      </c>
      <c r="AF787" s="187">
        <v>0</v>
      </c>
      <c r="AG787" s="187">
        <v>0</v>
      </c>
      <c r="AH787" s="185" t="s">
        <v>989</v>
      </c>
      <c r="AI787" s="185"/>
      <c r="AJ787" s="185"/>
      <c r="AK787" s="185" t="s">
        <v>45</v>
      </c>
      <c r="AL787" s="185" t="s">
        <v>2267</v>
      </c>
      <c r="AM787" s="185" t="s">
        <v>2269</v>
      </c>
      <c r="AN787" s="196"/>
      <c r="AO787" s="196"/>
      <c r="AP787" s="195"/>
      <c r="AQ787" s="194"/>
      <c r="AR787" s="193"/>
      <c r="AS787" s="192"/>
      <c r="AT787" s="192"/>
      <c r="AU787" s="192"/>
      <c r="AV787" s="192"/>
      <c r="AW787" s="191"/>
      <c r="AX787" s="190" t="s">
        <v>72</v>
      </c>
      <c r="AY787" s="184"/>
    </row>
    <row r="788" spans="2:51">
      <c r="B788" s="185">
        <v>2183</v>
      </c>
      <c r="C788" s="189">
        <v>97273</v>
      </c>
      <c r="D788" s="185" t="s">
        <v>989</v>
      </c>
      <c r="E788" s="185" t="s">
        <v>2003</v>
      </c>
      <c r="F788" s="185" t="s">
        <v>1645</v>
      </c>
      <c r="G788" s="185"/>
      <c r="H788" s="185"/>
      <c r="I788" s="188">
        <v>365</v>
      </c>
      <c r="J788" s="185"/>
      <c r="K788" s="188">
        <v>0</v>
      </c>
      <c r="L788" s="185" t="s">
        <v>1513</v>
      </c>
      <c r="M788" s="185"/>
      <c r="N788" s="185" t="s">
        <v>2190</v>
      </c>
      <c r="O788" s="185" t="s">
        <v>2184</v>
      </c>
      <c r="P788" s="185"/>
      <c r="Q788" s="185"/>
      <c r="R788" s="185"/>
      <c r="S788" s="186">
        <v>41071</v>
      </c>
      <c r="T788" s="186">
        <v>41071</v>
      </c>
      <c r="U788" s="185" t="s">
        <v>1647</v>
      </c>
      <c r="V788" s="185">
        <v>700</v>
      </c>
      <c r="W788" s="185">
        <v>14050</v>
      </c>
      <c r="X788" s="187">
        <v>18933.14</v>
      </c>
      <c r="Y788" s="185">
        <v>14056</v>
      </c>
      <c r="Z788" s="187">
        <v>18933.14</v>
      </c>
      <c r="AA788" s="187">
        <v>0</v>
      </c>
      <c r="AB788" s="187">
        <v>0</v>
      </c>
      <c r="AC788" s="187">
        <v>0</v>
      </c>
      <c r="AD788" s="185">
        <v>54260</v>
      </c>
      <c r="AE788" s="187">
        <v>0</v>
      </c>
      <c r="AF788" s="187">
        <v>0</v>
      </c>
      <c r="AG788" s="187">
        <v>0</v>
      </c>
      <c r="AH788" s="185" t="s">
        <v>989</v>
      </c>
      <c r="AI788" s="185"/>
      <c r="AJ788" s="185"/>
      <c r="AK788" s="185" t="s">
        <v>45</v>
      </c>
      <c r="AL788" s="185" t="s">
        <v>2267</v>
      </c>
      <c r="AM788" s="185" t="s">
        <v>2269</v>
      </c>
      <c r="AN788" s="196"/>
      <c r="AO788" s="196"/>
      <c r="AP788" s="195"/>
      <c r="AQ788" s="194"/>
      <c r="AR788" s="193"/>
      <c r="AS788" s="192"/>
      <c r="AT788" s="192"/>
      <c r="AU788" s="192"/>
      <c r="AV788" s="192"/>
      <c r="AW788" s="191"/>
      <c r="AX788" s="190" t="s">
        <v>72</v>
      </c>
      <c r="AY788" s="184"/>
    </row>
    <row r="789" spans="2:51" hidden="1">
      <c r="B789" s="185">
        <v>2183</v>
      </c>
      <c r="C789" s="189">
        <v>97258</v>
      </c>
      <c r="D789" s="185">
        <v>95877</v>
      </c>
      <c r="E789" s="185" t="s">
        <v>2003</v>
      </c>
      <c r="F789" s="185" t="s">
        <v>1648</v>
      </c>
      <c r="G789" s="185"/>
      <c r="H789" s="185"/>
      <c r="I789" s="188">
        <v>1</v>
      </c>
      <c r="J789" s="185" t="s">
        <v>1649</v>
      </c>
      <c r="K789" s="188">
        <v>2012</v>
      </c>
      <c r="L789" s="185" t="s">
        <v>1634</v>
      </c>
      <c r="M789" s="185" t="s">
        <v>1408</v>
      </c>
      <c r="N789" s="185" t="s">
        <v>2183</v>
      </c>
      <c r="O789" s="185" t="s">
        <v>2184</v>
      </c>
      <c r="P789" s="185" t="s">
        <v>2187</v>
      </c>
      <c r="Q789" s="185"/>
      <c r="R789" s="185"/>
      <c r="S789" s="186">
        <v>41122</v>
      </c>
      <c r="T789" s="186">
        <v>41122</v>
      </c>
      <c r="U789" s="185" t="s">
        <v>1650</v>
      </c>
      <c r="V789" s="185">
        <v>900</v>
      </c>
      <c r="W789" s="185">
        <v>14040</v>
      </c>
      <c r="X789" s="187">
        <v>23410.92</v>
      </c>
      <c r="Y789" s="185">
        <v>14046</v>
      </c>
      <c r="Z789" s="187">
        <v>23410.92</v>
      </c>
      <c r="AA789" s="187">
        <v>0</v>
      </c>
      <c r="AB789" s="187">
        <v>0</v>
      </c>
      <c r="AC789" s="187">
        <v>0</v>
      </c>
      <c r="AD789" s="185">
        <v>51260</v>
      </c>
      <c r="AE789" s="187">
        <v>0</v>
      </c>
      <c r="AF789" s="187">
        <v>0</v>
      </c>
      <c r="AG789" s="187">
        <v>0</v>
      </c>
      <c r="AH789" s="185" t="s">
        <v>989</v>
      </c>
      <c r="AI789" s="185"/>
      <c r="AJ789" s="185"/>
      <c r="AK789" s="185" t="s">
        <v>45</v>
      </c>
      <c r="AL789" s="185" t="s">
        <v>2267</v>
      </c>
      <c r="AM789" s="185" t="s">
        <v>2269</v>
      </c>
      <c r="AN789" s="196"/>
      <c r="AO789" s="196"/>
      <c r="AP789" s="195"/>
      <c r="AQ789" s="194"/>
      <c r="AR789" s="193"/>
      <c r="AS789" s="192"/>
      <c r="AT789" s="192"/>
      <c r="AU789" s="192"/>
      <c r="AV789" s="192"/>
      <c r="AW789" s="191"/>
      <c r="AX789" s="190" t="s">
        <v>72</v>
      </c>
      <c r="AY789" s="184"/>
    </row>
    <row r="790" spans="2:51">
      <c r="B790" s="185">
        <v>2183</v>
      </c>
      <c r="C790" s="189">
        <v>97216</v>
      </c>
      <c r="D790" s="185" t="s">
        <v>989</v>
      </c>
      <c r="E790" s="185" t="s">
        <v>2003</v>
      </c>
      <c r="F790" s="185" t="s">
        <v>469</v>
      </c>
      <c r="G790" s="185"/>
      <c r="H790" s="185"/>
      <c r="I790" s="188">
        <v>1</v>
      </c>
      <c r="J790" s="185"/>
      <c r="K790" s="188">
        <v>0</v>
      </c>
      <c r="L790" s="185"/>
      <c r="M790" s="185"/>
      <c r="N790" s="185" t="s">
        <v>2196</v>
      </c>
      <c r="O790" s="185" t="s">
        <v>2184</v>
      </c>
      <c r="P790" s="185"/>
      <c r="Q790" s="185"/>
      <c r="R790" s="185"/>
      <c r="S790" s="186">
        <v>41183</v>
      </c>
      <c r="T790" s="186">
        <v>41183</v>
      </c>
      <c r="U790" s="185" t="s">
        <v>1651</v>
      </c>
      <c r="V790" s="185">
        <v>1000</v>
      </c>
      <c r="W790" s="185">
        <v>14080</v>
      </c>
      <c r="X790" s="187">
        <v>9478.64</v>
      </c>
      <c r="Y790" s="185">
        <v>14086</v>
      </c>
      <c r="Z790" s="187">
        <v>9478.64</v>
      </c>
      <c r="AA790" s="187">
        <v>0</v>
      </c>
      <c r="AB790" s="187">
        <v>0</v>
      </c>
      <c r="AC790" s="187">
        <v>0</v>
      </c>
      <c r="AD790" s="185">
        <v>57260</v>
      </c>
      <c r="AE790" s="187">
        <v>0</v>
      </c>
      <c r="AF790" s="187">
        <v>0</v>
      </c>
      <c r="AG790" s="187">
        <v>0</v>
      </c>
      <c r="AH790" s="185" t="s">
        <v>989</v>
      </c>
      <c r="AI790" s="185"/>
      <c r="AJ790" s="185"/>
      <c r="AK790" s="185" t="s">
        <v>45</v>
      </c>
      <c r="AL790" s="185" t="s">
        <v>2267</v>
      </c>
      <c r="AM790" s="185" t="s">
        <v>2269</v>
      </c>
      <c r="AN790" s="196"/>
      <c r="AO790" s="196"/>
      <c r="AP790" s="195"/>
      <c r="AQ790" s="194"/>
      <c r="AR790" s="193"/>
      <c r="AS790" s="192"/>
      <c r="AT790" s="192"/>
      <c r="AU790" s="192"/>
      <c r="AV790" s="192"/>
      <c r="AW790" s="191"/>
      <c r="AX790" s="190" t="s">
        <v>72</v>
      </c>
      <c r="AY790" s="184"/>
    </row>
    <row r="791" spans="2:51">
      <c r="B791" s="185">
        <v>2183</v>
      </c>
      <c r="C791" s="189">
        <v>96949</v>
      </c>
      <c r="D791" s="185" t="s">
        <v>989</v>
      </c>
      <c r="E791" s="185" t="s">
        <v>2003</v>
      </c>
      <c r="F791" s="185" t="s">
        <v>1652</v>
      </c>
      <c r="G791" s="185"/>
      <c r="H791" s="185"/>
      <c r="I791" s="188">
        <v>243</v>
      </c>
      <c r="J791" s="185"/>
      <c r="K791" s="188">
        <v>0</v>
      </c>
      <c r="L791" s="185" t="s">
        <v>1513</v>
      </c>
      <c r="M791" s="185"/>
      <c r="N791" s="185" t="s">
        <v>2190</v>
      </c>
      <c r="O791" s="185" t="s">
        <v>2184</v>
      </c>
      <c r="P791" s="185"/>
      <c r="Q791" s="185"/>
      <c r="R791" s="185"/>
      <c r="S791" s="186">
        <v>41177</v>
      </c>
      <c r="T791" s="186">
        <v>41177</v>
      </c>
      <c r="U791" s="185" t="s">
        <v>1653</v>
      </c>
      <c r="V791" s="185">
        <v>700</v>
      </c>
      <c r="W791" s="185">
        <v>14050</v>
      </c>
      <c r="X791" s="187">
        <v>12468.21</v>
      </c>
      <c r="Y791" s="185">
        <v>14056</v>
      </c>
      <c r="Z791" s="187">
        <v>12468.21</v>
      </c>
      <c r="AA791" s="187">
        <v>0</v>
      </c>
      <c r="AB791" s="187">
        <v>0</v>
      </c>
      <c r="AC791" s="187">
        <v>0</v>
      </c>
      <c r="AD791" s="185">
        <v>54260</v>
      </c>
      <c r="AE791" s="187">
        <v>0</v>
      </c>
      <c r="AF791" s="187">
        <v>0</v>
      </c>
      <c r="AG791" s="187">
        <v>0</v>
      </c>
      <c r="AH791" s="185" t="s">
        <v>989</v>
      </c>
      <c r="AI791" s="185"/>
      <c r="AJ791" s="185"/>
      <c r="AK791" s="185" t="s">
        <v>45</v>
      </c>
      <c r="AL791" s="185" t="s">
        <v>2267</v>
      </c>
      <c r="AM791" s="185" t="s">
        <v>2269</v>
      </c>
      <c r="AN791" s="196"/>
      <c r="AO791" s="196"/>
      <c r="AP791" s="195"/>
      <c r="AQ791" s="194"/>
      <c r="AR791" s="193"/>
      <c r="AS791" s="192"/>
      <c r="AT791" s="192"/>
      <c r="AU791" s="192"/>
      <c r="AV791" s="192"/>
      <c r="AW791" s="191"/>
      <c r="AX791" s="190" t="s">
        <v>72</v>
      </c>
      <c r="AY791" s="184"/>
    </row>
    <row r="792" spans="2:51">
      <c r="B792" s="185">
        <v>2183</v>
      </c>
      <c r="C792" s="189">
        <v>96948</v>
      </c>
      <c r="D792" s="185" t="s">
        <v>989</v>
      </c>
      <c r="E792" s="185" t="s">
        <v>2003</v>
      </c>
      <c r="F792" s="185" t="s">
        <v>1654</v>
      </c>
      <c r="G792" s="185"/>
      <c r="H792" s="185"/>
      <c r="I792" s="188">
        <v>324</v>
      </c>
      <c r="J792" s="185"/>
      <c r="K792" s="188">
        <v>0</v>
      </c>
      <c r="L792" s="185" t="s">
        <v>1513</v>
      </c>
      <c r="M792" s="185"/>
      <c r="N792" s="185" t="s">
        <v>2190</v>
      </c>
      <c r="O792" s="185" t="s">
        <v>2184</v>
      </c>
      <c r="P792" s="185"/>
      <c r="Q792" s="185"/>
      <c r="R792" s="185"/>
      <c r="S792" s="186">
        <v>41177</v>
      </c>
      <c r="T792" s="186">
        <v>41177</v>
      </c>
      <c r="U792" s="185" t="s">
        <v>1655</v>
      </c>
      <c r="V792" s="185">
        <v>700</v>
      </c>
      <c r="W792" s="185">
        <v>14050</v>
      </c>
      <c r="X792" s="187">
        <v>14291.66</v>
      </c>
      <c r="Y792" s="185">
        <v>14056</v>
      </c>
      <c r="Z792" s="187">
        <v>14291.66</v>
      </c>
      <c r="AA792" s="187">
        <v>0</v>
      </c>
      <c r="AB792" s="187">
        <v>0</v>
      </c>
      <c r="AC792" s="187">
        <v>0</v>
      </c>
      <c r="AD792" s="185">
        <v>54260</v>
      </c>
      <c r="AE792" s="187">
        <v>0</v>
      </c>
      <c r="AF792" s="187">
        <v>0</v>
      </c>
      <c r="AG792" s="187">
        <v>0</v>
      </c>
      <c r="AH792" s="185" t="s">
        <v>989</v>
      </c>
      <c r="AI792" s="185"/>
      <c r="AJ792" s="185"/>
      <c r="AK792" s="185" t="s">
        <v>45</v>
      </c>
      <c r="AL792" s="185" t="s">
        <v>2267</v>
      </c>
      <c r="AM792" s="185" t="s">
        <v>2269</v>
      </c>
      <c r="AN792" s="196"/>
      <c r="AO792" s="196"/>
      <c r="AP792" s="195"/>
      <c r="AQ792" s="194"/>
      <c r="AR792" s="193"/>
      <c r="AS792" s="192"/>
      <c r="AT792" s="192"/>
      <c r="AU792" s="192"/>
      <c r="AV792" s="192"/>
      <c r="AW792" s="191"/>
      <c r="AX792" s="190" t="s">
        <v>72</v>
      </c>
      <c r="AY792" s="184"/>
    </row>
    <row r="793" spans="2:51">
      <c r="B793" s="185">
        <v>2183</v>
      </c>
      <c r="C793" s="189">
        <v>96947</v>
      </c>
      <c r="D793" s="185" t="s">
        <v>989</v>
      </c>
      <c r="E793" s="185" t="s">
        <v>2003</v>
      </c>
      <c r="F793" s="185" t="s">
        <v>1652</v>
      </c>
      <c r="G793" s="185"/>
      <c r="H793" s="185"/>
      <c r="I793" s="188">
        <v>486</v>
      </c>
      <c r="J793" s="185"/>
      <c r="K793" s="188">
        <v>0</v>
      </c>
      <c r="L793" s="185" t="s">
        <v>1513</v>
      </c>
      <c r="M793" s="185"/>
      <c r="N793" s="185" t="s">
        <v>2190</v>
      </c>
      <c r="O793" s="185" t="s">
        <v>2184</v>
      </c>
      <c r="P793" s="185"/>
      <c r="Q793" s="185"/>
      <c r="R793" s="185"/>
      <c r="S793" s="186">
        <v>41177</v>
      </c>
      <c r="T793" s="186">
        <v>41177</v>
      </c>
      <c r="U793" s="185" t="s">
        <v>1656</v>
      </c>
      <c r="V793" s="185">
        <v>700</v>
      </c>
      <c r="W793" s="185">
        <v>14050</v>
      </c>
      <c r="X793" s="187">
        <v>24408.13</v>
      </c>
      <c r="Y793" s="185">
        <v>14056</v>
      </c>
      <c r="Z793" s="187">
        <v>24408.13</v>
      </c>
      <c r="AA793" s="187">
        <v>0</v>
      </c>
      <c r="AB793" s="187">
        <v>0</v>
      </c>
      <c r="AC793" s="187">
        <v>0</v>
      </c>
      <c r="AD793" s="185">
        <v>54260</v>
      </c>
      <c r="AE793" s="187">
        <v>0</v>
      </c>
      <c r="AF793" s="187">
        <v>0</v>
      </c>
      <c r="AG793" s="187">
        <v>0</v>
      </c>
      <c r="AH793" s="185" t="s">
        <v>989</v>
      </c>
      <c r="AI793" s="185"/>
      <c r="AJ793" s="185"/>
      <c r="AK793" s="185" t="s">
        <v>45</v>
      </c>
      <c r="AL793" s="185" t="s">
        <v>2267</v>
      </c>
      <c r="AM793" s="185" t="s">
        <v>2269</v>
      </c>
      <c r="AN793" s="196"/>
      <c r="AO793" s="196"/>
      <c r="AP793" s="195"/>
      <c r="AQ793" s="194"/>
      <c r="AR793" s="193"/>
      <c r="AS793" s="192"/>
      <c r="AT793" s="192"/>
      <c r="AU793" s="192"/>
      <c r="AV793" s="192"/>
      <c r="AW793" s="191"/>
      <c r="AX793" s="190" t="s">
        <v>72</v>
      </c>
      <c r="AY793" s="184"/>
    </row>
    <row r="794" spans="2:51">
      <c r="B794" s="185">
        <v>2183</v>
      </c>
      <c r="C794" s="189">
        <v>96611</v>
      </c>
      <c r="D794" s="185" t="s">
        <v>989</v>
      </c>
      <c r="E794" s="185" t="s">
        <v>2003</v>
      </c>
      <c r="F794" s="185" t="s">
        <v>1652</v>
      </c>
      <c r="G794" s="185"/>
      <c r="H794" s="185"/>
      <c r="I794" s="188">
        <v>486</v>
      </c>
      <c r="J794" s="185"/>
      <c r="K794" s="188">
        <v>0</v>
      </c>
      <c r="L794" s="185" t="s">
        <v>1513</v>
      </c>
      <c r="M794" s="185"/>
      <c r="N794" s="185" t="s">
        <v>2190</v>
      </c>
      <c r="O794" s="185" t="s">
        <v>2184</v>
      </c>
      <c r="P794" s="185"/>
      <c r="Q794" s="185"/>
      <c r="R794" s="185"/>
      <c r="S794" s="186">
        <v>41177</v>
      </c>
      <c r="T794" s="186">
        <v>41177</v>
      </c>
      <c r="U794" s="185" t="s">
        <v>1656</v>
      </c>
      <c r="V794" s="185">
        <v>700</v>
      </c>
      <c r="W794" s="185">
        <v>14050</v>
      </c>
      <c r="X794" s="187">
        <v>24408.13</v>
      </c>
      <c r="Y794" s="185">
        <v>14056</v>
      </c>
      <c r="Z794" s="187">
        <v>24408.13</v>
      </c>
      <c r="AA794" s="187">
        <v>0</v>
      </c>
      <c r="AB794" s="187">
        <v>0</v>
      </c>
      <c r="AC794" s="187">
        <v>0</v>
      </c>
      <c r="AD794" s="185">
        <v>54260</v>
      </c>
      <c r="AE794" s="187">
        <v>0</v>
      </c>
      <c r="AF794" s="187">
        <v>0</v>
      </c>
      <c r="AG794" s="187">
        <v>0</v>
      </c>
      <c r="AH794" s="185" t="s">
        <v>989</v>
      </c>
      <c r="AI794" s="185"/>
      <c r="AJ794" s="185"/>
      <c r="AK794" s="185" t="s">
        <v>45</v>
      </c>
      <c r="AL794" s="185" t="s">
        <v>2267</v>
      </c>
      <c r="AM794" s="185" t="s">
        <v>2269</v>
      </c>
      <c r="AN794" s="196"/>
      <c r="AO794" s="196"/>
      <c r="AP794" s="195"/>
      <c r="AQ794" s="194"/>
      <c r="AR794" s="193"/>
      <c r="AS794" s="192"/>
      <c r="AT794" s="192"/>
      <c r="AU794" s="192"/>
      <c r="AV794" s="192"/>
      <c r="AW794" s="191"/>
      <c r="AX794" s="190" t="s">
        <v>72</v>
      </c>
      <c r="AY794" s="184"/>
    </row>
    <row r="795" spans="2:51">
      <c r="B795" s="185">
        <v>2183</v>
      </c>
      <c r="C795" s="189">
        <v>96401</v>
      </c>
      <c r="D795" s="185" t="s">
        <v>989</v>
      </c>
      <c r="E795" s="185" t="s">
        <v>2003</v>
      </c>
      <c r="F795" s="185" t="s">
        <v>1657</v>
      </c>
      <c r="G795" s="185"/>
      <c r="H795" s="185"/>
      <c r="I795" s="188">
        <v>810</v>
      </c>
      <c r="J795" s="185"/>
      <c r="K795" s="188">
        <v>0</v>
      </c>
      <c r="L795" s="185" t="s">
        <v>1513</v>
      </c>
      <c r="M795" s="185"/>
      <c r="N795" s="185" t="s">
        <v>2190</v>
      </c>
      <c r="O795" s="185" t="s">
        <v>2184</v>
      </c>
      <c r="P795" s="185"/>
      <c r="Q795" s="185"/>
      <c r="R795" s="185"/>
      <c r="S795" s="186">
        <v>41162</v>
      </c>
      <c r="T795" s="186">
        <v>41162</v>
      </c>
      <c r="U795" s="185" t="s">
        <v>1658</v>
      </c>
      <c r="V795" s="185">
        <v>700</v>
      </c>
      <c r="W795" s="185">
        <v>14050</v>
      </c>
      <c r="X795" s="187">
        <v>27988.19</v>
      </c>
      <c r="Y795" s="185">
        <v>14056</v>
      </c>
      <c r="Z795" s="187">
        <v>27988.19</v>
      </c>
      <c r="AA795" s="187">
        <v>0</v>
      </c>
      <c r="AB795" s="187">
        <v>0</v>
      </c>
      <c r="AC795" s="187">
        <v>0</v>
      </c>
      <c r="AD795" s="185">
        <v>54260</v>
      </c>
      <c r="AE795" s="187">
        <v>0</v>
      </c>
      <c r="AF795" s="187">
        <v>0</v>
      </c>
      <c r="AG795" s="187">
        <v>0</v>
      </c>
      <c r="AH795" s="185" t="s">
        <v>989</v>
      </c>
      <c r="AI795" s="185"/>
      <c r="AJ795" s="185"/>
      <c r="AK795" s="185" t="s">
        <v>45</v>
      </c>
      <c r="AL795" s="185" t="s">
        <v>2267</v>
      </c>
      <c r="AM795" s="185" t="s">
        <v>2269</v>
      </c>
      <c r="AN795" s="196"/>
      <c r="AO795" s="196"/>
      <c r="AP795" s="195"/>
      <c r="AQ795" s="194"/>
      <c r="AR795" s="193"/>
      <c r="AS795" s="192"/>
      <c r="AT795" s="192"/>
      <c r="AU795" s="192"/>
      <c r="AV795" s="192"/>
      <c r="AW795" s="191"/>
      <c r="AX795" s="190" t="s">
        <v>72</v>
      </c>
      <c r="AY795" s="184"/>
    </row>
    <row r="796" spans="2:51">
      <c r="B796" s="185">
        <v>2183</v>
      </c>
      <c r="C796" s="189">
        <v>96400</v>
      </c>
      <c r="D796" s="185" t="s">
        <v>989</v>
      </c>
      <c r="E796" s="185" t="s">
        <v>2003</v>
      </c>
      <c r="F796" s="185" t="s">
        <v>1652</v>
      </c>
      <c r="G796" s="185"/>
      <c r="H796" s="185"/>
      <c r="I796" s="188">
        <v>243</v>
      </c>
      <c r="J796" s="185"/>
      <c r="K796" s="188">
        <v>0</v>
      </c>
      <c r="L796" s="185" t="s">
        <v>1513</v>
      </c>
      <c r="M796" s="185"/>
      <c r="N796" s="185" t="s">
        <v>2190</v>
      </c>
      <c r="O796" s="185" t="s">
        <v>2184</v>
      </c>
      <c r="P796" s="185"/>
      <c r="Q796" s="185"/>
      <c r="R796" s="185"/>
      <c r="S796" s="186">
        <v>41087</v>
      </c>
      <c r="T796" s="186">
        <v>41087</v>
      </c>
      <c r="U796" s="185" t="s">
        <v>1659</v>
      </c>
      <c r="V796" s="185">
        <v>700</v>
      </c>
      <c r="W796" s="185">
        <v>14050</v>
      </c>
      <c r="X796" s="187">
        <v>12604.82</v>
      </c>
      <c r="Y796" s="185">
        <v>14056</v>
      </c>
      <c r="Z796" s="187">
        <v>12604.82</v>
      </c>
      <c r="AA796" s="187">
        <v>0</v>
      </c>
      <c r="AB796" s="187">
        <v>0</v>
      </c>
      <c r="AC796" s="187">
        <v>0</v>
      </c>
      <c r="AD796" s="185">
        <v>54260</v>
      </c>
      <c r="AE796" s="187">
        <v>0</v>
      </c>
      <c r="AF796" s="187">
        <v>0</v>
      </c>
      <c r="AG796" s="187">
        <v>0</v>
      </c>
      <c r="AH796" s="185" t="s">
        <v>989</v>
      </c>
      <c r="AI796" s="185"/>
      <c r="AJ796" s="185"/>
      <c r="AK796" s="185" t="s">
        <v>45</v>
      </c>
      <c r="AL796" s="185" t="s">
        <v>2267</v>
      </c>
      <c r="AM796" s="185" t="s">
        <v>2269</v>
      </c>
      <c r="AN796" s="196"/>
      <c r="AO796" s="196"/>
      <c r="AP796" s="195"/>
      <c r="AQ796" s="194"/>
      <c r="AR796" s="193"/>
      <c r="AS796" s="192"/>
      <c r="AT796" s="192"/>
      <c r="AU796" s="192"/>
      <c r="AV796" s="192"/>
      <c r="AW796" s="191"/>
      <c r="AX796" s="190" t="s">
        <v>72</v>
      </c>
      <c r="AY796" s="184"/>
    </row>
    <row r="797" spans="2:51">
      <c r="B797" s="185">
        <v>2183</v>
      </c>
      <c r="C797" s="189">
        <v>96399</v>
      </c>
      <c r="D797" s="185" t="s">
        <v>989</v>
      </c>
      <c r="E797" s="185" t="s">
        <v>2003</v>
      </c>
      <c r="F797" s="185" t="s">
        <v>1654</v>
      </c>
      <c r="G797" s="185"/>
      <c r="H797" s="185"/>
      <c r="I797" s="188">
        <v>324</v>
      </c>
      <c r="J797" s="185"/>
      <c r="K797" s="188">
        <v>0</v>
      </c>
      <c r="L797" s="185" t="s">
        <v>1513</v>
      </c>
      <c r="M797" s="185"/>
      <c r="N797" s="185" t="s">
        <v>2190</v>
      </c>
      <c r="O797" s="185" t="s">
        <v>2184</v>
      </c>
      <c r="P797" s="185"/>
      <c r="Q797" s="185"/>
      <c r="R797" s="185"/>
      <c r="S797" s="186">
        <v>41087</v>
      </c>
      <c r="T797" s="186">
        <v>41087</v>
      </c>
      <c r="U797" s="185" t="s">
        <v>1660</v>
      </c>
      <c r="V797" s="185">
        <v>700</v>
      </c>
      <c r="W797" s="185">
        <v>14050</v>
      </c>
      <c r="X797" s="187">
        <v>14460.83</v>
      </c>
      <c r="Y797" s="185">
        <v>14056</v>
      </c>
      <c r="Z797" s="187">
        <v>14460.83</v>
      </c>
      <c r="AA797" s="187">
        <v>0</v>
      </c>
      <c r="AB797" s="187">
        <v>0</v>
      </c>
      <c r="AC797" s="187">
        <v>0</v>
      </c>
      <c r="AD797" s="185">
        <v>54260</v>
      </c>
      <c r="AE797" s="187">
        <v>0</v>
      </c>
      <c r="AF797" s="187">
        <v>0</v>
      </c>
      <c r="AG797" s="187">
        <v>0</v>
      </c>
      <c r="AH797" s="185" t="s">
        <v>989</v>
      </c>
      <c r="AI797" s="185"/>
      <c r="AJ797" s="185"/>
      <c r="AK797" s="185" t="s">
        <v>45</v>
      </c>
      <c r="AL797" s="185" t="s">
        <v>2267</v>
      </c>
      <c r="AM797" s="185" t="s">
        <v>2269</v>
      </c>
      <c r="AN797" s="196"/>
      <c r="AO797" s="196"/>
      <c r="AP797" s="195"/>
      <c r="AQ797" s="194"/>
      <c r="AR797" s="193"/>
      <c r="AS797" s="192"/>
      <c r="AT797" s="192"/>
      <c r="AU797" s="192"/>
      <c r="AV797" s="192"/>
      <c r="AW797" s="191"/>
      <c r="AX797" s="190" t="s">
        <v>72</v>
      </c>
      <c r="AY797" s="184"/>
    </row>
    <row r="798" spans="2:51">
      <c r="B798" s="185">
        <v>2183</v>
      </c>
      <c r="C798" s="189">
        <v>96398</v>
      </c>
      <c r="D798" s="185" t="s">
        <v>989</v>
      </c>
      <c r="E798" s="185" t="s">
        <v>2003</v>
      </c>
      <c r="F798" s="185" t="s">
        <v>1657</v>
      </c>
      <c r="G798" s="185"/>
      <c r="H798" s="185"/>
      <c r="I798" s="188">
        <v>810</v>
      </c>
      <c r="J798" s="185"/>
      <c r="K798" s="188">
        <v>0</v>
      </c>
      <c r="L798" s="185" t="s">
        <v>1513</v>
      </c>
      <c r="M798" s="185"/>
      <c r="N798" s="185" t="s">
        <v>2190</v>
      </c>
      <c r="O798" s="185" t="s">
        <v>2184</v>
      </c>
      <c r="P798" s="185"/>
      <c r="Q798" s="185"/>
      <c r="R798" s="185"/>
      <c r="S798" s="186">
        <v>41114</v>
      </c>
      <c r="T798" s="186">
        <v>41114</v>
      </c>
      <c r="U798" s="185" t="s">
        <v>1661</v>
      </c>
      <c r="V798" s="185">
        <v>700</v>
      </c>
      <c r="W798" s="185">
        <v>14050</v>
      </c>
      <c r="X798" s="187">
        <v>28315.919999999998</v>
      </c>
      <c r="Y798" s="185">
        <v>14056</v>
      </c>
      <c r="Z798" s="187">
        <v>28315.919999999998</v>
      </c>
      <c r="AA798" s="187">
        <v>0</v>
      </c>
      <c r="AB798" s="187">
        <v>0</v>
      </c>
      <c r="AC798" s="187">
        <v>0</v>
      </c>
      <c r="AD798" s="185">
        <v>54260</v>
      </c>
      <c r="AE798" s="187">
        <v>0</v>
      </c>
      <c r="AF798" s="187">
        <v>0</v>
      </c>
      <c r="AG798" s="187">
        <v>0</v>
      </c>
      <c r="AH798" s="185" t="s">
        <v>989</v>
      </c>
      <c r="AI798" s="185"/>
      <c r="AJ798" s="185"/>
      <c r="AK798" s="185" t="s">
        <v>45</v>
      </c>
      <c r="AL798" s="185" t="s">
        <v>2267</v>
      </c>
      <c r="AM798" s="185" t="s">
        <v>2269</v>
      </c>
      <c r="AN798" s="196"/>
      <c r="AO798" s="196"/>
      <c r="AP798" s="195"/>
      <c r="AQ798" s="194"/>
      <c r="AR798" s="193"/>
      <c r="AS798" s="192"/>
      <c r="AT798" s="192"/>
      <c r="AU798" s="192"/>
      <c r="AV798" s="192"/>
      <c r="AW798" s="191"/>
      <c r="AX798" s="190" t="s">
        <v>72</v>
      </c>
      <c r="AY798" s="184"/>
    </row>
    <row r="799" spans="2:51">
      <c r="B799" s="185">
        <v>2183</v>
      </c>
      <c r="C799" s="189">
        <v>96397</v>
      </c>
      <c r="D799" s="185" t="s">
        <v>989</v>
      </c>
      <c r="E799" s="185" t="s">
        <v>2003</v>
      </c>
      <c r="F799" s="185" t="s">
        <v>1662</v>
      </c>
      <c r="G799" s="185"/>
      <c r="H799" s="185"/>
      <c r="I799" s="188">
        <v>217</v>
      </c>
      <c r="J799" s="185"/>
      <c r="K799" s="188">
        <v>0</v>
      </c>
      <c r="L799" s="185" t="s">
        <v>1513</v>
      </c>
      <c r="M799" s="185"/>
      <c r="N799" s="185" t="s">
        <v>2190</v>
      </c>
      <c r="O799" s="185" t="s">
        <v>2184</v>
      </c>
      <c r="P799" s="185"/>
      <c r="Q799" s="185"/>
      <c r="R799" s="185"/>
      <c r="S799" s="186">
        <v>41114</v>
      </c>
      <c r="T799" s="186">
        <v>41114</v>
      </c>
      <c r="U799" s="185" t="s">
        <v>1663</v>
      </c>
      <c r="V799" s="185">
        <v>700</v>
      </c>
      <c r="W799" s="185">
        <v>14050</v>
      </c>
      <c r="X799" s="187">
        <v>7373.57</v>
      </c>
      <c r="Y799" s="185">
        <v>14056</v>
      </c>
      <c r="Z799" s="187">
        <v>7373.57</v>
      </c>
      <c r="AA799" s="187">
        <v>0</v>
      </c>
      <c r="AB799" s="187">
        <v>0</v>
      </c>
      <c r="AC799" s="187">
        <v>0</v>
      </c>
      <c r="AD799" s="185">
        <v>54260</v>
      </c>
      <c r="AE799" s="187">
        <v>0</v>
      </c>
      <c r="AF799" s="187">
        <v>0</v>
      </c>
      <c r="AG799" s="187">
        <v>0</v>
      </c>
      <c r="AH799" s="185" t="s">
        <v>989</v>
      </c>
      <c r="AI799" s="185"/>
      <c r="AJ799" s="185"/>
      <c r="AK799" s="185" t="s">
        <v>45</v>
      </c>
      <c r="AL799" s="185" t="s">
        <v>2267</v>
      </c>
      <c r="AM799" s="185" t="s">
        <v>2269</v>
      </c>
      <c r="AN799" s="196"/>
      <c r="AO799" s="196"/>
      <c r="AP799" s="195"/>
      <c r="AQ799" s="194"/>
      <c r="AR799" s="193"/>
      <c r="AS799" s="192"/>
      <c r="AT799" s="192"/>
      <c r="AU799" s="192"/>
      <c r="AV799" s="192"/>
      <c r="AW799" s="191"/>
      <c r="AX799" s="190" t="s">
        <v>72</v>
      </c>
      <c r="AY799" s="184"/>
    </row>
    <row r="800" spans="2:51" hidden="1">
      <c r="B800" s="185">
        <v>2183</v>
      </c>
      <c r="C800" s="189">
        <v>96158</v>
      </c>
      <c r="D800" s="185">
        <v>95877</v>
      </c>
      <c r="E800" s="185" t="s">
        <v>2003</v>
      </c>
      <c r="F800" s="185" t="s">
        <v>1664</v>
      </c>
      <c r="G800" s="185"/>
      <c r="H800" s="185"/>
      <c r="I800" s="188">
        <v>1</v>
      </c>
      <c r="J800" s="185"/>
      <c r="K800" s="188">
        <v>0</v>
      </c>
      <c r="L800" s="185" t="s">
        <v>1665</v>
      </c>
      <c r="M800" s="185"/>
      <c r="N800" s="185" t="s">
        <v>2183</v>
      </c>
      <c r="O800" s="185" t="s">
        <v>2184</v>
      </c>
      <c r="P800" s="185" t="s">
        <v>1028</v>
      </c>
      <c r="Q800" s="185"/>
      <c r="R800" s="185"/>
      <c r="S800" s="186">
        <v>41122</v>
      </c>
      <c r="T800" s="186">
        <v>41122</v>
      </c>
      <c r="U800" s="185" t="s">
        <v>1650</v>
      </c>
      <c r="V800" s="185">
        <v>300</v>
      </c>
      <c r="W800" s="185">
        <v>14040</v>
      </c>
      <c r="X800" s="187">
        <v>8555.08</v>
      </c>
      <c r="Y800" s="185">
        <v>14046</v>
      </c>
      <c r="Z800" s="187">
        <v>8555.08</v>
      </c>
      <c r="AA800" s="187">
        <v>0</v>
      </c>
      <c r="AB800" s="187">
        <v>0</v>
      </c>
      <c r="AC800" s="187">
        <v>0</v>
      </c>
      <c r="AD800" s="185">
        <v>51260</v>
      </c>
      <c r="AE800" s="187">
        <v>0</v>
      </c>
      <c r="AF800" s="187">
        <v>0</v>
      </c>
      <c r="AG800" s="187">
        <v>0</v>
      </c>
      <c r="AH800" s="185" t="s">
        <v>989</v>
      </c>
      <c r="AI800" s="185"/>
      <c r="AJ800" s="185"/>
      <c r="AK800" s="185" t="s">
        <v>45</v>
      </c>
      <c r="AL800" s="185" t="s">
        <v>2267</v>
      </c>
      <c r="AM800" s="185" t="s">
        <v>2269</v>
      </c>
      <c r="AN800" s="196"/>
      <c r="AO800" s="196"/>
      <c r="AP800" s="195"/>
      <c r="AQ800" s="194"/>
      <c r="AR800" s="193"/>
      <c r="AS800" s="192"/>
      <c r="AT800" s="192"/>
      <c r="AU800" s="192"/>
      <c r="AV800" s="192"/>
      <c r="AW800" s="191"/>
      <c r="AX800" s="190" t="s">
        <v>72</v>
      </c>
      <c r="AY800" s="184"/>
    </row>
    <row r="801" spans="2:51">
      <c r="B801" s="185">
        <v>2183</v>
      </c>
      <c r="C801" s="189">
        <v>95877</v>
      </c>
      <c r="D801" s="185" t="s">
        <v>989</v>
      </c>
      <c r="E801" s="185" t="s">
        <v>2003</v>
      </c>
      <c r="F801" s="185" t="s">
        <v>1666</v>
      </c>
      <c r="G801" s="185"/>
      <c r="H801" s="185"/>
      <c r="I801" s="188">
        <v>1</v>
      </c>
      <c r="J801" s="185" t="s">
        <v>1649</v>
      </c>
      <c r="K801" s="188">
        <v>2012</v>
      </c>
      <c r="L801" s="185" t="s">
        <v>1634</v>
      </c>
      <c r="M801" s="185" t="s">
        <v>1408</v>
      </c>
      <c r="N801" s="185" t="s">
        <v>2183</v>
      </c>
      <c r="O801" s="185" t="s">
        <v>2184</v>
      </c>
      <c r="P801" s="185" t="s">
        <v>2187</v>
      </c>
      <c r="Q801" s="185"/>
      <c r="R801" s="185"/>
      <c r="S801" s="186">
        <v>41122</v>
      </c>
      <c r="T801" s="186">
        <v>41122</v>
      </c>
      <c r="U801" s="185" t="s">
        <v>1650</v>
      </c>
      <c r="V801" s="185">
        <v>900</v>
      </c>
      <c r="W801" s="185">
        <v>14040</v>
      </c>
      <c r="X801" s="187">
        <v>297122.34999999998</v>
      </c>
      <c r="Y801" s="185">
        <v>14046</v>
      </c>
      <c r="Z801" s="187">
        <v>297122.34999999998</v>
      </c>
      <c r="AA801" s="187">
        <v>0</v>
      </c>
      <c r="AB801" s="187">
        <v>0</v>
      </c>
      <c r="AC801" s="187">
        <v>0</v>
      </c>
      <c r="AD801" s="185">
        <v>51260</v>
      </c>
      <c r="AE801" s="187">
        <v>0</v>
      </c>
      <c r="AF801" s="187">
        <v>0</v>
      </c>
      <c r="AG801" s="187">
        <v>0</v>
      </c>
      <c r="AH801" s="185" t="s">
        <v>989</v>
      </c>
      <c r="AI801" s="185"/>
      <c r="AJ801" s="185">
        <v>3632</v>
      </c>
      <c r="AK801" s="185" t="s">
        <v>45</v>
      </c>
      <c r="AL801" s="185" t="s">
        <v>2267</v>
      </c>
      <c r="AM801" s="185" t="s">
        <v>2269</v>
      </c>
      <c r="AN801" s="196"/>
      <c r="AO801" s="196"/>
      <c r="AP801" s="195"/>
      <c r="AQ801" s="194"/>
      <c r="AR801" s="193"/>
      <c r="AS801" s="192"/>
      <c r="AT801" s="192"/>
      <c r="AU801" s="192"/>
      <c r="AV801" s="192"/>
      <c r="AW801" s="191"/>
      <c r="AX801" s="190" t="s">
        <v>72</v>
      </c>
      <c r="AY801" s="184"/>
    </row>
    <row r="802" spans="2:51">
      <c r="B802" s="185">
        <v>2183</v>
      </c>
      <c r="C802" s="189">
        <v>95840</v>
      </c>
      <c r="D802" s="185" t="s">
        <v>989</v>
      </c>
      <c r="E802" s="185" t="s">
        <v>2003</v>
      </c>
      <c r="F802" s="185" t="s">
        <v>1667</v>
      </c>
      <c r="G802" s="185"/>
      <c r="H802" s="185"/>
      <c r="I802" s="188">
        <v>1</v>
      </c>
      <c r="J802" s="185"/>
      <c r="K802" s="188">
        <v>0</v>
      </c>
      <c r="L802" s="185" t="s">
        <v>1442</v>
      </c>
      <c r="M802" s="185"/>
      <c r="N802" s="185" t="s">
        <v>2183</v>
      </c>
      <c r="O802" s="185" t="s">
        <v>2184</v>
      </c>
      <c r="P802" s="185" t="s">
        <v>1873</v>
      </c>
      <c r="Q802" s="185"/>
      <c r="R802" s="185"/>
      <c r="S802" s="186">
        <v>41121</v>
      </c>
      <c r="T802" s="186">
        <v>41121</v>
      </c>
      <c r="U802" s="185" t="s">
        <v>1668</v>
      </c>
      <c r="V802" s="185">
        <v>300</v>
      </c>
      <c r="W802" s="185">
        <v>14040</v>
      </c>
      <c r="X802" s="187">
        <v>45310.51</v>
      </c>
      <c r="Y802" s="185">
        <v>14046</v>
      </c>
      <c r="Z802" s="187">
        <v>45310.51</v>
      </c>
      <c r="AA802" s="187">
        <v>0</v>
      </c>
      <c r="AB802" s="187">
        <v>0</v>
      </c>
      <c r="AC802" s="187">
        <v>0</v>
      </c>
      <c r="AD802" s="185">
        <v>51260</v>
      </c>
      <c r="AE802" s="187">
        <v>0</v>
      </c>
      <c r="AF802" s="187">
        <v>0</v>
      </c>
      <c r="AG802" s="187">
        <v>0</v>
      </c>
      <c r="AH802" s="185" t="s">
        <v>989</v>
      </c>
      <c r="AI802" s="185"/>
      <c r="AJ802" s="185"/>
      <c r="AK802" s="185" t="s">
        <v>45</v>
      </c>
      <c r="AL802" s="185" t="s">
        <v>2267</v>
      </c>
      <c r="AM802" s="185" t="s">
        <v>2269</v>
      </c>
      <c r="AN802" s="196"/>
      <c r="AO802" s="196"/>
      <c r="AP802" s="195"/>
      <c r="AQ802" s="194"/>
      <c r="AR802" s="193"/>
      <c r="AS802" s="192"/>
      <c r="AT802" s="192"/>
      <c r="AU802" s="192"/>
      <c r="AV802" s="192"/>
      <c r="AW802" s="191"/>
      <c r="AX802" s="190" t="s">
        <v>72</v>
      </c>
      <c r="AY802" s="184"/>
    </row>
    <row r="803" spans="2:51">
      <c r="B803" s="185">
        <v>2183</v>
      </c>
      <c r="C803" s="189">
        <v>94943</v>
      </c>
      <c r="D803" s="185" t="s">
        <v>989</v>
      </c>
      <c r="E803" s="185" t="s">
        <v>2003</v>
      </c>
      <c r="F803" s="185" t="s">
        <v>1669</v>
      </c>
      <c r="G803" s="185"/>
      <c r="H803" s="185"/>
      <c r="I803" s="188">
        <v>486</v>
      </c>
      <c r="J803" s="185" t="s">
        <v>1670</v>
      </c>
      <c r="K803" s="188">
        <v>0</v>
      </c>
      <c r="L803" s="185" t="s">
        <v>1513</v>
      </c>
      <c r="M803" s="185"/>
      <c r="N803" s="185" t="s">
        <v>2190</v>
      </c>
      <c r="O803" s="185" t="s">
        <v>2184</v>
      </c>
      <c r="P803" s="185"/>
      <c r="Q803" s="185"/>
      <c r="R803" s="185"/>
      <c r="S803" s="186">
        <v>41096</v>
      </c>
      <c r="T803" s="186">
        <v>41096</v>
      </c>
      <c r="U803" s="185" t="s">
        <v>1671</v>
      </c>
      <c r="V803" s="185">
        <v>700</v>
      </c>
      <c r="W803" s="185">
        <v>14050</v>
      </c>
      <c r="X803" s="187">
        <v>25209.59</v>
      </c>
      <c r="Y803" s="185">
        <v>14056</v>
      </c>
      <c r="Z803" s="187">
        <v>25209.59</v>
      </c>
      <c r="AA803" s="187">
        <v>0</v>
      </c>
      <c r="AB803" s="187">
        <v>0</v>
      </c>
      <c r="AC803" s="187">
        <v>0</v>
      </c>
      <c r="AD803" s="185">
        <v>54260</v>
      </c>
      <c r="AE803" s="187">
        <v>0</v>
      </c>
      <c r="AF803" s="187">
        <v>0</v>
      </c>
      <c r="AG803" s="187">
        <v>0</v>
      </c>
      <c r="AH803" s="185" t="s">
        <v>989</v>
      </c>
      <c r="AI803" s="185"/>
      <c r="AJ803" s="185"/>
      <c r="AK803" s="185" t="s">
        <v>45</v>
      </c>
      <c r="AL803" s="185" t="s">
        <v>2267</v>
      </c>
      <c r="AM803" s="185" t="s">
        <v>2269</v>
      </c>
      <c r="AN803" s="196"/>
      <c r="AO803" s="196"/>
      <c r="AP803" s="195"/>
      <c r="AQ803" s="194"/>
      <c r="AR803" s="193"/>
      <c r="AS803" s="192"/>
      <c r="AT803" s="192"/>
      <c r="AU803" s="192"/>
      <c r="AV803" s="192"/>
      <c r="AW803" s="191"/>
      <c r="AX803" s="190" t="s">
        <v>72</v>
      </c>
      <c r="AY803" s="184"/>
    </row>
    <row r="804" spans="2:51">
      <c r="B804" s="185">
        <v>2183</v>
      </c>
      <c r="C804" s="189">
        <v>93959</v>
      </c>
      <c r="D804" s="185" t="s">
        <v>989</v>
      </c>
      <c r="E804" s="185" t="s">
        <v>2003</v>
      </c>
      <c r="F804" s="185" t="s">
        <v>1672</v>
      </c>
      <c r="G804" s="185"/>
      <c r="H804" s="185"/>
      <c r="I804" s="188">
        <v>1</v>
      </c>
      <c r="J804" s="185"/>
      <c r="K804" s="188">
        <v>0</v>
      </c>
      <c r="L804" s="185" t="s">
        <v>1145</v>
      </c>
      <c r="M804" s="185"/>
      <c r="N804" s="185" t="s">
        <v>2199</v>
      </c>
      <c r="O804" s="185" t="s">
        <v>2184</v>
      </c>
      <c r="P804" s="185"/>
      <c r="Q804" s="185"/>
      <c r="R804" s="185"/>
      <c r="S804" s="186">
        <v>41036</v>
      </c>
      <c r="T804" s="186">
        <v>41036</v>
      </c>
      <c r="U804" s="185" t="s">
        <v>1673</v>
      </c>
      <c r="V804" s="185">
        <v>300</v>
      </c>
      <c r="W804" s="185">
        <v>14110</v>
      </c>
      <c r="X804" s="187">
        <v>949.73</v>
      </c>
      <c r="Y804" s="185">
        <v>14116</v>
      </c>
      <c r="Z804" s="187">
        <v>949.73</v>
      </c>
      <c r="AA804" s="187">
        <v>0</v>
      </c>
      <c r="AB804" s="187">
        <v>0</v>
      </c>
      <c r="AC804" s="187">
        <v>0</v>
      </c>
      <c r="AD804" s="185">
        <v>70260</v>
      </c>
      <c r="AE804" s="187">
        <v>0</v>
      </c>
      <c r="AF804" s="187">
        <v>0</v>
      </c>
      <c r="AG804" s="187">
        <v>0</v>
      </c>
      <c r="AH804" s="185" t="s">
        <v>989</v>
      </c>
      <c r="AI804" s="185"/>
      <c r="AJ804" s="185"/>
      <c r="AK804" s="185" t="s">
        <v>45</v>
      </c>
      <c r="AL804" s="185" t="s">
        <v>2267</v>
      </c>
      <c r="AM804" s="185" t="s">
        <v>2269</v>
      </c>
      <c r="AN804" s="196"/>
      <c r="AO804" s="196"/>
      <c r="AP804" s="195"/>
      <c r="AQ804" s="194"/>
      <c r="AR804" s="193"/>
      <c r="AS804" s="192"/>
      <c r="AT804" s="192"/>
      <c r="AU804" s="192"/>
      <c r="AV804" s="192"/>
      <c r="AW804" s="191"/>
      <c r="AX804" s="190" t="s">
        <v>72</v>
      </c>
      <c r="AY804" s="184"/>
    </row>
    <row r="805" spans="2:51">
      <c r="B805" s="185">
        <v>2183</v>
      </c>
      <c r="C805" s="189">
        <v>92581</v>
      </c>
      <c r="D805" s="185" t="s">
        <v>989</v>
      </c>
      <c r="E805" s="185" t="s">
        <v>2003</v>
      </c>
      <c r="F805" s="185" t="s">
        <v>1674</v>
      </c>
      <c r="G805" s="185"/>
      <c r="H805" s="185"/>
      <c r="I805" s="188">
        <v>1</v>
      </c>
      <c r="J805" s="185"/>
      <c r="K805" s="188">
        <v>0</v>
      </c>
      <c r="L805" s="185" t="s">
        <v>1145</v>
      </c>
      <c r="M805" s="185"/>
      <c r="N805" s="185" t="s">
        <v>2199</v>
      </c>
      <c r="O805" s="185" t="s">
        <v>2184</v>
      </c>
      <c r="P805" s="185"/>
      <c r="Q805" s="185"/>
      <c r="R805" s="185"/>
      <c r="S805" s="186">
        <v>40988</v>
      </c>
      <c r="T805" s="186">
        <v>40988</v>
      </c>
      <c r="U805" s="185" t="s">
        <v>1675</v>
      </c>
      <c r="V805" s="185">
        <v>300</v>
      </c>
      <c r="W805" s="185">
        <v>14110</v>
      </c>
      <c r="X805" s="187">
        <v>947.94</v>
      </c>
      <c r="Y805" s="185">
        <v>14116</v>
      </c>
      <c r="Z805" s="187">
        <v>947.94</v>
      </c>
      <c r="AA805" s="187">
        <v>0</v>
      </c>
      <c r="AB805" s="187">
        <v>0</v>
      </c>
      <c r="AC805" s="187">
        <v>0</v>
      </c>
      <c r="AD805" s="185">
        <v>70260</v>
      </c>
      <c r="AE805" s="187">
        <v>0</v>
      </c>
      <c r="AF805" s="187">
        <v>0</v>
      </c>
      <c r="AG805" s="187">
        <v>0</v>
      </c>
      <c r="AH805" s="185" t="s">
        <v>989</v>
      </c>
      <c r="AI805" s="185"/>
      <c r="AJ805" s="185"/>
      <c r="AK805" s="185" t="s">
        <v>45</v>
      </c>
      <c r="AL805" s="185" t="s">
        <v>2267</v>
      </c>
      <c r="AM805" s="185" t="s">
        <v>2269</v>
      </c>
      <c r="AN805" s="196"/>
      <c r="AO805" s="196"/>
      <c r="AP805" s="195"/>
      <c r="AQ805" s="194"/>
      <c r="AR805" s="193"/>
      <c r="AS805" s="192"/>
      <c r="AT805" s="192"/>
      <c r="AU805" s="192"/>
      <c r="AV805" s="192"/>
      <c r="AW805" s="191"/>
      <c r="AX805" s="190" t="s">
        <v>72</v>
      </c>
      <c r="AY805" s="184"/>
    </row>
    <row r="806" spans="2:51" hidden="1">
      <c r="B806" s="185">
        <v>2183</v>
      </c>
      <c r="C806" s="189">
        <v>92496</v>
      </c>
      <c r="D806" s="185">
        <v>67015</v>
      </c>
      <c r="E806" s="185" t="s">
        <v>2003</v>
      </c>
      <c r="F806" s="185" t="s">
        <v>1676</v>
      </c>
      <c r="G806" s="185"/>
      <c r="H806" s="185"/>
      <c r="I806" s="188">
        <v>1</v>
      </c>
      <c r="J806" s="185"/>
      <c r="K806" s="188">
        <v>0</v>
      </c>
      <c r="L806" s="185" t="s">
        <v>1677</v>
      </c>
      <c r="M806" s="185"/>
      <c r="N806" s="185" t="s">
        <v>2183</v>
      </c>
      <c r="O806" s="185" t="s">
        <v>2184</v>
      </c>
      <c r="P806" s="185" t="s">
        <v>1028</v>
      </c>
      <c r="Q806" s="185"/>
      <c r="R806" s="185"/>
      <c r="S806" s="186">
        <v>40952</v>
      </c>
      <c r="T806" s="186">
        <v>40952</v>
      </c>
      <c r="U806" s="185" t="s">
        <v>1678</v>
      </c>
      <c r="V806" s="185">
        <v>300</v>
      </c>
      <c r="W806" s="185">
        <v>14040</v>
      </c>
      <c r="X806" s="187">
        <v>4164.8</v>
      </c>
      <c r="Y806" s="185">
        <v>14046</v>
      </c>
      <c r="Z806" s="187">
        <v>4164.8</v>
      </c>
      <c r="AA806" s="187">
        <v>0</v>
      </c>
      <c r="AB806" s="187">
        <v>0</v>
      </c>
      <c r="AC806" s="187">
        <v>0</v>
      </c>
      <c r="AD806" s="185">
        <v>51260</v>
      </c>
      <c r="AE806" s="187">
        <v>0</v>
      </c>
      <c r="AF806" s="187">
        <v>0</v>
      </c>
      <c r="AG806" s="187">
        <v>0</v>
      </c>
      <c r="AH806" s="185" t="s">
        <v>989</v>
      </c>
      <c r="AI806" s="185"/>
      <c r="AJ806" s="185"/>
      <c r="AK806" s="185" t="s">
        <v>45</v>
      </c>
      <c r="AL806" s="185" t="s">
        <v>2267</v>
      </c>
      <c r="AM806" s="185" t="s">
        <v>2269</v>
      </c>
      <c r="AN806" s="196"/>
      <c r="AO806" s="196"/>
      <c r="AP806" s="195"/>
      <c r="AQ806" s="194"/>
      <c r="AR806" s="193"/>
      <c r="AS806" s="192"/>
      <c r="AT806" s="192"/>
      <c r="AU806" s="192"/>
      <c r="AV806" s="192"/>
      <c r="AW806" s="191"/>
      <c r="AX806" s="190" t="s">
        <v>72</v>
      </c>
      <c r="AY806" s="184"/>
    </row>
    <row r="807" spans="2:51" hidden="1">
      <c r="B807" s="185">
        <v>2183</v>
      </c>
      <c r="C807" s="189">
        <v>92495</v>
      </c>
      <c r="D807" s="185">
        <v>67015</v>
      </c>
      <c r="E807" s="185" t="s">
        <v>2003</v>
      </c>
      <c r="F807" s="185" t="s">
        <v>1679</v>
      </c>
      <c r="G807" s="185"/>
      <c r="H807" s="185"/>
      <c r="I807" s="188">
        <v>1</v>
      </c>
      <c r="J807" s="185"/>
      <c r="K807" s="188">
        <v>0</v>
      </c>
      <c r="L807" s="185" t="s">
        <v>1680</v>
      </c>
      <c r="M807" s="185"/>
      <c r="N807" s="185" t="s">
        <v>2183</v>
      </c>
      <c r="O807" s="185" t="s">
        <v>2184</v>
      </c>
      <c r="P807" s="185" t="s">
        <v>1028</v>
      </c>
      <c r="Q807" s="185"/>
      <c r="R807" s="185"/>
      <c r="S807" s="186">
        <v>40952</v>
      </c>
      <c r="T807" s="186">
        <v>40952</v>
      </c>
      <c r="U807" s="185" t="s">
        <v>1678</v>
      </c>
      <c r="V807" s="185">
        <v>300</v>
      </c>
      <c r="W807" s="185">
        <v>14040</v>
      </c>
      <c r="X807" s="187">
        <v>-4700.16</v>
      </c>
      <c r="Y807" s="185">
        <v>14046</v>
      </c>
      <c r="Z807" s="187">
        <v>-4700.16</v>
      </c>
      <c r="AA807" s="187">
        <v>0</v>
      </c>
      <c r="AB807" s="187">
        <v>0</v>
      </c>
      <c r="AC807" s="187">
        <v>0</v>
      </c>
      <c r="AD807" s="185">
        <v>51260</v>
      </c>
      <c r="AE807" s="187">
        <v>0</v>
      </c>
      <c r="AF807" s="187">
        <v>0</v>
      </c>
      <c r="AG807" s="187">
        <v>0</v>
      </c>
      <c r="AH807" s="185" t="s">
        <v>989</v>
      </c>
      <c r="AI807" s="185"/>
      <c r="AJ807" s="185"/>
      <c r="AK807" s="185" t="s">
        <v>45</v>
      </c>
      <c r="AL807" s="185" t="s">
        <v>2267</v>
      </c>
      <c r="AM807" s="185" t="s">
        <v>2269</v>
      </c>
      <c r="AN807" s="196"/>
      <c r="AO807" s="196"/>
      <c r="AP807" s="195"/>
      <c r="AQ807" s="194"/>
      <c r="AR807" s="193"/>
      <c r="AS807" s="192"/>
      <c r="AT807" s="192"/>
      <c r="AU807" s="192"/>
      <c r="AV807" s="192"/>
      <c r="AW807" s="191"/>
      <c r="AX807" s="190" t="s">
        <v>72</v>
      </c>
      <c r="AY807" s="184"/>
    </row>
    <row r="808" spans="2:51">
      <c r="B808" s="185">
        <v>2183</v>
      </c>
      <c r="C808" s="189">
        <v>91687</v>
      </c>
      <c r="D808" s="185" t="s">
        <v>989</v>
      </c>
      <c r="E808" s="185" t="s">
        <v>2003</v>
      </c>
      <c r="F808" s="185" t="s">
        <v>1681</v>
      </c>
      <c r="G808" s="185"/>
      <c r="H808" s="185"/>
      <c r="I808" s="188">
        <v>486</v>
      </c>
      <c r="J808" s="185"/>
      <c r="K808" s="188">
        <v>0</v>
      </c>
      <c r="L808" s="185" t="s">
        <v>1513</v>
      </c>
      <c r="M808" s="185"/>
      <c r="N808" s="185" t="s">
        <v>2190</v>
      </c>
      <c r="O808" s="185" t="s">
        <v>2184</v>
      </c>
      <c r="P808" s="185"/>
      <c r="Q808" s="185"/>
      <c r="R808" s="185"/>
      <c r="S808" s="186">
        <v>40999</v>
      </c>
      <c r="T808" s="186">
        <v>40999</v>
      </c>
      <c r="U808" s="185" t="s">
        <v>1682</v>
      </c>
      <c r="V808" s="185">
        <v>700</v>
      </c>
      <c r="W808" s="185">
        <v>14050</v>
      </c>
      <c r="X808" s="187">
        <v>24829.25</v>
      </c>
      <c r="Y808" s="185">
        <v>14056</v>
      </c>
      <c r="Z808" s="187">
        <v>24829.25</v>
      </c>
      <c r="AA808" s="187">
        <v>0</v>
      </c>
      <c r="AB808" s="187">
        <v>0</v>
      </c>
      <c r="AC808" s="187">
        <v>0</v>
      </c>
      <c r="AD808" s="185">
        <v>54260</v>
      </c>
      <c r="AE808" s="187">
        <v>0</v>
      </c>
      <c r="AF808" s="187">
        <v>0</v>
      </c>
      <c r="AG808" s="187">
        <v>0</v>
      </c>
      <c r="AH808" s="185" t="s">
        <v>989</v>
      </c>
      <c r="AI808" s="185"/>
      <c r="AJ808" s="185"/>
      <c r="AK808" s="185" t="s">
        <v>45</v>
      </c>
      <c r="AL808" s="185" t="s">
        <v>2267</v>
      </c>
      <c r="AM808" s="185" t="s">
        <v>2269</v>
      </c>
      <c r="AN808" s="196"/>
      <c r="AO808" s="196"/>
      <c r="AP808" s="195"/>
      <c r="AQ808" s="194"/>
      <c r="AR808" s="193"/>
      <c r="AS808" s="192"/>
      <c r="AT808" s="192"/>
      <c r="AU808" s="192"/>
      <c r="AV808" s="192"/>
      <c r="AW808" s="191"/>
      <c r="AX808" s="190" t="s">
        <v>72</v>
      </c>
      <c r="AY808" s="184"/>
    </row>
    <row r="809" spans="2:51" hidden="1">
      <c r="B809" s="185">
        <v>2183</v>
      </c>
      <c r="C809" s="189">
        <v>91068</v>
      </c>
      <c r="D809" s="185">
        <v>67015</v>
      </c>
      <c r="E809" s="185" t="s">
        <v>2003</v>
      </c>
      <c r="F809" s="185" t="s">
        <v>1683</v>
      </c>
      <c r="G809" s="185"/>
      <c r="H809" s="185"/>
      <c r="I809" s="188">
        <v>1</v>
      </c>
      <c r="J809" s="185"/>
      <c r="K809" s="188">
        <v>0</v>
      </c>
      <c r="L809" s="185" t="s">
        <v>1684</v>
      </c>
      <c r="M809" s="185"/>
      <c r="N809" s="185" t="s">
        <v>2183</v>
      </c>
      <c r="O809" s="185" t="s">
        <v>2184</v>
      </c>
      <c r="P809" s="185" t="s">
        <v>1028</v>
      </c>
      <c r="Q809" s="185"/>
      <c r="R809" s="185"/>
      <c r="S809" s="186">
        <v>40952</v>
      </c>
      <c r="T809" s="186">
        <v>40952</v>
      </c>
      <c r="U809" s="185" t="s">
        <v>1678</v>
      </c>
      <c r="V809" s="185">
        <v>300</v>
      </c>
      <c r="W809" s="185">
        <v>14040</v>
      </c>
      <c r="X809" s="187">
        <v>12472.57</v>
      </c>
      <c r="Y809" s="185">
        <v>14046</v>
      </c>
      <c r="Z809" s="187">
        <v>12472.57</v>
      </c>
      <c r="AA809" s="187">
        <v>0</v>
      </c>
      <c r="AB809" s="187">
        <v>0</v>
      </c>
      <c r="AC809" s="187">
        <v>0</v>
      </c>
      <c r="AD809" s="185">
        <v>51260</v>
      </c>
      <c r="AE809" s="187">
        <v>0</v>
      </c>
      <c r="AF809" s="187">
        <v>0</v>
      </c>
      <c r="AG809" s="187">
        <v>0</v>
      </c>
      <c r="AH809" s="185" t="s">
        <v>989</v>
      </c>
      <c r="AI809" s="185"/>
      <c r="AJ809" s="185"/>
      <c r="AK809" s="185" t="s">
        <v>45</v>
      </c>
      <c r="AL809" s="185" t="s">
        <v>2267</v>
      </c>
      <c r="AM809" s="185" t="s">
        <v>2269</v>
      </c>
      <c r="AN809" s="196"/>
      <c r="AO809" s="196"/>
      <c r="AP809" s="195"/>
      <c r="AQ809" s="194"/>
      <c r="AR809" s="193"/>
      <c r="AS809" s="192"/>
      <c r="AT809" s="192"/>
      <c r="AU809" s="192"/>
      <c r="AV809" s="192"/>
      <c r="AW809" s="191"/>
      <c r="AX809" s="190" t="s">
        <v>72</v>
      </c>
      <c r="AY809" s="184"/>
    </row>
    <row r="810" spans="2:51">
      <c r="B810" s="185">
        <v>2183</v>
      </c>
      <c r="C810" s="189">
        <v>90470</v>
      </c>
      <c r="D810" s="185" t="s">
        <v>989</v>
      </c>
      <c r="E810" s="185" t="s">
        <v>2003</v>
      </c>
      <c r="F810" s="185" t="s">
        <v>1685</v>
      </c>
      <c r="G810" s="185"/>
      <c r="H810" s="185"/>
      <c r="I810" s="188">
        <v>1</v>
      </c>
      <c r="J810" s="185"/>
      <c r="K810" s="188">
        <v>0</v>
      </c>
      <c r="L810" s="185" t="s">
        <v>1507</v>
      </c>
      <c r="M810" s="185"/>
      <c r="N810" s="185" t="s">
        <v>2199</v>
      </c>
      <c r="O810" s="185" t="s">
        <v>2184</v>
      </c>
      <c r="P810" s="185"/>
      <c r="Q810" s="185"/>
      <c r="R810" s="185"/>
      <c r="S810" s="186">
        <v>40933</v>
      </c>
      <c r="T810" s="186">
        <v>40933</v>
      </c>
      <c r="U810" s="185" t="s">
        <v>1508</v>
      </c>
      <c r="V810" s="185">
        <v>500</v>
      </c>
      <c r="W810" s="185">
        <v>14110</v>
      </c>
      <c r="X810" s="187">
        <v>561.34</v>
      </c>
      <c r="Y810" s="185">
        <v>14116</v>
      </c>
      <c r="Z810" s="187">
        <v>561.34</v>
      </c>
      <c r="AA810" s="187">
        <v>0</v>
      </c>
      <c r="AB810" s="187">
        <v>0</v>
      </c>
      <c r="AC810" s="187">
        <v>0</v>
      </c>
      <c r="AD810" s="185">
        <v>70260</v>
      </c>
      <c r="AE810" s="187">
        <v>0</v>
      </c>
      <c r="AF810" s="187">
        <v>0</v>
      </c>
      <c r="AG810" s="187">
        <v>0</v>
      </c>
      <c r="AH810" s="185" t="s">
        <v>989</v>
      </c>
      <c r="AI810" s="185"/>
      <c r="AJ810" s="185"/>
      <c r="AK810" s="185" t="s">
        <v>45</v>
      </c>
      <c r="AL810" s="185" t="s">
        <v>2267</v>
      </c>
      <c r="AM810" s="185" t="s">
        <v>2269</v>
      </c>
      <c r="AN810" s="196"/>
      <c r="AO810" s="196"/>
      <c r="AP810" s="195"/>
      <c r="AQ810" s="194"/>
      <c r="AR810" s="193"/>
      <c r="AS810" s="192"/>
      <c r="AT810" s="192"/>
      <c r="AU810" s="192"/>
      <c r="AV810" s="192"/>
      <c r="AW810" s="191"/>
      <c r="AX810" s="190" t="s">
        <v>72</v>
      </c>
      <c r="AY810" s="184"/>
    </row>
    <row r="811" spans="2:51">
      <c r="B811" s="185">
        <v>2183</v>
      </c>
      <c r="C811" s="189">
        <v>89484</v>
      </c>
      <c r="D811" s="185" t="s">
        <v>989</v>
      </c>
      <c r="E811" s="185" t="s">
        <v>2003</v>
      </c>
      <c r="F811" s="185" t="s">
        <v>1686</v>
      </c>
      <c r="G811" s="185"/>
      <c r="H811" s="185"/>
      <c r="I811" s="188">
        <v>1</v>
      </c>
      <c r="J811" s="185" t="s">
        <v>1687</v>
      </c>
      <c r="K811" s="188">
        <v>2011</v>
      </c>
      <c r="L811" s="185" t="s">
        <v>1634</v>
      </c>
      <c r="M811" s="185" t="s">
        <v>1267</v>
      </c>
      <c r="N811" s="185" t="s">
        <v>2183</v>
      </c>
      <c r="O811" s="185" t="s">
        <v>2184</v>
      </c>
      <c r="P811" s="185" t="s">
        <v>2206</v>
      </c>
      <c r="Q811" s="185"/>
      <c r="R811" s="185"/>
      <c r="S811" s="186">
        <v>40878</v>
      </c>
      <c r="T811" s="186">
        <v>40878</v>
      </c>
      <c r="U811" s="185" t="s">
        <v>1688</v>
      </c>
      <c r="V811" s="185">
        <v>900</v>
      </c>
      <c r="W811" s="185">
        <v>14040</v>
      </c>
      <c r="X811" s="187">
        <v>245480.55</v>
      </c>
      <c r="Y811" s="185">
        <v>14046</v>
      </c>
      <c r="Z811" s="187">
        <v>245480.55</v>
      </c>
      <c r="AA811" s="187">
        <v>0</v>
      </c>
      <c r="AB811" s="187">
        <v>0</v>
      </c>
      <c r="AC811" s="187">
        <v>0</v>
      </c>
      <c r="AD811" s="185">
        <v>51260</v>
      </c>
      <c r="AE811" s="187">
        <v>0</v>
      </c>
      <c r="AF811" s="187">
        <v>0</v>
      </c>
      <c r="AG811" s="187">
        <v>0</v>
      </c>
      <c r="AH811" s="185" t="s">
        <v>989</v>
      </c>
      <c r="AI811" s="185"/>
      <c r="AJ811" s="185">
        <v>2036</v>
      </c>
      <c r="AK811" s="185" t="s">
        <v>45</v>
      </c>
      <c r="AL811" s="185" t="s">
        <v>2267</v>
      </c>
      <c r="AM811" s="185" t="s">
        <v>2269</v>
      </c>
      <c r="AN811" s="196"/>
      <c r="AO811" s="196"/>
      <c r="AP811" s="195"/>
      <c r="AQ811" s="194"/>
      <c r="AR811" s="193"/>
      <c r="AS811" s="192"/>
      <c r="AT811" s="192"/>
      <c r="AU811" s="192"/>
      <c r="AV811" s="192"/>
      <c r="AW811" s="191"/>
      <c r="AX811" s="190" t="s">
        <v>72</v>
      </c>
      <c r="AY811" s="184"/>
    </row>
    <row r="812" spans="2:51">
      <c r="B812" s="185">
        <v>2183</v>
      </c>
      <c r="C812" s="189">
        <v>88725</v>
      </c>
      <c r="D812" s="185" t="s">
        <v>989</v>
      </c>
      <c r="E812" s="185" t="s">
        <v>2003</v>
      </c>
      <c r="F812" s="185" t="s">
        <v>1689</v>
      </c>
      <c r="G812" s="185"/>
      <c r="H812" s="185"/>
      <c r="I812" s="188">
        <v>1</v>
      </c>
      <c r="J812" s="185"/>
      <c r="K812" s="188">
        <v>0</v>
      </c>
      <c r="L812" s="185"/>
      <c r="M812" s="185"/>
      <c r="N812" s="185" t="s">
        <v>2198</v>
      </c>
      <c r="O812" s="185" t="s">
        <v>2184</v>
      </c>
      <c r="P812" s="185"/>
      <c r="Q812" s="185"/>
      <c r="R812" s="185"/>
      <c r="S812" s="186">
        <v>40878</v>
      </c>
      <c r="T812" s="186">
        <v>40878</v>
      </c>
      <c r="U812" s="185" t="s">
        <v>1510</v>
      </c>
      <c r="V812" s="185">
        <v>500</v>
      </c>
      <c r="W812" s="185">
        <v>14070</v>
      </c>
      <c r="X812" s="187">
        <v>61493.04</v>
      </c>
      <c r="Y812" s="185">
        <v>14076</v>
      </c>
      <c r="Z812" s="187">
        <v>61493.04</v>
      </c>
      <c r="AA812" s="187">
        <v>0</v>
      </c>
      <c r="AB812" s="187">
        <v>0</v>
      </c>
      <c r="AC812" s="187">
        <v>0</v>
      </c>
      <c r="AD812" s="185">
        <v>51260</v>
      </c>
      <c r="AE812" s="187">
        <v>0</v>
      </c>
      <c r="AF812" s="187">
        <v>0</v>
      </c>
      <c r="AG812" s="187">
        <v>0</v>
      </c>
      <c r="AH812" s="185" t="s">
        <v>989</v>
      </c>
      <c r="AI812" s="185"/>
      <c r="AJ812" s="185"/>
      <c r="AK812" s="185" t="s">
        <v>45</v>
      </c>
      <c r="AL812" s="185" t="s">
        <v>2267</v>
      </c>
      <c r="AM812" s="185" t="s">
        <v>2269</v>
      </c>
      <c r="AN812" s="196"/>
      <c r="AO812" s="196"/>
      <c r="AP812" s="195"/>
      <c r="AQ812" s="194"/>
      <c r="AR812" s="193"/>
      <c r="AS812" s="192"/>
      <c r="AT812" s="192"/>
      <c r="AU812" s="192"/>
      <c r="AV812" s="192"/>
      <c r="AW812" s="191"/>
      <c r="AX812" s="190" t="s">
        <v>72</v>
      </c>
      <c r="AY812" s="184"/>
    </row>
    <row r="813" spans="2:51">
      <c r="B813" s="185">
        <v>2183</v>
      </c>
      <c r="C813" s="189">
        <v>88721</v>
      </c>
      <c r="D813" s="185" t="s">
        <v>989</v>
      </c>
      <c r="E813" s="185" t="s">
        <v>2003</v>
      </c>
      <c r="F813" s="185" t="s">
        <v>1690</v>
      </c>
      <c r="G813" s="185"/>
      <c r="H813" s="185"/>
      <c r="I813" s="188">
        <v>1</v>
      </c>
      <c r="J813" s="185"/>
      <c r="K813" s="188">
        <v>0</v>
      </c>
      <c r="L813" s="185"/>
      <c r="M813" s="185"/>
      <c r="N813" s="185" t="s">
        <v>2198</v>
      </c>
      <c r="O813" s="185" t="s">
        <v>2184</v>
      </c>
      <c r="P813" s="185"/>
      <c r="Q813" s="185"/>
      <c r="R813" s="185"/>
      <c r="S813" s="186">
        <v>40878</v>
      </c>
      <c r="T813" s="186">
        <v>40878</v>
      </c>
      <c r="U813" s="185" t="s">
        <v>1510</v>
      </c>
      <c r="V813" s="185">
        <v>500</v>
      </c>
      <c r="W813" s="185">
        <v>14070</v>
      </c>
      <c r="X813" s="187">
        <v>44376.34</v>
      </c>
      <c r="Y813" s="185">
        <v>14076</v>
      </c>
      <c r="Z813" s="187">
        <v>44376.34</v>
      </c>
      <c r="AA813" s="187">
        <v>0</v>
      </c>
      <c r="AB813" s="187">
        <v>0</v>
      </c>
      <c r="AC813" s="187">
        <v>0</v>
      </c>
      <c r="AD813" s="185">
        <v>51260</v>
      </c>
      <c r="AE813" s="187">
        <v>0</v>
      </c>
      <c r="AF813" s="187">
        <v>0</v>
      </c>
      <c r="AG813" s="187">
        <v>0</v>
      </c>
      <c r="AH813" s="185" t="s">
        <v>989</v>
      </c>
      <c r="AI813" s="185"/>
      <c r="AJ813" s="185"/>
      <c r="AK813" s="185" t="s">
        <v>45</v>
      </c>
      <c r="AL813" s="185" t="s">
        <v>2267</v>
      </c>
      <c r="AM813" s="185" t="s">
        <v>2269</v>
      </c>
      <c r="AN813" s="196"/>
      <c r="AO813" s="196"/>
      <c r="AP813" s="195"/>
      <c r="AQ813" s="194"/>
      <c r="AR813" s="193"/>
      <c r="AS813" s="192"/>
      <c r="AT813" s="192"/>
      <c r="AU813" s="192"/>
      <c r="AV813" s="192"/>
      <c r="AW813" s="191"/>
      <c r="AX813" s="190" t="s">
        <v>72</v>
      </c>
      <c r="AY813" s="184"/>
    </row>
    <row r="814" spans="2:51">
      <c r="B814" s="185">
        <v>2183</v>
      </c>
      <c r="C814" s="189">
        <v>88651</v>
      </c>
      <c r="D814" s="185" t="s">
        <v>989</v>
      </c>
      <c r="E814" s="185" t="s">
        <v>2003</v>
      </c>
      <c r="F814" s="185" t="s">
        <v>1691</v>
      </c>
      <c r="G814" s="185"/>
      <c r="H814" s="185"/>
      <c r="I814" s="188">
        <v>1</v>
      </c>
      <c r="J814" s="185"/>
      <c r="K814" s="188">
        <v>0</v>
      </c>
      <c r="L814" s="185" t="s">
        <v>1638</v>
      </c>
      <c r="M814" s="185"/>
      <c r="N814" s="185" t="s">
        <v>2199</v>
      </c>
      <c r="O814" s="185" t="s">
        <v>2184</v>
      </c>
      <c r="P814" s="185"/>
      <c r="Q814" s="185"/>
      <c r="R814" s="185"/>
      <c r="S814" s="186">
        <v>40878</v>
      </c>
      <c r="T814" s="186">
        <v>40878</v>
      </c>
      <c r="U814" s="185" t="s">
        <v>1692</v>
      </c>
      <c r="V814" s="185">
        <v>300</v>
      </c>
      <c r="W814" s="185">
        <v>14110</v>
      </c>
      <c r="X814" s="187">
        <v>2625</v>
      </c>
      <c r="Y814" s="185">
        <v>14116</v>
      </c>
      <c r="Z814" s="187">
        <v>2625</v>
      </c>
      <c r="AA814" s="187">
        <v>0</v>
      </c>
      <c r="AB814" s="187">
        <v>0</v>
      </c>
      <c r="AC814" s="187">
        <v>0</v>
      </c>
      <c r="AD814" s="185">
        <v>70260</v>
      </c>
      <c r="AE814" s="187">
        <v>0</v>
      </c>
      <c r="AF814" s="187">
        <v>0</v>
      </c>
      <c r="AG814" s="187">
        <v>0</v>
      </c>
      <c r="AH814" s="185" t="s">
        <v>989</v>
      </c>
      <c r="AI814" s="185"/>
      <c r="AJ814" s="185"/>
      <c r="AK814" s="185" t="s">
        <v>45</v>
      </c>
      <c r="AL814" s="185" t="s">
        <v>2267</v>
      </c>
      <c r="AM814" s="185" t="s">
        <v>2269</v>
      </c>
      <c r="AN814" s="196"/>
      <c r="AO814" s="196"/>
      <c r="AP814" s="195"/>
      <c r="AQ814" s="194"/>
      <c r="AR814" s="193"/>
      <c r="AS814" s="192"/>
      <c r="AT814" s="192"/>
      <c r="AU814" s="192"/>
      <c r="AV814" s="192"/>
      <c r="AW814" s="191"/>
      <c r="AX814" s="190" t="s">
        <v>72</v>
      </c>
      <c r="AY814" s="184"/>
    </row>
    <row r="815" spans="2:51">
      <c r="B815" s="185">
        <v>2183</v>
      </c>
      <c r="C815" s="189">
        <v>88606</v>
      </c>
      <c r="D815" s="185" t="s">
        <v>989</v>
      </c>
      <c r="E815" s="185" t="s">
        <v>2003</v>
      </c>
      <c r="F815" s="185" t="s">
        <v>1693</v>
      </c>
      <c r="G815" s="185"/>
      <c r="H815" s="185"/>
      <c r="I815" s="188">
        <v>548</v>
      </c>
      <c r="J815" s="185"/>
      <c r="K815" s="188">
        <v>0</v>
      </c>
      <c r="L815" s="185" t="s">
        <v>1513</v>
      </c>
      <c r="M815" s="185"/>
      <c r="N815" s="185" t="s">
        <v>2190</v>
      </c>
      <c r="O815" s="185" t="s">
        <v>2184</v>
      </c>
      <c r="P815" s="185"/>
      <c r="Q815" s="185"/>
      <c r="R815" s="185"/>
      <c r="S815" s="186">
        <v>40897</v>
      </c>
      <c r="T815" s="186">
        <v>40897</v>
      </c>
      <c r="U815" s="185" t="s">
        <v>1694</v>
      </c>
      <c r="V815" s="185">
        <v>700</v>
      </c>
      <c r="W815" s="185">
        <v>14050</v>
      </c>
      <c r="X815" s="187">
        <v>24666.94</v>
      </c>
      <c r="Y815" s="185">
        <v>14056</v>
      </c>
      <c r="Z815" s="187">
        <v>24666.94</v>
      </c>
      <c r="AA815" s="187">
        <v>0</v>
      </c>
      <c r="AB815" s="187">
        <v>0</v>
      </c>
      <c r="AC815" s="187">
        <v>0</v>
      </c>
      <c r="AD815" s="185">
        <v>54260</v>
      </c>
      <c r="AE815" s="187">
        <v>0</v>
      </c>
      <c r="AF815" s="187">
        <v>0</v>
      </c>
      <c r="AG815" s="187">
        <v>0</v>
      </c>
      <c r="AH815" s="185" t="s">
        <v>989</v>
      </c>
      <c r="AI815" s="185"/>
      <c r="AJ815" s="185"/>
      <c r="AK815" s="185" t="s">
        <v>45</v>
      </c>
      <c r="AL815" s="185" t="s">
        <v>2267</v>
      </c>
      <c r="AM815" s="185" t="s">
        <v>2269</v>
      </c>
      <c r="AN815" s="196"/>
      <c r="AO815" s="196"/>
      <c r="AP815" s="195"/>
      <c r="AQ815" s="194"/>
      <c r="AR815" s="193"/>
      <c r="AS815" s="192"/>
      <c r="AT815" s="192"/>
      <c r="AU815" s="192"/>
      <c r="AV815" s="192"/>
      <c r="AW815" s="191"/>
      <c r="AX815" s="190" t="s">
        <v>72</v>
      </c>
      <c r="AY815" s="184"/>
    </row>
    <row r="816" spans="2:51">
      <c r="B816" s="185">
        <v>2183</v>
      </c>
      <c r="C816" s="189">
        <v>88135</v>
      </c>
      <c r="D816" s="185" t="s">
        <v>989</v>
      </c>
      <c r="E816" s="185" t="s">
        <v>2003</v>
      </c>
      <c r="F816" s="185" t="s">
        <v>1695</v>
      </c>
      <c r="G816" s="185"/>
      <c r="H816" s="185"/>
      <c r="I816" s="188">
        <v>1080</v>
      </c>
      <c r="J816" s="185"/>
      <c r="K816" s="188">
        <v>0</v>
      </c>
      <c r="L816" s="185" t="s">
        <v>1513</v>
      </c>
      <c r="M816" s="185"/>
      <c r="N816" s="185" t="s">
        <v>2190</v>
      </c>
      <c r="O816" s="185" t="s">
        <v>2184</v>
      </c>
      <c r="P816" s="185"/>
      <c r="Q816" s="185"/>
      <c r="R816" s="185"/>
      <c r="S816" s="186">
        <v>40847</v>
      </c>
      <c r="T816" s="186">
        <v>40847</v>
      </c>
      <c r="U816" s="185" t="s">
        <v>1696</v>
      </c>
      <c r="V816" s="185">
        <v>700</v>
      </c>
      <c r="W816" s="185">
        <v>14050</v>
      </c>
      <c r="X816" s="187">
        <v>38752.42</v>
      </c>
      <c r="Y816" s="185">
        <v>14056</v>
      </c>
      <c r="Z816" s="187">
        <v>38752.42</v>
      </c>
      <c r="AA816" s="187">
        <v>0</v>
      </c>
      <c r="AB816" s="187">
        <v>0</v>
      </c>
      <c r="AC816" s="187">
        <v>0</v>
      </c>
      <c r="AD816" s="185">
        <v>54260</v>
      </c>
      <c r="AE816" s="187">
        <v>0</v>
      </c>
      <c r="AF816" s="187">
        <v>0</v>
      </c>
      <c r="AG816" s="187">
        <v>0</v>
      </c>
      <c r="AH816" s="185" t="s">
        <v>989</v>
      </c>
      <c r="AI816" s="185"/>
      <c r="AJ816" s="185"/>
      <c r="AK816" s="185" t="s">
        <v>45</v>
      </c>
      <c r="AL816" s="185" t="s">
        <v>2267</v>
      </c>
      <c r="AM816" s="185" t="s">
        <v>2269</v>
      </c>
      <c r="AN816" s="196"/>
      <c r="AO816" s="196"/>
      <c r="AP816" s="195"/>
      <c r="AQ816" s="194"/>
      <c r="AR816" s="193"/>
      <c r="AS816" s="192"/>
      <c r="AT816" s="192"/>
      <c r="AU816" s="192"/>
      <c r="AV816" s="192"/>
      <c r="AW816" s="191"/>
      <c r="AX816" s="190" t="s">
        <v>72</v>
      </c>
      <c r="AY816" s="184"/>
    </row>
    <row r="817" spans="2:51">
      <c r="B817" s="185">
        <v>2183</v>
      </c>
      <c r="C817" s="189">
        <v>88134</v>
      </c>
      <c r="D817" s="185" t="s">
        <v>989</v>
      </c>
      <c r="E817" s="185" t="s">
        <v>2003</v>
      </c>
      <c r="F817" s="185" t="s">
        <v>1512</v>
      </c>
      <c r="G817" s="185"/>
      <c r="H817" s="185"/>
      <c r="I817" s="188">
        <v>486</v>
      </c>
      <c r="J817" s="185" t="s">
        <v>1697</v>
      </c>
      <c r="K817" s="188">
        <v>0</v>
      </c>
      <c r="L817" s="185" t="s">
        <v>1513</v>
      </c>
      <c r="M817" s="185"/>
      <c r="N817" s="185" t="s">
        <v>2190</v>
      </c>
      <c r="O817" s="185" t="s">
        <v>2184</v>
      </c>
      <c r="P817" s="185"/>
      <c r="Q817" s="185"/>
      <c r="R817" s="185"/>
      <c r="S817" s="186">
        <v>40845</v>
      </c>
      <c r="T817" s="186">
        <v>40845</v>
      </c>
      <c r="U817" s="185" t="s">
        <v>1696</v>
      </c>
      <c r="V817" s="185">
        <v>700</v>
      </c>
      <c r="W817" s="185">
        <v>14050</v>
      </c>
      <c r="X817" s="187">
        <v>26699.38</v>
      </c>
      <c r="Y817" s="185">
        <v>14056</v>
      </c>
      <c r="Z817" s="187">
        <v>26699.38</v>
      </c>
      <c r="AA817" s="187">
        <v>0</v>
      </c>
      <c r="AB817" s="187">
        <v>0</v>
      </c>
      <c r="AC817" s="187">
        <v>0</v>
      </c>
      <c r="AD817" s="185">
        <v>54260</v>
      </c>
      <c r="AE817" s="187">
        <v>0</v>
      </c>
      <c r="AF817" s="187">
        <v>0</v>
      </c>
      <c r="AG817" s="187">
        <v>0</v>
      </c>
      <c r="AH817" s="185" t="s">
        <v>989</v>
      </c>
      <c r="AI817" s="185"/>
      <c r="AJ817" s="185"/>
      <c r="AK817" s="185" t="s">
        <v>45</v>
      </c>
      <c r="AL817" s="185" t="s">
        <v>2267</v>
      </c>
      <c r="AM817" s="185" t="s">
        <v>2269</v>
      </c>
      <c r="AN817" s="196"/>
      <c r="AO817" s="196"/>
      <c r="AP817" s="195"/>
      <c r="AQ817" s="194"/>
      <c r="AR817" s="193"/>
      <c r="AS817" s="192"/>
      <c r="AT817" s="192"/>
      <c r="AU817" s="192"/>
      <c r="AV817" s="192"/>
      <c r="AW817" s="191"/>
      <c r="AX817" s="190" t="s">
        <v>72</v>
      </c>
      <c r="AY817" s="184"/>
    </row>
    <row r="818" spans="2:51">
      <c r="B818" s="185">
        <v>2183</v>
      </c>
      <c r="C818" s="189">
        <v>87756</v>
      </c>
      <c r="D818" s="185" t="s">
        <v>989</v>
      </c>
      <c r="E818" s="185" t="s">
        <v>2003</v>
      </c>
      <c r="F818" s="185" t="s">
        <v>1698</v>
      </c>
      <c r="G818" s="185"/>
      <c r="H818" s="185"/>
      <c r="I818" s="188">
        <v>1</v>
      </c>
      <c r="J818" s="185" t="s">
        <v>1699</v>
      </c>
      <c r="K818" s="188">
        <v>2012</v>
      </c>
      <c r="L818" s="185" t="s">
        <v>1634</v>
      </c>
      <c r="M818" s="185" t="s">
        <v>1408</v>
      </c>
      <c r="N818" s="185" t="s">
        <v>2183</v>
      </c>
      <c r="O818" s="185" t="s">
        <v>2184</v>
      </c>
      <c r="P818" s="185" t="s">
        <v>2187</v>
      </c>
      <c r="Q818" s="185"/>
      <c r="R818" s="185"/>
      <c r="S818" s="186">
        <v>40848</v>
      </c>
      <c r="T818" s="186">
        <v>40848</v>
      </c>
      <c r="U818" s="185" t="s">
        <v>1700</v>
      </c>
      <c r="V818" s="185">
        <v>1000</v>
      </c>
      <c r="W818" s="185">
        <v>14040</v>
      </c>
      <c r="X818" s="187">
        <v>289049.83</v>
      </c>
      <c r="Y818" s="185">
        <v>14046</v>
      </c>
      <c r="Z818" s="187">
        <v>289049.83</v>
      </c>
      <c r="AA818" s="187">
        <v>0</v>
      </c>
      <c r="AB818" s="187">
        <v>0</v>
      </c>
      <c r="AC818" s="187">
        <v>0</v>
      </c>
      <c r="AD818" s="185">
        <v>51260</v>
      </c>
      <c r="AE818" s="187">
        <v>0</v>
      </c>
      <c r="AF818" s="187">
        <v>0</v>
      </c>
      <c r="AG818" s="187">
        <v>0</v>
      </c>
      <c r="AH818" s="185" t="s">
        <v>989</v>
      </c>
      <c r="AI818" s="185"/>
      <c r="AJ818" s="185">
        <v>3629</v>
      </c>
      <c r="AK818" s="185" t="s">
        <v>45</v>
      </c>
      <c r="AL818" s="185" t="s">
        <v>2267</v>
      </c>
      <c r="AM818" s="185" t="s">
        <v>2269</v>
      </c>
      <c r="AN818" s="196"/>
      <c r="AO818" s="196"/>
      <c r="AP818" s="195"/>
      <c r="AQ818" s="194"/>
      <c r="AR818" s="193"/>
      <c r="AS818" s="192"/>
      <c r="AT818" s="192"/>
      <c r="AU818" s="192"/>
      <c r="AV818" s="192"/>
      <c r="AW818" s="191"/>
      <c r="AX818" s="190" t="s">
        <v>72</v>
      </c>
      <c r="AY818" s="184"/>
    </row>
    <row r="819" spans="2:51">
      <c r="B819" s="185">
        <v>2183</v>
      </c>
      <c r="C819" s="189">
        <v>86471</v>
      </c>
      <c r="D819" s="185" t="s">
        <v>989</v>
      </c>
      <c r="E819" s="185" t="s">
        <v>2003</v>
      </c>
      <c r="F819" s="185" t="s">
        <v>1512</v>
      </c>
      <c r="G819" s="185"/>
      <c r="H819" s="185"/>
      <c r="I819" s="188">
        <v>486</v>
      </c>
      <c r="J819" s="185"/>
      <c r="K819" s="188">
        <v>0</v>
      </c>
      <c r="L819" s="185" t="s">
        <v>1513</v>
      </c>
      <c r="M819" s="185"/>
      <c r="N819" s="185" t="s">
        <v>2190</v>
      </c>
      <c r="O819" s="185" t="s">
        <v>2184</v>
      </c>
      <c r="P819" s="185"/>
      <c r="Q819" s="185"/>
      <c r="R819" s="185"/>
      <c r="S819" s="186">
        <v>40810</v>
      </c>
      <c r="T819" s="186">
        <v>40810</v>
      </c>
      <c r="U819" s="185" t="s">
        <v>1701</v>
      </c>
      <c r="V819" s="185">
        <v>700</v>
      </c>
      <c r="W819" s="185">
        <v>14050</v>
      </c>
      <c r="X819" s="187">
        <v>26699.38</v>
      </c>
      <c r="Y819" s="185">
        <v>14056</v>
      </c>
      <c r="Z819" s="187">
        <v>26699.38</v>
      </c>
      <c r="AA819" s="187">
        <v>0</v>
      </c>
      <c r="AB819" s="187">
        <v>0</v>
      </c>
      <c r="AC819" s="187">
        <v>0</v>
      </c>
      <c r="AD819" s="185">
        <v>54260</v>
      </c>
      <c r="AE819" s="187">
        <v>0</v>
      </c>
      <c r="AF819" s="187">
        <v>0</v>
      </c>
      <c r="AG819" s="187">
        <v>0</v>
      </c>
      <c r="AH819" s="185" t="s">
        <v>989</v>
      </c>
      <c r="AI819" s="185"/>
      <c r="AJ819" s="185"/>
      <c r="AK819" s="185" t="s">
        <v>45</v>
      </c>
      <c r="AL819" s="185" t="s">
        <v>2267</v>
      </c>
      <c r="AM819" s="185" t="s">
        <v>2269</v>
      </c>
      <c r="AN819" s="196"/>
      <c r="AO819" s="196"/>
      <c r="AP819" s="195"/>
      <c r="AQ819" s="194"/>
      <c r="AR819" s="193"/>
      <c r="AS819" s="192"/>
      <c r="AT819" s="192"/>
      <c r="AU819" s="192"/>
      <c r="AV819" s="192"/>
      <c r="AW819" s="191"/>
      <c r="AX819" s="190" t="s">
        <v>72</v>
      </c>
      <c r="AY819" s="184"/>
    </row>
    <row r="820" spans="2:51">
      <c r="B820" s="185">
        <v>2183</v>
      </c>
      <c r="C820" s="189">
        <v>85936</v>
      </c>
      <c r="D820" s="185" t="s">
        <v>989</v>
      </c>
      <c r="E820" s="185" t="s">
        <v>2003</v>
      </c>
      <c r="F820" s="185" t="s">
        <v>1523</v>
      </c>
      <c r="G820" s="185"/>
      <c r="H820" s="185"/>
      <c r="I820" s="188">
        <v>68</v>
      </c>
      <c r="J820" s="185"/>
      <c r="K820" s="188">
        <v>0</v>
      </c>
      <c r="L820" s="185"/>
      <c r="M820" s="185"/>
      <c r="N820" s="185" t="s">
        <v>2190</v>
      </c>
      <c r="O820" s="185" t="s">
        <v>2184</v>
      </c>
      <c r="P820" s="185"/>
      <c r="Q820" s="185" t="s">
        <v>2193</v>
      </c>
      <c r="R820" s="185" t="s">
        <v>2192</v>
      </c>
      <c r="S820" s="186">
        <v>39755</v>
      </c>
      <c r="T820" s="186">
        <v>39755</v>
      </c>
      <c r="U820" s="185"/>
      <c r="V820" s="185">
        <v>700</v>
      </c>
      <c r="W820" s="185">
        <v>14050</v>
      </c>
      <c r="X820" s="187">
        <v>146200</v>
      </c>
      <c r="Y820" s="185">
        <v>14056</v>
      </c>
      <c r="Z820" s="187">
        <v>146200</v>
      </c>
      <c r="AA820" s="187">
        <v>0</v>
      </c>
      <c r="AB820" s="187">
        <v>0</v>
      </c>
      <c r="AC820" s="187">
        <v>0</v>
      </c>
      <c r="AD820" s="185">
        <v>54260</v>
      </c>
      <c r="AE820" s="187">
        <v>0</v>
      </c>
      <c r="AF820" s="187">
        <v>0</v>
      </c>
      <c r="AG820" s="187">
        <v>0</v>
      </c>
      <c r="AH820" s="185" t="s">
        <v>994</v>
      </c>
      <c r="AI820" s="185" t="s">
        <v>1050</v>
      </c>
      <c r="AJ820" s="185" t="s">
        <v>1296</v>
      </c>
      <c r="AK820" s="185" t="s">
        <v>45</v>
      </c>
      <c r="AL820" s="185" t="s">
        <v>2267</v>
      </c>
      <c r="AM820" s="185" t="s">
        <v>2269</v>
      </c>
      <c r="AN820" s="196"/>
      <c r="AO820" s="196"/>
      <c r="AP820" s="195"/>
      <c r="AQ820" s="194"/>
      <c r="AR820" s="193"/>
      <c r="AS820" s="192"/>
      <c r="AT820" s="192"/>
      <c r="AU820" s="192"/>
      <c r="AV820" s="192"/>
      <c r="AW820" s="191"/>
      <c r="AX820" s="190" t="s">
        <v>72</v>
      </c>
      <c r="AY820" s="184"/>
    </row>
    <row r="821" spans="2:51">
      <c r="B821" s="185">
        <v>2183</v>
      </c>
      <c r="C821" s="189">
        <v>85655</v>
      </c>
      <c r="D821" s="185" t="s">
        <v>989</v>
      </c>
      <c r="E821" s="185" t="s">
        <v>2003</v>
      </c>
      <c r="F821" s="185" t="s">
        <v>1702</v>
      </c>
      <c r="G821" s="185"/>
      <c r="H821" s="185"/>
      <c r="I821" s="188">
        <v>1</v>
      </c>
      <c r="J821" s="185"/>
      <c r="K821" s="188">
        <v>0</v>
      </c>
      <c r="L821" s="185" t="s">
        <v>1703</v>
      </c>
      <c r="M821" s="185"/>
      <c r="N821" s="185" t="s">
        <v>2199</v>
      </c>
      <c r="O821" s="185" t="s">
        <v>2184</v>
      </c>
      <c r="P821" s="185"/>
      <c r="Q821" s="185"/>
      <c r="R821" s="185"/>
      <c r="S821" s="186">
        <v>40756</v>
      </c>
      <c r="T821" s="186">
        <v>40756</v>
      </c>
      <c r="U821" s="185" t="s">
        <v>1704</v>
      </c>
      <c r="V821" s="185">
        <v>300</v>
      </c>
      <c r="W821" s="185">
        <v>14110</v>
      </c>
      <c r="X821" s="187">
        <v>1750</v>
      </c>
      <c r="Y821" s="185">
        <v>14116</v>
      </c>
      <c r="Z821" s="187">
        <v>1750</v>
      </c>
      <c r="AA821" s="187">
        <v>0</v>
      </c>
      <c r="AB821" s="187">
        <v>0</v>
      </c>
      <c r="AC821" s="187">
        <v>0</v>
      </c>
      <c r="AD821" s="185">
        <v>70260</v>
      </c>
      <c r="AE821" s="187">
        <v>0</v>
      </c>
      <c r="AF821" s="187">
        <v>0</v>
      </c>
      <c r="AG821" s="187">
        <v>0</v>
      </c>
      <c r="AH821" s="185" t="s">
        <v>989</v>
      </c>
      <c r="AI821" s="185"/>
      <c r="AJ821" s="185"/>
      <c r="AK821" s="185" t="s">
        <v>45</v>
      </c>
      <c r="AL821" s="185" t="s">
        <v>2267</v>
      </c>
      <c r="AM821" s="185" t="s">
        <v>2269</v>
      </c>
      <c r="AN821" s="196"/>
      <c r="AO821" s="196"/>
      <c r="AP821" s="195"/>
      <c r="AQ821" s="194"/>
      <c r="AR821" s="193"/>
      <c r="AS821" s="192"/>
      <c r="AT821" s="192"/>
      <c r="AU821" s="192"/>
      <c r="AV821" s="192"/>
      <c r="AW821" s="191"/>
      <c r="AX821" s="190" t="s">
        <v>72</v>
      </c>
      <c r="AY821" s="184"/>
    </row>
    <row r="822" spans="2:51">
      <c r="B822" s="185">
        <v>2183</v>
      </c>
      <c r="C822" s="189">
        <v>85605</v>
      </c>
      <c r="D822" s="185" t="s">
        <v>989</v>
      </c>
      <c r="E822" s="185" t="s">
        <v>2003</v>
      </c>
      <c r="F822" s="185" t="s">
        <v>1512</v>
      </c>
      <c r="G822" s="185"/>
      <c r="H822" s="185"/>
      <c r="I822" s="188">
        <v>100</v>
      </c>
      <c r="J822" s="185"/>
      <c r="K822" s="188">
        <v>0</v>
      </c>
      <c r="L822" s="185" t="s">
        <v>1513</v>
      </c>
      <c r="M822" s="185"/>
      <c r="N822" s="185" t="s">
        <v>2190</v>
      </c>
      <c r="O822" s="185" t="s">
        <v>2184</v>
      </c>
      <c r="P822" s="185"/>
      <c r="Q822" s="185"/>
      <c r="R822" s="185"/>
      <c r="S822" s="186">
        <v>40750</v>
      </c>
      <c r="T822" s="186">
        <v>40750</v>
      </c>
      <c r="U822" s="185" t="s">
        <v>1705</v>
      </c>
      <c r="V822" s="185">
        <v>700</v>
      </c>
      <c r="W822" s="185">
        <v>14050</v>
      </c>
      <c r="X822" s="187">
        <v>5500.23</v>
      </c>
      <c r="Y822" s="185">
        <v>14056</v>
      </c>
      <c r="Z822" s="187">
        <v>5500.23</v>
      </c>
      <c r="AA822" s="187">
        <v>0</v>
      </c>
      <c r="AB822" s="187">
        <v>0</v>
      </c>
      <c r="AC822" s="187">
        <v>0</v>
      </c>
      <c r="AD822" s="185">
        <v>54260</v>
      </c>
      <c r="AE822" s="187">
        <v>0</v>
      </c>
      <c r="AF822" s="187">
        <v>0</v>
      </c>
      <c r="AG822" s="187">
        <v>0</v>
      </c>
      <c r="AH822" s="185" t="s">
        <v>989</v>
      </c>
      <c r="AI822" s="185"/>
      <c r="AJ822" s="185"/>
      <c r="AK822" s="185" t="s">
        <v>45</v>
      </c>
      <c r="AL822" s="185" t="s">
        <v>2267</v>
      </c>
      <c r="AM822" s="185" t="s">
        <v>2269</v>
      </c>
      <c r="AN822" s="196"/>
      <c r="AO822" s="196"/>
      <c r="AP822" s="195"/>
      <c r="AQ822" s="194"/>
      <c r="AR822" s="193"/>
      <c r="AS822" s="192"/>
      <c r="AT822" s="192"/>
      <c r="AU822" s="192"/>
      <c r="AV822" s="192"/>
      <c r="AW822" s="191"/>
      <c r="AX822" s="190" t="s">
        <v>72</v>
      </c>
      <c r="AY822" s="184"/>
    </row>
    <row r="823" spans="2:51">
      <c r="B823" s="185">
        <v>2183</v>
      </c>
      <c r="C823" s="189">
        <v>85604</v>
      </c>
      <c r="D823" s="185" t="s">
        <v>989</v>
      </c>
      <c r="E823" s="185" t="s">
        <v>2003</v>
      </c>
      <c r="F823" s="185" t="s">
        <v>1516</v>
      </c>
      <c r="G823" s="185"/>
      <c r="H823" s="185"/>
      <c r="I823" s="188">
        <v>131</v>
      </c>
      <c r="J823" s="185"/>
      <c r="K823" s="188">
        <v>0</v>
      </c>
      <c r="L823" s="185" t="s">
        <v>1513</v>
      </c>
      <c r="M823" s="185"/>
      <c r="N823" s="185" t="s">
        <v>2190</v>
      </c>
      <c r="O823" s="185" t="s">
        <v>2184</v>
      </c>
      <c r="P823" s="185"/>
      <c r="Q823" s="185"/>
      <c r="R823" s="185"/>
      <c r="S823" s="186">
        <v>40750</v>
      </c>
      <c r="T823" s="186">
        <v>40750</v>
      </c>
      <c r="U823" s="185" t="s">
        <v>1705</v>
      </c>
      <c r="V823" s="185">
        <v>700</v>
      </c>
      <c r="W823" s="185">
        <v>14050</v>
      </c>
      <c r="X823" s="187">
        <v>6373.68</v>
      </c>
      <c r="Y823" s="185">
        <v>14056</v>
      </c>
      <c r="Z823" s="187">
        <v>6373.68</v>
      </c>
      <c r="AA823" s="187">
        <v>0</v>
      </c>
      <c r="AB823" s="187">
        <v>0</v>
      </c>
      <c r="AC823" s="187">
        <v>0</v>
      </c>
      <c r="AD823" s="185">
        <v>54260</v>
      </c>
      <c r="AE823" s="187">
        <v>0</v>
      </c>
      <c r="AF823" s="187">
        <v>0</v>
      </c>
      <c r="AG823" s="187">
        <v>0</v>
      </c>
      <c r="AH823" s="185" t="s">
        <v>989</v>
      </c>
      <c r="AI823" s="185"/>
      <c r="AJ823" s="185"/>
      <c r="AK823" s="185" t="s">
        <v>45</v>
      </c>
      <c r="AL823" s="185" t="s">
        <v>2267</v>
      </c>
      <c r="AM823" s="185" t="s">
        <v>2269</v>
      </c>
      <c r="AN823" s="196"/>
      <c r="AO823" s="196"/>
      <c r="AP823" s="195"/>
      <c r="AQ823" s="194"/>
      <c r="AR823" s="193"/>
      <c r="AS823" s="192"/>
      <c r="AT823" s="192"/>
      <c r="AU823" s="192"/>
      <c r="AV823" s="192"/>
      <c r="AW823" s="191"/>
      <c r="AX823" s="190" t="s">
        <v>72</v>
      </c>
      <c r="AY823" s="184"/>
    </row>
    <row r="824" spans="2:51">
      <c r="B824" s="185">
        <v>2183</v>
      </c>
      <c r="C824" s="189">
        <v>85602</v>
      </c>
      <c r="D824" s="185" t="s">
        <v>989</v>
      </c>
      <c r="E824" s="185" t="s">
        <v>2003</v>
      </c>
      <c r="F824" s="185" t="s">
        <v>1515</v>
      </c>
      <c r="G824" s="185"/>
      <c r="H824" s="185"/>
      <c r="I824" s="188">
        <v>174</v>
      </c>
      <c r="J824" s="185"/>
      <c r="K824" s="188">
        <v>0</v>
      </c>
      <c r="L824" s="185" t="s">
        <v>1513</v>
      </c>
      <c r="M824" s="185"/>
      <c r="N824" s="185" t="s">
        <v>2190</v>
      </c>
      <c r="O824" s="185" t="s">
        <v>2184</v>
      </c>
      <c r="P824" s="185"/>
      <c r="Q824" s="185"/>
      <c r="R824" s="185"/>
      <c r="S824" s="186">
        <v>40725</v>
      </c>
      <c r="T824" s="186">
        <v>40725</v>
      </c>
      <c r="U824" s="185" t="s">
        <v>1705</v>
      </c>
      <c r="V824" s="185">
        <v>700</v>
      </c>
      <c r="W824" s="185">
        <v>14050</v>
      </c>
      <c r="X824" s="187">
        <v>9570.39</v>
      </c>
      <c r="Y824" s="185">
        <v>14056</v>
      </c>
      <c r="Z824" s="187">
        <v>9570.39</v>
      </c>
      <c r="AA824" s="187">
        <v>0</v>
      </c>
      <c r="AB824" s="187">
        <v>0</v>
      </c>
      <c r="AC824" s="187">
        <v>0</v>
      </c>
      <c r="AD824" s="185">
        <v>54260</v>
      </c>
      <c r="AE824" s="187">
        <v>0</v>
      </c>
      <c r="AF824" s="187">
        <v>0</v>
      </c>
      <c r="AG824" s="187">
        <v>0</v>
      </c>
      <c r="AH824" s="185" t="s">
        <v>989</v>
      </c>
      <c r="AI824" s="185"/>
      <c r="AJ824" s="185"/>
      <c r="AK824" s="185" t="s">
        <v>45</v>
      </c>
      <c r="AL824" s="185" t="s">
        <v>2267</v>
      </c>
      <c r="AM824" s="185" t="s">
        <v>2269</v>
      </c>
      <c r="AN824" s="196"/>
      <c r="AO824" s="196"/>
      <c r="AP824" s="195"/>
      <c r="AQ824" s="194"/>
      <c r="AR824" s="193"/>
      <c r="AS824" s="192"/>
      <c r="AT824" s="192"/>
      <c r="AU824" s="192"/>
      <c r="AV824" s="192"/>
      <c r="AW824" s="191"/>
      <c r="AX824" s="190" t="s">
        <v>72</v>
      </c>
      <c r="AY824" s="184"/>
    </row>
    <row r="825" spans="2:51">
      <c r="B825" s="185">
        <v>2183</v>
      </c>
      <c r="C825" s="189">
        <v>81015</v>
      </c>
      <c r="D825" s="185" t="s">
        <v>989</v>
      </c>
      <c r="E825" s="185" t="s">
        <v>2003</v>
      </c>
      <c r="F825" s="185" t="s">
        <v>1706</v>
      </c>
      <c r="G825" s="185"/>
      <c r="H825" s="185"/>
      <c r="I825" s="188">
        <v>1080</v>
      </c>
      <c r="J825" s="185" t="s">
        <v>1707</v>
      </c>
      <c r="K825" s="188">
        <v>0</v>
      </c>
      <c r="L825" s="185" t="s">
        <v>1513</v>
      </c>
      <c r="M825" s="185"/>
      <c r="N825" s="185" t="s">
        <v>2190</v>
      </c>
      <c r="O825" s="185" t="s">
        <v>2184</v>
      </c>
      <c r="P825" s="185"/>
      <c r="Q825" s="185"/>
      <c r="R825" s="185"/>
      <c r="S825" s="186">
        <v>40638</v>
      </c>
      <c r="T825" s="186">
        <v>40638</v>
      </c>
      <c r="U825" s="185" t="s">
        <v>1708</v>
      </c>
      <c r="V825" s="185">
        <v>700</v>
      </c>
      <c r="W825" s="185">
        <v>14050</v>
      </c>
      <c r="X825" s="187">
        <v>36815.379999999997</v>
      </c>
      <c r="Y825" s="185">
        <v>14056</v>
      </c>
      <c r="Z825" s="187">
        <v>36815.379999999997</v>
      </c>
      <c r="AA825" s="187">
        <v>0</v>
      </c>
      <c r="AB825" s="187">
        <v>0</v>
      </c>
      <c r="AC825" s="187">
        <v>0</v>
      </c>
      <c r="AD825" s="185">
        <v>54260</v>
      </c>
      <c r="AE825" s="187">
        <v>0</v>
      </c>
      <c r="AF825" s="187">
        <v>0</v>
      </c>
      <c r="AG825" s="187">
        <v>0</v>
      </c>
      <c r="AH825" s="185" t="s">
        <v>989</v>
      </c>
      <c r="AI825" s="185"/>
      <c r="AJ825" s="185"/>
      <c r="AK825" s="185" t="s">
        <v>45</v>
      </c>
      <c r="AL825" s="185" t="s">
        <v>2267</v>
      </c>
      <c r="AM825" s="185" t="s">
        <v>2269</v>
      </c>
      <c r="AN825" s="196"/>
      <c r="AO825" s="196"/>
      <c r="AP825" s="195"/>
      <c r="AQ825" s="194"/>
      <c r="AR825" s="193"/>
      <c r="AS825" s="192"/>
      <c r="AT825" s="192"/>
      <c r="AU825" s="192"/>
      <c r="AV825" s="192"/>
      <c r="AW825" s="191"/>
      <c r="AX825" s="190" t="s">
        <v>72</v>
      </c>
      <c r="AY825" s="184"/>
    </row>
    <row r="826" spans="2:51">
      <c r="B826" s="185">
        <v>2183</v>
      </c>
      <c r="C826" s="189">
        <v>81014</v>
      </c>
      <c r="D826" s="185" t="s">
        <v>989</v>
      </c>
      <c r="E826" s="185" t="s">
        <v>2003</v>
      </c>
      <c r="F826" s="185" t="s">
        <v>1709</v>
      </c>
      <c r="G826" s="185"/>
      <c r="H826" s="185"/>
      <c r="I826" s="188">
        <v>243</v>
      </c>
      <c r="J826" s="185" t="s">
        <v>1710</v>
      </c>
      <c r="K826" s="188">
        <v>0</v>
      </c>
      <c r="L826" s="185" t="s">
        <v>1513</v>
      </c>
      <c r="M826" s="185"/>
      <c r="N826" s="185" t="s">
        <v>2190</v>
      </c>
      <c r="O826" s="185" t="s">
        <v>2184</v>
      </c>
      <c r="P826" s="185"/>
      <c r="Q826" s="185"/>
      <c r="R826" s="185"/>
      <c r="S826" s="186">
        <v>40638</v>
      </c>
      <c r="T826" s="186">
        <v>40638</v>
      </c>
      <c r="U826" s="185" t="s">
        <v>1708</v>
      </c>
      <c r="V826" s="185">
        <v>700</v>
      </c>
      <c r="W826" s="185">
        <v>14050</v>
      </c>
      <c r="X826" s="187">
        <v>12929.7</v>
      </c>
      <c r="Y826" s="185">
        <v>14056</v>
      </c>
      <c r="Z826" s="187">
        <v>12929.7</v>
      </c>
      <c r="AA826" s="187">
        <v>0</v>
      </c>
      <c r="AB826" s="187">
        <v>0</v>
      </c>
      <c r="AC826" s="187">
        <v>0</v>
      </c>
      <c r="AD826" s="185">
        <v>54260</v>
      </c>
      <c r="AE826" s="187">
        <v>0</v>
      </c>
      <c r="AF826" s="187">
        <v>0</v>
      </c>
      <c r="AG826" s="187">
        <v>0</v>
      </c>
      <c r="AH826" s="185" t="s">
        <v>989</v>
      </c>
      <c r="AI826" s="185"/>
      <c r="AJ826" s="185"/>
      <c r="AK826" s="185" t="s">
        <v>45</v>
      </c>
      <c r="AL826" s="185" t="s">
        <v>2267</v>
      </c>
      <c r="AM826" s="185" t="s">
        <v>2269</v>
      </c>
      <c r="AN826" s="196"/>
      <c r="AO826" s="196"/>
      <c r="AP826" s="195"/>
      <c r="AQ826" s="194"/>
      <c r="AR826" s="193"/>
      <c r="AS826" s="192"/>
      <c r="AT826" s="192"/>
      <c r="AU826" s="192"/>
      <c r="AV826" s="192"/>
      <c r="AW826" s="191"/>
      <c r="AX826" s="190" t="s">
        <v>72</v>
      </c>
      <c r="AY826" s="184"/>
    </row>
    <row r="827" spans="2:51">
      <c r="B827" s="185">
        <v>2183</v>
      </c>
      <c r="C827" s="189">
        <v>81012</v>
      </c>
      <c r="D827" s="185" t="s">
        <v>989</v>
      </c>
      <c r="E827" s="185" t="s">
        <v>2003</v>
      </c>
      <c r="F827" s="185" t="s">
        <v>1711</v>
      </c>
      <c r="G827" s="185"/>
      <c r="H827" s="185"/>
      <c r="I827" s="188">
        <v>386</v>
      </c>
      <c r="J827" s="185" t="s">
        <v>1712</v>
      </c>
      <c r="K827" s="188">
        <v>0</v>
      </c>
      <c r="L827" s="185" t="s">
        <v>1513</v>
      </c>
      <c r="M827" s="185"/>
      <c r="N827" s="185" t="s">
        <v>2190</v>
      </c>
      <c r="O827" s="185" t="s">
        <v>2184</v>
      </c>
      <c r="P827" s="185"/>
      <c r="Q827" s="185"/>
      <c r="R827" s="185"/>
      <c r="S827" s="186">
        <v>40638</v>
      </c>
      <c r="T827" s="186">
        <v>40638</v>
      </c>
      <c r="U827" s="185" t="s">
        <v>1708</v>
      </c>
      <c r="V827" s="185">
        <v>700</v>
      </c>
      <c r="W827" s="185">
        <v>14050</v>
      </c>
      <c r="X827" s="187">
        <v>20538.54</v>
      </c>
      <c r="Y827" s="185">
        <v>14056</v>
      </c>
      <c r="Z827" s="187">
        <v>20538.54</v>
      </c>
      <c r="AA827" s="187">
        <v>0</v>
      </c>
      <c r="AB827" s="187">
        <v>0</v>
      </c>
      <c r="AC827" s="187">
        <v>0</v>
      </c>
      <c r="AD827" s="185">
        <v>54260</v>
      </c>
      <c r="AE827" s="187">
        <v>0</v>
      </c>
      <c r="AF827" s="187">
        <v>0</v>
      </c>
      <c r="AG827" s="187">
        <v>0</v>
      </c>
      <c r="AH827" s="185" t="s">
        <v>989</v>
      </c>
      <c r="AI827" s="185"/>
      <c r="AJ827" s="185"/>
      <c r="AK827" s="185" t="s">
        <v>45</v>
      </c>
      <c r="AL827" s="185" t="s">
        <v>2267</v>
      </c>
      <c r="AM827" s="185" t="s">
        <v>2269</v>
      </c>
      <c r="AN827" s="196"/>
      <c r="AO827" s="196"/>
      <c r="AP827" s="195"/>
      <c r="AQ827" s="194"/>
      <c r="AR827" s="193"/>
      <c r="AS827" s="192"/>
      <c r="AT827" s="192"/>
      <c r="AU827" s="192"/>
      <c r="AV827" s="192"/>
      <c r="AW827" s="191"/>
      <c r="AX827" s="190" t="s">
        <v>72</v>
      </c>
      <c r="AY827" s="184"/>
    </row>
    <row r="828" spans="2:51">
      <c r="B828" s="185">
        <v>2183</v>
      </c>
      <c r="C828" s="189">
        <v>80385</v>
      </c>
      <c r="D828" s="185" t="s">
        <v>989</v>
      </c>
      <c r="E828" s="185" t="s">
        <v>2003</v>
      </c>
      <c r="F828" s="185" t="s">
        <v>1713</v>
      </c>
      <c r="G828" s="185"/>
      <c r="H828" s="185"/>
      <c r="I828" s="188">
        <v>1</v>
      </c>
      <c r="J828" s="185"/>
      <c r="K828" s="188">
        <v>0</v>
      </c>
      <c r="L828" s="185" t="s">
        <v>1703</v>
      </c>
      <c r="M828" s="185"/>
      <c r="N828" s="185" t="s">
        <v>2199</v>
      </c>
      <c r="O828" s="185" t="s">
        <v>2184</v>
      </c>
      <c r="P828" s="185"/>
      <c r="Q828" s="185"/>
      <c r="R828" s="185"/>
      <c r="S828" s="186">
        <v>40609</v>
      </c>
      <c r="T828" s="186">
        <v>40609</v>
      </c>
      <c r="U828" s="185" t="s">
        <v>1714</v>
      </c>
      <c r="V828" s="185">
        <v>300</v>
      </c>
      <c r="W828" s="185">
        <v>14110</v>
      </c>
      <c r="X828" s="187">
        <v>2625</v>
      </c>
      <c r="Y828" s="185">
        <v>14116</v>
      </c>
      <c r="Z828" s="187">
        <v>2625</v>
      </c>
      <c r="AA828" s="187">
        <v>0</v>
      </c>
      <c r="AB828" s="187">
        <v>0</v>
      </c>
      <c r="AC828" s="187">
        <v>0</v>
      </c>
      <c r="AD828" s="185">
        <v>70260</v>
      </c>
      <c r="AE828" s="187">
        <v>0</v>
      </c>
      <c r="AF828" s="187">
        <v>0</v>
      </c>
      <c r="AG828" s="187">
        <v>0</v>
      </c>
      <c r="AH828" s="185" t="s">
        <v>989</v>
      </c>
      <c r="AI828" s="185"/>
      <c r="AJ828" s="185"/>
      <c r="AK828" s="185" t="s">
        <v>45</v>
      </c>
      <c r="AL828" s="185" t="s">
        <v>2267</v>
      </c>
      <c r="AM828" s="185" t="s">
        <v>2269</v>
      </c>
      <c r="AN828" s="185"/>
      <c r="AO828" s="186"/>
      <c r="AP828" s="186"/>
      <c r="AQ828" s="184"/>
      <c r="AR828" s="184"/>
      <c r="AS828" s="184"/>
      <c r="AT828" s="184"/>
      <c r="AU828" s="184"/>
      <c r="AV828" s="184"/>
      <c r="AW828" s="184"/>
      <c r="AX828" s="184"/>
      <c r="AY828" s="184"/>
    </row>
    <row r="829" spans="2:51">
      <c r="B829" s="185">
        <v>2183</v>
      </c>
      <c r="C829" s="189">
        <v>79676</v>
      </c>
      <c r="D829" s="185" t="s">
        <v>989</v>
      </c>
      <c r="E829" s="185" t="s">
        <v>2003</v>
      </c>
      <c r="F829" s="185" t="s">
        <v>1715</v>
      </c>
      <c r="G829" s="185"/>
      <c r="H829" s="185"/>
      <c r="I829" s="188">
        <v>1</v>
      </c>
      <c r="J829" s="185"/>
      <c r="K829" s="188">
        <v>0</v>
      </c>
      <c r="L829" s="185" t="s">
        <v>1716</v>
      </c>
      <c r="M829" s="185"/>
      <c r="N829" s="185" t="s">
        <v>2199</v>
      </c>
      <c r="O829" s="185" t="s">
        <v>2184</v>
      </c>
      <c r="P829" s="185"/>
      <c r="Q829" s="185"/>
      <c r="R829" s="185"/>
      <c r="S829" s="186">
        <v>40544</v>
      </c>
      <c r="T829" s="186">
        <v>40544</v>
      </c>
      <c r="U829" s="185" t="s">
        <v>1717</v>
      </c>
      <c r="V829" s="185">
        <v>300</v>
      </c>
      <c r="W829" s="185">
        <v>14110</v>
      </c>
      <c r="X829" s="187">
        <v>5850</v>
      </c>
      <c r="Y829" s="185">
        <v>14116</v>
      </c>
      <c r="Z829" s="187">
        <v>5850</v>
      </c>
      <c r="AA829" s="187">
        <v>0</v>
      </c>
      <c r="AB829" s="187">
        <v>0</v>
      </c>
      <c r="AC829" s="187">
        <v>0</v>
      </c>
      <c r="AD829" s="185">
        <v>70260</v>
      </c>
      <c r="AE829" s="187">
        <v>0</v>
      </c>
      <c r="AF829" s="187">
        <v>0</v>
      </c>
      <c r="AG829" s="187">
        <v>0</v>
      </c>
      <c r="AH829" s="185" t="s">
        <v>989</v>
      </c>
      <c r="AI829" s="185"/>
      <c r="AJ829" s="185"/>
      <c r="AK829" s="185" t="s">
        <v>45</v>
      </c>
      <c r="AL829" s="185" t="s">
        <v>2267</v>
      </c>
      <c r="AM829" s="185" t="s">
        <v>2269</v>
      </c>
      <c r="AN829" s="185"/>
      <c r="AO829" s="186"/>
      <c r="AP829" s="186"/>
      <c r="AQ829" s="184"/>
      <c r="AR829" s="184"/>
      <c r="AS829" s="184"/>
      <c r="AT829" s="184"/>
      <c r="AU829" s="184"/>
      <c r="AV829" s="184"/>
      <c r="AW829" s="184"/>
      <c r="AX829" s="184"/>
      <c r="AY829" s="184"/>
    </row>
    <row r="830" spans="2:51" hidden="1">
      <c r="B830" s="185">
        <v>2183</v>
      </c>
      <c r="C830" s="189">
        <v>79584</v>
      </c>
      <c r="D830" s="185">
        <v>79676</v>
      </c>
      <c r="E830" s="185" t="s">
        <v>2003</v>
      </c>
      <c r="F830" s="185" t="s">
        <v>1718</v>
      </c>
      <c r="G830" s="185"/>
      <c r="H830" s="185"/>
      <c r="I830" s="188">
        <v>1</v>
      </c>
      <c r="J830" s="185"/>
      <c r="K830" s="188">
        <v>0</v>
      </c>
      <c r="L830" s="185" t="s">
        <v>1716</v>
      </c>
      <c r="M830" s="185"/>
      <c r="N830" s="185" t="s">
        <v>2199</v>
      </c>
      <c r="O830" s="185" t="s">
        <v>2184</v>
      </c>
      <c r="P830" s="185"/>
      <c r="Q830" s="185"/>
      <c r="R830" s="185"/>
      <c r="S830" s="186">
        <v>40543</v>
      </c>
      <c r="T830" s="186">
        <v>40543</v>
      </c>
      <c r="U830" s="185" t="s">
        <v>1717</v>
      </c>
      <c r="V830" s="185">
        <v>300</v>
      </c>
      <c r="W830" s="185">
        <v>14110</v>
      </c>
      <c r="X830" s="187">
        <v>497.25</v>
      </c>
      <c r="Y830" s="185">
        <v>14116</v>
      </c>
      <c r="Z830" s="187">
        <v>497.25</v>
      </c>
      <c r="AA830" s="187">
        <v>0</v>
      </c>
      <c r="AB830" s="187">
        <v>0</v>
      </c>
      <c r="AC830" s="187">
        <v>0</v>
      </c>
      <c r="AD830" s="185">
        <v>70260</v>
      </c>
      <c r="AE830" s="187">
        <v>0</v>
      </c>
      <c r="AF830" s="187">
        <v>0</v>
      </c>
      <c r="AG830" s="187">
        <v>0</v>
      </c>
      <c r="AH830" s="185" t="s">
        <v>989</v>
      </c>
      <c r="AI830" s="185"/>
      <c r="AJ830" s="185"/>
      <c r="AK830" s="185" t="s">
        <v>45</v>
      </c>
      <c r="AL830" s="185" t="s">
        <v>2267</v>
      </c>
      <c r="AM830" s="185" t="s">
        <v>2269</v>
      </c>
      <c r="AN830" s="185"/>
      <c r="AO830" s="186"/>
      <c r="AP830" s="186"/>
      <c r="AQ830" s="184"/>
      <c r="AR830" s="184"/>
      <c r="AS830" s="184"/>
      <c r="AT830" s="184"/>
      <c r="AU830" s="184"/>
      <c r="AV830" s="184"/>
      <c r="AW830" s="184"/>
      <c r="AX830" s="184"/>
      <c r="AY830" s="184"/>
    </row>
    <row r="831" spans="2:51" hidden="1">
      <c r="B831" s="185">
        <v>2183</v>
      </c>
      <c r="C831" s="189">
        <v>79583</v>
      </c>
      <c r="D831" s="185">
        <v>78978</v>
      </c>
      <c r="E831" s="185" t="s">
        <v>2003</v>
      </c>
      <c r="F831" s="185" t="s">
        <v>1719</v>
      </c>
      <c r="G831" s="185"/>
      <c r="H831" s="185"/>
      <c r="I831" s="188">
        <v>1</v>
      </c>
      <c r="J831" s="185"/>
      <c r="K831" s="188">
        <v>0</v>
      </c>
      <c r="L831" s="185" t="s">
        <v>1720</v>
      </c>
      <c r="M831" s="185"/>
      <c r="N831" s="185" t="s">
        <v>409</v>
      </c>
      <c r="O831" s="185" t="s">
        <v>2184</v>
      </c>
      <c r="P831" s="185"/>
      <c r="Q831" s="185"/>
      <c r="R831" s="185"/>
      <c r="S831" s="186">
        <v>40543</v>
      </c>
      <c r="T831" s="186">
        <v>40543</v>
      </c>
      <c r="U831" s="185" t="s">
        <v>1721</v>
      </c>
      <c r="V831" s="185">
        <v>500</v>
      </c>
      <c r="W831" s="185">
        <v>14100</v>
      </c>
      <c r="X831" s="187">
        <v>2931.7</v>
      </c>
      <c r="Y831" s="185">
        <v>14106</v>
      </c>
      <c r="Z831" s="187">
        <v>2931.7</v>
      </c>
      <c r="AA831" s="187">
        <v>0</v>
      </c>
      <c r="AB831" s="187">
        <v>0</v>
      </c>
      <c r="AC831" s="187">
        <v>0</v>
      </c>
      <c r="AD831" s="185">
        <v>70260</v>
      </c>
      <c r="AE831" s="187">
        <v>0</v>
      </c>
      <c r="AF831" s="187">
        <v>0</v>
      </c>
      <c r="AG831" s="187">
        <v>0</v>
      </c>
      <c r="AH831" s="185" t="s">
        <v>989</v>
      </c>
      <c r="AI831" s="185"/>
      <c r="AJ831" s="185"/>
      <c r="AK831" s="185" t="s">
        <v>45</v>
      </c>
      <c r="AL831" s="185" t="s">
        <v>2267</v>
      </c>
      <c r="AM831" s="185" t="s">
        <v>2269</v>
      </c>
      <c r="AN831" s="185"/>
      <c r="AO831" s="186"/>
      <c r="AP831" s="186"/>
      <c r="AQ831" s="184"/>
      <c r="AR831" s="184"/>
      <c r="AS831" s="184"/>
      <c r="AT831" s="184"/>
      <c r="AU831" s="184"/>
      <c r="AV831" s="184"/>
      <c r="AW831" s="184"/>
      <c r="AX831" s="184"/>
      <c r="AY831" s="184"/>
    </row>
    <row r="832" spans="2:51" hidden="1">
      <c r="B832" s="185">
        <v>2183</v>
      </c>
      <c r="C832" s="189">
        <v>79582</v>
      </c>
      <c r="D832" s="185">
        <v>78978</v>
      </c>
      <c r="E832" s="185" t="s">
        <v>2003</v>
      </c>
      <c r="F832" s="185" t="s">
        <v>1722</v>
      </c>
      <c r="G832" s="185"/>
      <c r="H832" s="185"/>
      <c r="I832" s="188">
        <v>1</v>
      </c>
      <c r="J832" s="185"/>
      <c r="K832" s="188">
        <v>0</v>
      </c>
      <c r="L832" s="185" t="s">
        <v>1720</v>
      </c>
      <c r="M832" s="185"/>
      <c r="N832" s="185" t="s">
        <v>409</v>
      </c>
      <c r="O832" s="185" t="s">
        <v>2184</v>
      </c>
      <c r="P832" s="185"/>
      <c r="Q832" s="185"/>
      <c r="R832" s="185"/>
      <c r="S832" s="186">
        <v>40543</v>
      </c>
      <c r="T832" s="186">
        <v>40543</v>
      </c>
      <c r="U832" s="185" t="s">
        <v>1721</v>
      </c>
      <c r="V832" s="185">
        <v>500</v>
      </c>
      <c r="W832" s="185">
        <v>14100</v>
      </c>
      <c r="X832" s="187">
        <v>29.67</v>
      </c>
      <c r="Y832" s="185">
        <v>14106</v>
      </c>
      <c r="Z832" s="187">
        <v>29.67</v>
      </c>
      <c r="AA832" s="187">
        <v>0</v>
      </c>
      <c r="AB832" s="187">
        <v>0</v>
      </c>
      <c r="AC832" s="187">
        <v>0</v>
      </c>
      <c r="AD832" s="185">
        <v>70260</v>
      </c>
      <c r="AE832" s="187">
        <v>0</v>
      </c>
      <c r="AF832" s="187">
        <v>0</v>
      </c>
      <c r="AG832" s="187">
        <v>0</v>
      </c>
      <c r="AH832" s="185" t="s">
        <v>989</v>
      </c>
      <c r="AI832" s="185"/>
      <c r="AJ832" s="185"/>
      <c r="AK832" s="185" t="s">
        <v>45</v>
      </c>
      <c r="AL832" s="185" t="s">
        <v>2267</v>
      </c>
      <c r="AM832" s="185" t="s">
        <v>2269</v>
      </c>
      <c r="AN832" s="185"/>
      <c r="AO832" s="186"/>
      <c r="AP832" s="186"/>
      <c r="AQ832" s="184"/>
      <c r="AR832" s="184"/>
      <c r="AS832" s="184"/>
      <c r="AT832" s="184"/>
      <c r="AU832" s="184"/>
      <c r="AV832" s="184"/>
      <c r="AW832" s="184"/>
      <c r="AX832" s="184"/>
      <c r="AY832" s="184"/>
    </row>
    <row r="833" spans="2:51" hidden="1">
      <c r="B833" s="185">
        <v>2183</v>
      </c>
      <c r="C833" s="189">
        <v>79581</v>
      </c>
      <c r="D833" s="185">
        <v>78978</v>
      </c>
      <c r="E833" s="185" t="s">
        <v>2003</v>
      </c>
      <c r="F833" s="185" t="s">
        <v>1723</v>
      </c>
      <c r="G833" s="185"/>
      <c r="H833" s="185"/>
      <c r="I833" s="188">
        <v>1</v>
      </c>
      <c r="J833" s="185"/>
      <c r="K833" s="188">
        <v>0</v>
      </c>
      <c r="L833" s="185" t="s">
        <v>1720</v>
      </c>
      <c r="M833" s="185"/>
      <c r="N833" s="185" t="s">
        <v>409</v>
      </c>
      <c r="O833" s="185" t="s">
        <v>2184</v>
      </c>
      <c r="P833" s="185"/>
      <c r="Q833" s="185"/>
      <c r="R833" s="185"/>
      <c r="S833" s="186">
        <v>40543</v>
      </c>
      <c r="T833" s="186">
        <v>40543</v>
      </c>
      <c r="U833" s="185" t="s">
        <v>1721</v>
      </c>
      <c r="V833" s="185">
        <v>500</v>
      </c>
      <c r="W833" s="185">
        <v>14100</v>
      </c>
      <c r="X833" s="187">
        <v>2130.35</v>
      </c>
      <c r="Y833" s="185">
        <v>14106</v>
      </c>
      <c r="Z833" s="187">
        <v>2130.35</v>
      </c>
      <c r="AA833" s="187">
        <v>0</v>
      </c>
      <c r="AB833" s="187">
        <v>0</v>
      </c>
      <c r="AC833" s="187">
        <v>0</v>
      </c>
      <c r="AD833" s="185">
        <v>70260</v>
      </c>
      <c r="AE833" s="187">
        <v>0</v>
      </c>
      <c r="AF833" s="187">
        <v>0</v>
      </c>
      <c r="AG833" s="187">
        <v>0</v>
      </c>
      <c r="AH833" s="185" t="s">
        <v>989</v>
      </c>
      <c r="AI833" s="185"/>
      <c r="AJ833" s="185"/>
      <c r="AK833" s="185" t="s">
        <v>45</v>
      </c>
      <c r="AL833" s="185" t="s">
        <v>2267</v>
      </c>
      <c r="AM833" s="185" t="s">
        <v>2269</v>
      </c>
      <c r="AN833" s="185"/>
      <c r="AO833" s="186"/>
      <c r="AP833" s="186"/>
      <c r="AQ833" s="184"/>
      <c r="AR833" s="184"/>
      <c r="AS833" s="184"/>
      <c r="AT833" s="184"/>
      <c r="AU833" s="184"/>
      <c r="AV833" s="184"/>
      <c r="AW833" s="184"/>
      <c r="AX833" s="184"/>
      <c r="AY833" s="184"/>
    </row>
    <row r="834" spans="2:51" hidden="1">
      <c r="B834" s="185">
        <v>2183</v>
      </c>
      <c r="C834" s="189">
        <v>79580</v>
      </c>
      <c r="D834" s="185">
        <v>78978</v>
      </c>
      <c r="E834" s="185" t="s">
        <v>2003</v>
      </c>
      <c r="F834" s="185" t="s">
        <v>1724</v>
      </c>
      <c r="G834" s="185"/>
      <c r="H834" s="185"/>
      <c r="I834" s="188">
        <v>1</v>
      </c>
      <c r="J834" s="185"/>
      <c r="K834" s="188">
        <v>0</v>
      </c>
      <c r="L834" s="185" t="s">
        <v>1720</v>
      </c>
      <c r="M834" s="185"/>
      <c r="N834" s="185" t="s">
        <v>409</v>
      </c>
      <c r="O834" s="185" t="s">
        <v>2184</v>
      </c>
      <c r="P834" s="185"/>
      <c r="Q834" s="185"/>
      <c r="R834" s="185"/>
      <c r="S834" s="186">
        <v>40543</v>
      </c>
      <c r="T834" s="186">
        <v>40543</v>
      </c>
      <c r="U834" s="185" t="s">
        <v>1721</v>
      </c>
      <c r="V834" s="185">
        <v>500</v>
      </c>
      <c r="W834" s="185">
        <v>14100</v>
      </c>
      <c r="X834" s="187">
        <v>1521.68</v>
      </c>
      <c r="Y834" s="185">
        <v>14106</v>
      </c>
      <c r="Z834" s="187">
        <v>1521.68</v>
      </c>
      <c r="AA834" s="187">
        <v>0</v>
      </c>
      <c r="AB834" s="187">
        <v>0</v>
      </c>
      <c r="AC834" s="187">
        <v>0</v>
      </c>
      <c r="AD834" s="185">
        <v>70260</v>
      </c>
      <c r="AE834" s="187">
        <v>0</v>
      </c>
      <c r="AF834" s="187">
        <v>0</v>
      </c>
      <c r="AG834" s="187">
        <v>0</v>
      </c>
      <c r="AH834" s="185" t="s">
        <v>989</v>
      </c>
      <c r="AI834" s="185"/>
      <c r="AJ834" s="185"/>
      <c r="AK834" s="185" t="s">
        <v>45</v>
      </c>
      <c r="AL834" s="185" t="s">
        <v>2267</v>
      </c>
      <c r="AM834" s="185" t="s">
        <v>2269</v>
      </c>
      <c r="AN834" s="185"/>
      <c r="AO834" s="186"/>
      <c r="AP834" s="186"/>
      <c r="AQ834" s="184"/>
      <c r="AR834" s="184"/>
      <c r="AS834" s="184"/>
      <c r="AT834" s="184"/>
      <c r="AU834" s="184"/>
      <c r="AV834" s="184"/>
      <c r="AW834" s="184"/>
      <c r="AX834" s="184"/>
      <c r="AY834" s="184"/>
    </row>
    <row r="835" spans="2:51" hidden="1">
      <c r="B835" s="185">
        <v>2183</v>
      </c>
      <c r="C835" s="189">
        <v>79579</v>
      </c>
      <c r="D835" s="185">
        <v>78978</v>
      </c>
      <c r="E835" s="185" t="s">
        <v>2003</v>
      </c>
      <c r="F835" s="185" t="s">
        <v>1725</v>
      </c>
      <c r="G835" s="185"/>
      <c r="H835" s="185"/>
      <c r="I835" s="188">
        <v>1</v>
      </c>
      <c r="J835" s="185"/>
      <c r="K835" s="188">
        <v>0</v>
      </c>
      <c r="L835" s="185" t="s">
        <v>1720</v>
      </c>
      <c r="M835" s="185"/>
      <c r="N835" s="185" t="s">
        <v>409</v>
      </c>
      <c r="O835" s="185" t="s">
        <v>2184</v>
      </c>
      <c r="P835" s="185"/>
      <c r="Q835" s="185"/>
      <c r="R835" s="185"/>
      <c r="S835" s="186">
        <v>40543</v>
      </c>
      <c r="T835" s="186">
        <v>40543</v>
      </c>
      <c r="U835" s="185" t="s">
        <v>1721</v>
      </c>
      <c r="V835" s="185">
        <v>500</v>
      </c>
      <c r="W835" s="185">
        <v>14100</v>
      </c>
      <c r="X835" s="187">
        <v>2434.69</v>
      </c>
      <c r="Y835" s="185">
        <v>14106</v>
      </c>
      <c r="Z835" s="187">
        <v>2434.69</v>
      </c>
      <c r="AA835" s="187">
        <v>0</v>
      </c>
      <c r="AB835" s="187">
        <v>0</v>
      </c>
      <c r="AC835" s="187">
        <v>0</v>
      </c>
      <c r="AD835" s="185">
        <v>70260</v>
      </c>
      <c r="AE835" s="187">
        <v>0</v>
      </c>
      <c r="AF835" s="187">
        <v>0</v>
      </c>
      <c r="AG835" s="187">
        <v>0</v>
      </c>
      <c r="AH835" s="185" t="s">
        <v>989</v>
      </c>
      <c r="AI835" s="185"/>
      <c r="AJ835" s="185"/>
      <c r="AK835" s="185" t="s">
        <v>45</v>
      </c>
      <c r="AL835" s="185" t="s">
        <v>2267</v>
      </c>
      <c r="AM835" s="185" t="s">
        <v>2269</v>
      </c>
      <c r="AN835" s="185"/>
      <c r="AO835" s="186"/>
      <c r="AP835" s="186"/>
      <c r="AQ835" s="184"/>
      <c r="AR835" s="184"/>
      <c r="AS835" s="184"/>
      <c r="AT835" s="184"/>
      <c r="AU835" s="184"/>
      <c r="AV835" s="184"/>
      <c r="AW835" s="184"/>
      <c r="AX835" s="184"/>
      <c r="AY835" s="184"/>
    </row>
    <row r="836" spans="2:51" hidden="1">
      <c r="B836" s="185">
        <v>2183</v>
      </c>
      <c r="C836" s="189">
        <v>79490</v>
      </c>
      <c r="D836" s="185">
        <v>78978</v>
      </c>
      <c r="E836" s="185" t="s">
        <v>2003</v>
      </c>
      <c r="F836" s="185" t="s">
        <v>1726</v>
      </c>
      <c r="G836" s="185"/>
      <c r="H836" s="185"/>
      <c r="I836" s="188">
        <v>1</v>
      </c>
      <c r="J836" s="185"/>
      <c r="K836" s="188">
        <v>0</v>
      </c>
      <c r="L836" s="185" t="s">
        <v>1727</v>
      </c>
      <c r="M836" s="185"/>
      <c r="N836" s="185" t="s">
        <v>409</v>
      </c>
      <c r="O836" s="185" t="s">
        <v>2184</v>
      </c>
      <c r="P836" s="185"/>
      <c r="Q836" s="185"/>
      <c r="R836" s="185"/>
      <c r="S836" s="186">
        <v>40543</v>
      </c>
      <c r="T836" s="186">
        <v>40543</v>
      </c>
      <c r="U836" s="185" t="s">
        <v>1721</v>
      </c>
      <c r="V836" s="185">
        <v>500</v>
      </c>
      <c r="W836" s="185">
        <v>14100</v>
      </c>
      <c r="X836" s="187">
        <v>710</v>
      </c>
      <c r="Y836" s="185">
        <v>14106</v>
      </c>
      <c r="Z836" s="187">
        <v>710</v>
      </c>
      <c r="AA836" s="187">
        <v>0</v>
      </c>
      <c r="AB836" s="187">
        <v>0</v>
      </c>
      <c r="AC836" s="187">
        <v>0</v>
      </c>
      <c r="AD836" s="185">
        <v>70260</v>
      </c>
      <c r="AE836" s="187">
        <v>0</v>
      </c>
      <c r="AF836" s="187">
        <v>0</v>
      </c>
      <c r="AG836" s="187">
        <v>0</v>
      </c>
      <c r="AH836" s="185" t="s">
        <v>989</v>
      </c>
      <c r="AI836" s="185"/>
      <c r="AJ836" s="185"/>
      <c r="AK836" s="185" t="s">
        <v>45</v>
      </c>
      <c r="AL836" s="185" t="s">
        <v>2267</v>
      </c>
      <c r="AM836" s="185" t="s">
        <v>2269</v>
      </c>
      <c r="AN836" s="185"/>
      <c r="AO836" s="186"/>
      <c r="AP836" s="186"/>
      <c r="AQ836" s="184"/>
      <c r="AR836" s="184"/>
      <c r="AS836" s="184"/>
      <c r="AT836" s="184"/>
      <c r="AU836" s="184"/>
      <c r="AV836" s="184"/>
      <c r="AW836" s="184"/>
      <c r="AX836" s="184"/>
      <c r="AY836" s="184"/>
    </row>
    <row r="837" spans="2:51" hidden="1">
      <c r="B837" s="185">
        <v>2183</v>
      </c>
      <c r="C837" s="189">
        <v>79489</v>
      </c>
      <c r="D837" s="185">
        <v>78978</v>
      </c>
      <c r="E837" s="185" t="s">
        <v>2003</v>
      </c>
      <c r="F837" s="185" t="s">
        <v>1726</v>
      </c>
      <c r="G837" s="185"/>
      <c r="H837" s="185"/>
      <c r="I837" s="188">
        <v>1</v>
      </c>
      <c r="J837" s="185"/>
      <c r="K837" s="188">
        <v>0</v>
      </c>
      <c r="L837" s="185" t="s">
        <v>1727</v>
      </c>
      <c r="M837" s="185"/>
      <c r="N837" s="185" t="s">
        <v>409</v>
      </c>
      <c r="O837" s="185" t="s">
        <v>2184</v>
      </c>
      <c r="P837" s="185"/>
      <c r="Q837" s="185"/>
      <c r="R837" s="185"/>
      <c r="S837" s="186">
        <v>40543</v>
      </c>
      <c r="T837" s="186">
        <v>40543</v>
      </c>
      <c r="U837" s="185" t="s">
        <v>1721</v>
      </c>
      <c r="V837" s="185">
        <v>500</v>
      </c>
      <c r="W837" s="185">
        <v>14100</v>
      </c>
      <c r="X837" s="187">
        <v>1764</v>
      </c>
      <c r="Y837" s="185">
        <v>14106</v>
      </c>
      <c r="Z837" s="187">
        <v>1764</v>
      </c>
      <c r="AA837" s="187">
        <v>0</v>
      </c>
      <c r="AB837" s="187">
        <v>0</v>
      </c>
      <c r="AC837" s="187">
        <v>0</v>
      </c>
      <c r="AD837" s="185">
        <v>70260</v>
      </c>
      <c r="AE837" s="187">
        <v>0</v>
      </c>
      <c r="AF837" s="187">
        <v>0</v>
      </c>
      <c r="AG837" s="187">
        <v>0</v>
      </c>
      <c r="AH837" s="185" t="s">
        <v>989</v>
      </c>
      <c r="AI837" s="185"/>
      <c r="AJ837" s="185"/>
      <c r="AK837" s="185" t="s">
        <v>45</v>
      </c>
      <c r="AL837" s="185" t="s">
        <v>2267</v>
      </c>
      <c r="AM837" s="185" t="s">
        <v>2269</v>
      </c>
      <c r="AN837" s="185"/>
      <c r="AO837" s="186"/>
      <c r="AP837" s="186"/>
      <c r="AQ837" s="184"/>
      <c r="AR837" s="184"/>
      <c r="AS837" s="184"/>
      <c r="AT837" s="184"/>
      <c r="AU837" s="184"/>
      <c r="AV837" s="184"/>
      <c r="AW837" s="184"/>
      <c r="AX837" s="184"/>
      <c r="AY837" s="184"/>
    </row>
    <row r="838" spans="2:51" hidden="1">
      <c r="B838" s="185">
        <v>2183</v>
      </c>
      <c r="C838" s="189">
        <v>79488</v>
      </c>
      <c r="D838" s="185">
        <v>78978</v>
      </c>
      <c r="E838" s="185" t="s">
        <v>2003</v>
      </c>
      <c r="F838" s="185" t="s">
        <v>1726</v>
      </c>
      <c r="G838" s="185"/>
      <c r="H838" s="185"/>
      <c r="I838" s="188">
        <v>1</v>
      </c>
      <c r="J838" s="185"/>
      <c r="K838" s="188">
        <v>0</v>
      </c>
      <c r="L838" s="185" t="s">
        <v>1727</v>
      </c>
      <c r="M838" s="185"/>
      <c r="N838" s="185" t="s">
        <v>409</v>
      </c>
      <c r="O838" s="185" t="s">
        <v>2184</v>
      </c>
      <c r="P838" s="185"/>
      <c r="Q838" s="185"/>
      <c r="R838" s="185"/>
      <c r="S838" s="186">
        <v>40543</v>
      </c>
      <c r="T838" s="186">
        <v>40543</v>
      </c>
      <c r="U838" s="185" t="s">
        <v>1721</v>
      </c>
      <c r="V838" s="185">
        <v>500</v>
      </c>
      <c r="W838" s="185">
        <v>14100</v>
      </c>
      <c r="X838" s="187">
        <v>7988.4</v>
      </c>
      <c r="Y838" s="185">
        <v>14106</v>
      </c>
      <c r="Z838" s="187">
        <v>7988.4</v>
      </c>
      <c r="AA838" s="187">
        <v>0</v>
      </c>
      <c r="AB838" s="187">
        <v>0</v>
      </c>
      <c r="AC838" s="187">
        <v>0</v>
      </c>
      <c r="AD838" s="185">
        <v>70260</v>
      </c>
      <c r="AE838" s="187">
        <v>0</v>
      </c>
      <c r="AF838" s="187">
        <v>0</v>
      </c>
      <c r="AG838" s="187">
        <v>0</v>
      </c>
      <c r="AH838" s="185" t="s">
        <v>989</v>
      </c>
      <c r="AI838" s="185"/>
      <c r="AJ838" s="185"/>
      <c r="AK838" s="185" t="s">
        <v>45</v>
      </c>
      <c r="AL838" s="185" t="s">
        <v>2267</v>
      </c>
      <c r="AM838" s="185" t="s">
        <v>2269</v>
      </c>
      <c r="AN838" s="185"/>
      <c r="AO838" s="186"/>
      <c r="AP838" s="186"/>
      <c r="AQ838" s="184"/>
      <c r="AR838" s="184"/>
      <c r="AS838" s="184"/>
      <c r="AT838" s="184"/>
      <c r="AU838" s="184"/>
      <c r="AV838" s="184"/>
      <c r="AW838" s="184"/>
      <c r="AX838" s="184"/>
      <c r="AY838" s="184"/>
    </row>
    <row r="839" spans="2:51" hidden="1">
      <c r="B839" s="185">
        <v>2183</v>
      </c>
      <c r="C839" s="189">
        <v>79487</v>
      </c>
      <c r="D839" s="185">
        <v>78978</v>
      </c>
      <c r="E839" s="185" t="s">
        <v>2003</v>
      </c>
      <c r="F839" s="185" t="s">
        <v>1728</v>
      </c>
      <c r="G839" s="185"/>
      <c r="H839" s="185"/>
      <c r="I839" s="188">
        <v>1</v>
      </c>
      <c r="J839" s="185"/>
      <c r="K839" s="188">
        <v>0</v>
      </c>
      <c r="L839" s="185" t="s">
        <v>1727</v>
      </c>
      <c r="M839" s="185"/>
      <c r="N839" s="185" t="s">
        <v>409</v>
      </c>
      <c r="O839" s="185" t="s">
        <v>2184</v>
      </c>
      <c r="P839" s="185"/>
      <c r="Q839" s="185"/>
      <c r="R839" s="185"/>
      <c r="S839" s="186">
        <v>40543</v>
      </c>
      <c r="T839" s="186">
        <v>40543</v>
      </c>
      <c r="U839" s="185" t="s">
        <v>1721</v>
      </c>
      <c r="V839" s="185">
        <v>500</v>
      </c>
      <c r="W839" s="185">
        <v>14100</v>
      </c>
      <c r="X839" s="187">
        <v>25062.9</v>
      </c>
      <c r="Y839" s="185">
        <v>14106</v>
      </c>
      <c r="Z839" s="187">
        <v>25062.9</v>
      </c>
      <c r="AA839" s="187">
        <v>0</v>
      </c>
      <c r="AB839" s="187">
        <v>0</v>
      </c>
      <c r="AC839" s="187">
        <v>0</v>
      </c>
      <c r="AD839" s="185">
        <v>70260</v>
      </c>
      <c r="AE839" s="187">
        <v>0</v>
      </c>
      <c r="AF839" s="187">
        <v>0</v>
      </c>
      <c r="AG839" s="187">
        <v>0</v>
      </c>
      <c r="AH839" s="185" t="s">
        <v>989</v>
      </c>
      <c r="AI839" s="185"/>
      <c r="AJ839" s="185"/>
      <c r="AK839" s="185" t="s">
        <v>45</v>
      </c>
      <c r="AL839" s="185" t="s">
        <v>2267</v>
      </c>
      <c r="AM839" s="185" t="s">
        <v>2269</v>
      </c>
      <c r="AN839" s="185"/>
      <c r="AO839" s="186"/>
      <c r="AP839" s="186"/>
      <c r="AQ839" s="184"/>
      <c r="AR839" s="184"/>
      <c r="AS839" s="184"/>
      <c r="AT839" s="184"/>
      <c r="AU839" s="184"/>
      <c r="AV839" s="184"/>
      <c r="AW839" s="184"/>
      <c r="AX839" s="184"/>
      <c r="AY839" s="184"/>
    </row>
    <row r="840" spans="2:51" hidden="1">
      <c r="B840" s="185">
        <v>2183</v>
      </c>
      <c r="C840" s="189">
        <v>79486</v>
      </c>
      <c r="D840" s="185">
        <v>78978</v>
      </c>
      <c r="E840" s="185" t="s">
        <v>2003</v>
      </c>
      <c r="F840" s="185" t="s">
        <v>1728</v>
      </c>
      <c r="G840" s="185"/>
      <c r="H840" s="185"/>
      <c r="I840" s="188">
        <v>1</v>
      </c>
      <c r="J840" s="185"/>
      <c r="K840" s="188">
        <v>0</v>
      </c>
      <c r="L840" s="185" t="s">
        <v>1727</v>
      </c>
      <c r="M840" s="185"/>
      <c r="N840" s="185" t="s">
        <v>409</v>
      </c>
      <c r="O840" s="185" t="s">
        <v>2184</v>
      </c>
      <c r="P840" s="185"/>
      <c r="Q840" s="185"/>
      <c r="R840" s="185"/>
      <c r="S840" s="186">
        <v>40543</v>
      </c>
      <c r="T840" s="186">
        <v>40543</v>
      </c>
      <c r="U840" s="185" t="s">
        <v>1721</v>
      </c>
      <c r="V840" s="185">
        <v>500</v>
      </c>
      <c r="W840" s="185">
        <v>14100</v>
      </c>
      <c r="X840" s="187">
        <v>349</v>
      </c>
      <c r="Y840" s="185">
        <v>14106</v>
      </c>
      <c r="Z840" s="187">
        <v>349</v>
      </c>
      <c r="AA840" s="187">
        <v>0</v>
      </c>
      <c r="AB840" s="187">
        <v>0</v>
      </c>
      <c r="AC840" s="187">
        <v>0</v>
      </c>
      <c r="AD840" s="185">
        <v>70260</v>
      </c>
      <c r="AE840" s="187">
        <v>0</v>
      </c>
      <c r="AF840" s="187">
        <v>0</v>
      </c>
      <c r="AG840" s="187">
        <v>0</v>
      </c>
      <c r="AH840" s="185" t="s">
        <v>989</v>
      </c>
      <c r="AI840" s="185"/>
      <c r="AJ840" s="185"/>
      <c r="AK840" s="185" t="s">
        <v>45</v>
      </c>
      <c r="AL840" s="185" t="s">
        <v>2267</v>
      </c>
      <c r="AM840" s="185" t="s">
        <v>2269</v>
      </c>
      <c r="AN840" s="185"/>
      <c r="AO840" s="186"/>
      <c r="AP840" s="186"/>
      <c r="AQ840" s="184"/>
      <c r="AR840" s="184"/>
      <c r="AS840" s="184"/>
      <c r="AT840" s="184"/>
      <c r="AU840" s="184"/>
      <c r="AV840" s="184"/>
      <c r="AW840" s="184"/>
      <c r="AX840" s="184"/>
      <c r="AY840" s="184"/>
    </row>
    <row r="841" spans="2:51">
      <c r="B841" s="185">
        <v>2183</v>
      </c>
      <c r="C841" s="189">
        <v>78978</v>
      </c>
      <c r="D841" s="185" t="s">
        <v>989</v>
      </c>
      <c r="E841" s="185" t="s">
        <v>2003</v>
      </c>
      <c r="F841" s="185" t="s">
        <v>1729</v>
      </c>
      <c r="G841" s="185"/>
      <c r="H841" s="185"/>
      <c r="I841" s="188">
        <v>1</v>
      </c>
      <c r="J841" s="185"/>
      <c r="K841" s="188">
        <v>0</v>
      </c>
      <c r="L841" s="185"/>
      <c r="M841" s="185"/>
      <c r="N841" s="185" t="s">
        <v>409</v>
      </c>
      <c r="O841" s="185" t="s">
        <v>2184</v>
      </c>
      <c r="P841" s="185"/>
      <c r="Q841" s="185"/>
      <c r="R841" s="185"/>
      <c r="S841" s="186">
        <v>40543</v>
      </c>
      <c r="T841" s="186">
        <v>40543</v>
      </c>
      <c r="U841" s="185" t="s">
        <v>1721</v>
      </c>
      <c r="V841" s="185">
        <v>500</v>
      </c>
      <c r="W841" s="185">
        <v>14100</v>
      </c>
      <c r="X841" s="187">
        <v>47401.52</v>
      </c>
      <c r="Y841" s="185">
        <v>14106</v>
      </c>
      <c r="Z841" s="187">
        <v>47401.52</v>
      </c>
      <c r="AA841" s="187">
        <v>0</v>
      </c>
      <c r="AB841" s="187">
        <v>0</v>
      </c>
      <c r="AC841" s="187">
        <v>0</v>
      </c>
      <c r="AD841" s="185">
        <v>70260</v>
      </c>
      <c r="AE841" s="187">
        <v>0</v>
      </c>
      <c r="AF841" s="187">
        <v>0</v>
      </c>
      <c r="AG841" s="187">
        <v>0</v>
      </c>
      <c r="AH841" s="185" t="s">
        <v>989</v>
      </c>
      <c r="AI841" s="185"/>
      <c r="AJ841" s="185"/>
      <c r="AK841" s="185" t="s">
        <v>45</v>
      </c>
      <c r="AL841" s="185" t="s">
        <v>2267</v>
      </c>
      <c r="AM841" s="185" t="s">
        <v>2269</v>
      </c>
      <c r="AN841" s="185"/>
      <c r="AO841" s="186"/>
      <c r="AP841" s="186"/>
      <c r="AQ841" s="184"/>
      <c r="AR841" s="184"/>
      <c r="AS841" s="184"/>
      <c r="AT841" s="184"/>
      <c r="AU841" s="184"/>
      <c r="AV841" s="184"/>
      <c r="AW841" s="184"/>
      <c r="AX841" s="184"/>
      <c r="AY841" s="184"/>
    </row>
    <row r="842" spans="2:51">
      <c r="B842" s="185">
        <v>2183</v>
      </c>
      <c r="C842" s="189">
        <v>78790</v>
      </c>
      <c r="D842" s="185" t="s">
        <v>989</v>
      </c>
      <c r="E842" s="185" t="s">
        <v>2003</v>
      </c>
      <c r="F842" s="185" t="s">
        <v>1730</v>
      </c>
      <c r="G842" s="185"/>
      <c r="H842" s="185"/>
      <c r="I842" s="188">
        <v>1</v>
      </c>
      <c r="J842" s="185" t="s">
        <v>1731</v>
      </c>
      <c r="K842" s="188">
        <v>0</v>
      </c>
      <c r="L842" s="185" t="s">
        <v>1732</v>
      </c>
      <c r="M842" s="185"/>
      <c r="N842" s="185" t="s">
        <v>2198</v>
      </c>
      <c r="O842" s="185" t="s">
        <v>2184</v>
      </c>
      <c r="P842" s="185"/>
      <c r="Q842" s="185"/>
      <c r="R842" s="185"/>
      <c r="S842" s="186">
        <v>40520</v>
      </c>
      <c r="T842" s="186">
        <v>40520</v>
      </c>
      <c r="U842" s="185" t="s">
        <v>1733</v>
      </c>
      <c r="V842" s="185">
        <v>500</v>
      </c>
      <c r="W842" s="185">
        <v>14070</v>
      </c>
      <c r="X842" s="187">
        <v>5900.24</v>
      </c>
      <c r="Y842" s="185">
        <v>14076</v>
      </c>
      <c r="Z842" s="187">
        <v>5900.24</v>
      </c>
      <c r="AA842" s="187">
        <v>0</v>
      </c>
      <c r="AB842" s="187">
        <v>0</v>
      </c>
      <c r="AC842" s="187">
        <v>0</v>
      </c>
      <c r="AD842" s="185">
        <v>51260</v>
      </c>
      <c r="AE842" s="187">
        <v>0</v>
      </c>
      <c r="AF842" s="187">
        <v>0</v>
      </c>
      <c r="AG842" s="187">
        <v>0</v>
      </c>
      <c r="AH842" s="185" t="s">
        <v>989</v>
      </c>
      <c r="AI842" s="185"/>
      <c r="AJ842" s="185"/>
      <c r="AK842" s="185" t="s">
        <v>45</v>
      </c>
      <c r="AL842" s="185" t="s">
        <v>2267</v>
      </c>
      <c r="AM842" s="185" t="s">
        <v>2269</v>
      </c>
      <c r="AN842" s="185"/>
      <c r="AO842" s="186"/>
      <c r="AP842" s="186"/>
      <c r="AQ842" s="184"/>
      <c r="AR842" s="184"/>
      <c r="AS842" s="184"/>
      <c r="AT842" s="184"/>
      <c r="AU842" s="184"/>
      <c r="AV842" s="184"/>
      <c r="AW842" s="184"/>
      <c r="AX842" s="184"/>
      <c r="AY842" s="184"/>
    </row>
    <row r="843" spans="2:51">
      <c r="B843" s="185">
        <v>2183</v>
      </c>
      <c r="C843" s="189">
        <v>78782</v>
      </c>
      <c r="D843" s="185" t="s">
        <v>989</v>
      </c>
      <c r="E843" s="185" t="s">
        <v>2003</v>
      </c>
      <c r="F843" s="185" t="s">
        <v>1734</v>
      </c>
      <c r="G843" s="185"/>
      <c r="H843" s="185"/>
      <c r="I843" s="188">
        <v>360</v>
      </c>
      <c r="J843" s="185" t="s">
        <v>1735</v>
      </c>
      <c r="K843" s="188">
        <v>0</v>
      </c>
      <c r="L843" s="185" t="s">
        <v>1736</v>
      </c>
      <c r="M843" s="185"/>
      <c r="N843" s="185" t="s">
        <v>2190</v>
      </c>
      <c r="O843" s="185" t="s">
        <v>2184</v>
      </c>
      <c r="P843" s="185"/>
      <c r="Q843" s="185"/>
      <c r="R843" s="185"/>
      <c r="S843" s="186">
        <v>40510</v>
      </c>
      <c r="T843" s="186">
        <v>40510</v>
      </c>
      <c r="U843" s="185" t="s">
        <v>1737</v>
      </c>
      <c r="V843" s="185">
        <v>700</v>
      </c>
      <c r="W843" s="185">
        <v>14050</v>
      </c>
      <c r="X843" s="187">
        <v>17592.62</v>
      </c>
      <c r="Y843" s="185">
        <v>14056</v>
      </c>
      <c r="Z843" s="187">
        <v>17592.62</v>
      </c>
      <c r="AA843" s="187">
        <v>0</v>
      </c>
      <c r="AB843" s="187">
        <v>0</v>
      </c>
      <c r="AC843" s="187">
        <v>0</v>
      </c>
      <c r="AD843" s="185">
        <v>54260</v>
      </c>
      <c r="AE843" s="187">
        <v>0</v>
      </c>
      <c r="AF843" s="187">
        <v>0</v>
      </c>
      <c r="AG843" s="187">
        <v>0</v>
      </c>
      <c r="AH843" s="185" t="s">
        <v>989</v>
      </c>
      <c r="AI843" s="185"/>
      <c r="AJ843" s="185"/>
      <c r="AK843" s="185" t="s">
        <v>45</v>
      </c>
      <c r="AL843" s="185" t="s">
        <v>2267</v>
      </c>
      <c r="AM843" s="185" t="s">
        <v>2269</v>
      </c>
      <c r="AN843" s="185"/>
      <c r="AO843" s="186"/>
      <c r="AP843" s="186"/>
      <c r="AQ843" s="184"/>
      <c r="AR843" s="184"/>
      <c r="AS843" s="184"/>
      <c r="AT843" s="184"/>
      <c r="AU843" s="184"/>
      <c r="AV843" s="184"/>
      <c r="AW843" s="184"/>
      <c r="AX843" s="184"/>
      <c r="AY843" s="184"/>
    </row>
    <row r="844" spans="2:51">
      <c r="B844" s="185">
        <v>2183</v>
      </c>
      <c r="C844" s="189">
        <v>78781</v>
      </c>
      <c r="D844" s="185" t="s">
        <v>989</v>
      </c>
      <c r="E844" s="185" t="s">
        <v>2003</v>
      </c>
      <c r="F844" s="185" t="s">
        <v>1738</v>
      </c>
      <c r="G844" s="185"/>
      <c r="H844" s="185"/>
      <c r="I844" s="188">
        <v>270</v>
      </c>
      <c r="J844" s="185" t="s">
        <v>1739</v>
      </c>
      <c r="K844" s="188">
        <v>0</v>
      </c>
      <c r="L844" s="185" t="s">
        <v>1736</v>
      </c>
      <c r="M844" s="185"/>
      <c r="N844" s="185" t="s">
        <v>2190</v>
      </c>
      <c r="O844" s="185" t="s">
        <v>2184</v>
      </c>
      <c r="P844" s="185"/>
      <c r="Q844" s="185"/>
      <c r="R844" s="185"/>
      <c r="S844" s="186">
        <v>40510</v>
      </c>
      <c r="T844" s="186">
        <v>40510</v>
      </c>
      <c r="U844" s="185" t="s">
        <v>1737</v>
      </c>
      <c r="V844" s="185">
        <v>700</v>
      </c>
      <c r="W844" s="185">
        <v>14050</v>
      </c>
      <c r="X844" s="187">
        <v>9025.7900000000009</v>
      </c>
      <c r="Y844" s="185">
        <v>14056</v>
      </c>
      <c r="Z844" s="187">
        <v>9025.7900000000009</v>
      </c>
      <c r="AA844" s="187">
        <v>0</v>
      </c>
      <c r="AB844" s="187">
        <v>0</v>
      </c>
      <c r="AC844" s="187">
        <v>0</v>
      </c>
      <c r="AD844" s="185">
        <v>54260</v>
      </c>
      <c r="AE844" s="187">
        <v>0</v>
      </c>
      <c r="AF844" s="187">
        <v>0</v>
      </c>
      <c r="AG844" s="187">
        <v>0</v>
      </c>
      <c r="AH844" s="185" t="s">
        <v>989</v>
      </c>
      <c r="AI844" s="185"/>
      <c r="AJ844" s="185"/>
      <c r="AK844" s="185" t="s">
        <v>45</v>
      </c>
      <c r="AL844" s="185" t="s">
        <v>2267</v>
      </c>
      <c r="AM844" s="185" t="s">
        <v>2269</v>
      </c>
      <c r="AN844" s="185"/>
      <c r="AO844" s="186"/>
      <c r="AP844" s="186"/>
      <c r="AQ844" s="184"/>
      <c r="AR844" s="184"/>
      <c r="AS844" s="184"/>
      <c r="AT844" s="184"/>
      <c r="AU844" s="184"/>
      <c r="AV844" s="184"/>
      <c r="AW844" s="184"/>
      <c r="AX844" s="184"/>
      <c r="AY844" s="184"/>
    </row>
    <row r="845" spans="2:51">
      <c r="B845" s="185">
        <v>2183</v>
      </c>
      <c r="C845" s="189">
        <v>78664</v>
      </c>
      <c r="D845" s="185" t="s">
        <v>989</v>
      </c>
      <c r="E845" s="185" t="s">
        <v>2003</v>
      </c>
      <c r="F845" s="185" t="s">
        <v>1740</v>
      </c>
      <c r="G845" s="185"/>
      <c r="H845" s="185"/>
      <c r="I845" s="188">
        <v>648</v>
      </c>
      <c r="J845" s="185" t="s">
        <v>1741</v>
      </c>
      <c r="K845" s="188">
        <v>0</v>
      </c>
      <c r="L845" s="185" t="s">
        <v>1736</v>
      </c>
      <c r="M845" s="185"/>
      <c r="N845" s="185" t="s">
        <v>2190</v>
      </c>
      <c r="O845" s="185" t="s">
        <v>2184</v>
      </c>
      <c r="P845" s="185"/>
      <c r="Q845" s="185"/>
      <c r="R845" s="185"/>
      <c r="S845" s="186">
        <v>40510</v>
      </c>
      <c r="T845" s="186">
        <v>40510</v>
      </c>
      <c r="U845" s="185" t="s">
        <v>1737</v>
      </c>
      <c r="V845" s="185">
        <v>700</v>
      </c>
      <c r="W845" s="185">
        <v>14050</v>
      </c>
      <c r="X845" s="187">
        <v>27321.69</v>
      </c>
      <c r="Y845" s="185">
        <v>14056</v>
      </c>
      <c r="Z845" s="187">
        <v>27321.69</v>
      </c>
      <c r="AA845" s="187">
        <v>0</v>
      </c>
      <c r="AB845" s="187">
        <v>0</v>
      </c>
      <c r="AC845" s="187">
        <v>0</v>
      </c>
      <c r="AD845" s="185">
        <v>54260</v>
      </c>
      <c r="AE845" s="187">
        <v>0</v>
      </c>
      <c r="AF845" s="187">
        <v>0</v>
      </c>
      <c r="AG845" s="187">
        <v>0</v>
      </c>
      <c r="AH845" s="185" t="s">
        <v>989</v>
      </c>
      <c r="AI845" s="185"/>
      <c r="AJ845" s="185"/>
      <c r="AK845" s="185" t="s">
        <v>45</v>
      </c>
      <c r="AL845" s="185" t="s">
        <v>2267</v>
      </c>
      <c r="AM845" s="185" t="s">
        <v>2269</v>
      </c>
      <c r="AN845" s="185"/>
      <c r="AO845" s="186"/>
      <c r="AP845" s="186"/>
      <c r="AQ845" s="184"/>
      <c r="AR845" s="184"/>
      <c r="AS845" s="184"/>
      <c r="AT845" s="184"/>
      <c r="AU845" s="184"/>
      <c r="AV845" s="184"/>
      <c r="AW845" s="184"/>
      <c r="AX845" s="184"/>
      <c r="AY845" s="184"/>
    </row>
    <row r="846" spans="2:51">
      <c r="B846" s="185">
        <v>2183</v>
      </c>
      <c r="C846" s="189">
        <v>78223</v>
      </c>
      <c r="D846" s="185" t="s">
        <v>989</v>
      </c>
      <c r="E846" s="185" t="s">
        <v>2003</v>
      </c>
      <c r="F846" s="185" t="s">
        <v>1742</v>
      </c>
      <c r="G846" s="185"/>
      <c r="H846" s="185"/>
      <c r="I846" s="188">
        <v>20</v>
      </c>
      <c r="J846" s="185"/>
      <c r="K846" s="188">
        <v>0</v>
      </c>
      <c r="L846" s="185" t="s">
        <v>1736</v>
      </c>
      <c r="M846" s="185"/>
      <c r="N846" s="185" t="s">
        <v>2190</v>
      </c>
      <c r="O846" s="185" t="s">
        <v>2184</v>
      </c>
      <c r="P846" s="185"/>
      <c r="Q846" s="185" t="s">
        <v>2203</v>
      </c>
      <c r="R846" s="185" t="s">
        <v>2207</v>
      </c>
      <c r="S846" s="186">
        <v>40476</v>
      </c>
      <c r="T846" s="186">
        <v>40476</v>
      </c>
      <c r="U846" s="185" t="s">
        <v>1743</v>
      </c>
      <c r="V846" s="185">
        <v>700</v>
      </c>
      <c r="W846" s="185">
        <v>14050</v>
      </c>
      <c r="X846" s="187">
        <v>14298.63</v>
      </c>
      <c r="Y846" s="185">
        <v>14056</v>
      </c>
      <c r="Z846" s="187">
        <v>14298.63</v>
      </c>
      <c r="AA846" s="187">
        <v>0</v>
      </c>
      <c r="AB846" s="187">
        <v>0</v>
      </c>
      <c r="AC846" s="187">
        <v>0</v>
      </c>
      <c r="AD846" s="185">
        <v>54260</v>
      </c>
      <c r="AE846" s="187">
        <v>0</v>
      </c>
      <c r="AF846" s="187">
        <v>0</v>
      </c>
      <c r="AG846" s="187">
        <v>0</v>
      </c>
      <c r="AH846" s="185" t="s">
        <v>989</v>
      </c>
      <c r="AI846" s="185"/>
      <c r="AJ846" s="185"/>
      <c r="AK846" s="185" t="s">
        <v>45</v>
      </c>
      <c r="AL846" s="185" t="s">
        <v>2267</v>
      </c>
      <c r="AM846" s="185" t="s">
        <v>2269</v>
      </c>
      <c r="AN846" s="185"/>
      <c r="AO846" s="186"/>
      <c r="AP846" s="186"/>
      <c r="AQ846" s="184"/>
      <c r="AR846" s="184"/>
      <c r="AS846" s="184"/>
      <c r="AT846" s="184"/>
      <c r="AU846" s="184"/>
      <c r="AV846" s="184"/>
      <c r="AW846" s="184"/>
      <c r="AX846" s="184"/>
      <c r="AY846" s="184"/>
    </row>
    <row r="847" spans="2:51" hidden="1">
      <c r="B847" s="185">
        <v>2183</v>
      </c>
      <c r="C847" s="189">
        <v>77836</v>
      </c>
      <c r="D847" s="185">
        <v>75159</v>
      </c>
      <c r="E847" s="185" t="s">
        <v>2003</v>
      </c>
      <c r="F847" s="185" t="s">
        <v>1744</v>
      </c>
      <c r="G847" s="185"/>
      <c r="H847" s="185"/>
      <c r="I847" s="188">
        <v>1</v>
      </c>
      <c r="J847" s="185"/>
      <c r="K847" s="188">
        <v>0</v>
      </c>
      <c r="L847" s="185" t="s">
        <v>1745</v>
      </c>
      <c r="M847" s="185"/>
      <c r="N847" s="185" t="s">
        <v>2198</v>
      </c>
      <c r="O847" s="185" t="s">
        <v>2184</v>
      </c>
      <c r="P847" s="185"/>
      <c r="Q847" s="185"/>
      <c r="R847" s="185"/>
      <c r="S847" s="186">
        <v>40344</v>
      </c>
      <c r="T847" s="186">
        <v>40344</v>
      </c>
      <c r="U847" s="185" t="s">
        <v>1746</v>
      </c>
      <c r="V847" s="185">
        <v>500</v>
      </c>
      <c r="W847" s="185">
        <v>14070</v>
      </c>
      <c r="X847" s="187">
        <v>1224.1600000000001</v>
      </c>
      <c r="Y847" s="185">
        <v>14076</v>
      </c>
      <c r="Z847" s="187">
        <v>1224.1600000000001</v>
      </c>
      <c r="AA847" s="187">
        <v>0</v>
      </c>
      <c r="AB847" s="187">
        <v>0</v>
      </c>
      <c r="AC847" s="187">
        <v>0</v>
      </c>
      <c r="AD847" s="185">
        <v>51260</v>
      </c>
      <c r="AE847" s="187">
        <v>0</v>
      </c>
      <c r="AF847" s="187">
        <v>0</v>
      </c>
      <c r="AG847" s="187">
        <v>0</v>
      </c>
      <c r="AH847" s="185" t="s">
        <v>989</v>
      </c>
      <c r="AI847" s="185"/>
      <c r="AJ847" s="185"/>
      <c r="AK847" s="185" t="s">
        <v>45</v>
      </c>
      <c r="AL847" s="185" t="s">
        <v>2267</v>
      </c>
      <c r="AM847" s="185" t="s">
        <v>2269</v>
      </c>
      <c r="AN847" s="185"/>
      <c r="AO847" s="186"/>
      <c r="AP847" s="186"/>
      <c r="AQ847" s="184"/>
      <c r="AR847" s="184"/>
      <c r="AS847" s="184"/>
      <c r="AT847" s="184"/>
      <c r="AU847" s="184"/>
      <c r="AV847" s="184"/>
      <c r="AW847" s="184"/>
      <c r="AX847" s="184"/>
      <c r="AY847" s="184"/>
    </row>
    <row r="848" spans="2:51" hidden="1">
      <c r="B848" s="185">
        <v>2183</v>
      </c>
      <c r="C848" s="189">
        <v>77835</v>
      </c>
      <c r="D848" s="185">
        <v>75159</v>
      </c>
      <c r="E848" s="185" t="s">
        <v>2003</v>
      </c>
      <c r="F848" s="185" t="s">
        <v>1747</v>
      </c>
      <c r="G848" s="185"/>
      <c r="H848" s="185"/>
      <c r="I848" s="188">
        <v>1</v>
      </c>
      <c r="J848" s="185"/>
      <c r="K848" s="188">
        <v>0</v>
      </c>
      <c r="L848" s="185" t="s">
        <v>1745</v>
      </c>
      <c r="M848" s="185"/>
      <c r="N848" s="185" t="s">
        <v>2198</v>
      </c>
      <c r="O848" s="185" t="s">
        <v>2184</v>
      </c>
      <c r="P848" s="185"/>
      <c r="Q848" s="185"/>
      <c r="R848" s="185"/>
      <c r="S848" s="186">
        <v>40344</v>
      </c>
      <c r="T848" s="186">
        <v>40344</v>
      </c>
      <c r="U848" s="185" t="s">
        <v>1746</v>
      </c>
      <c r="V848" s="185">
        <v>500</v>
      </c>
      <c r="W848" s="185">
        <v>14070</v>
      </c>
      <c r="X848" s="187">
        <v>12.13</v>
      </c>
      <c r="Y848" s="185">
        <v>14076</v>
      </c>
      <c r="Z848" s="187">
        <v>12.13</v>
      </c>
      <c r="AA848" s="187">
        <v>0</v>
      </c>
      <c r="AB848" s="187">
        <v>0</v>
      </c>
      <c r="AC848" s="187">
        <v>0</v>
      </c>
      <c r="AD848" s="185">
        <v>51260</v>
      </c>
      <c r="AE848" s="187">
        <v>0</v>
      </c>
      <c r="AF848" s="187">
        <v>0</v>
      </c>
      <c r="AG848" s="187">
        <v>0</v>
      </c>
      <c r="AH848" s="185" t="s">
        <v>989</v>
      </c>
      <c r="AI848" s="185"/>
      <c r="AJ848" s="185"/>
      <c r="AK848" s="185" t="s">
        <v>45</v>
      </c>
      <c r="AL848" s="185" t="s">
        <v>2267</v>
      </c>
      <c r="AM848" s="185" t="s">
        <v>2269</v>
      </c>
      <c r="AN848" s="185"/>
      <c r="AO848" s="186"/>
      <c r="AP848" s="186"/>
      <c r="AQ848" s="184"/>
      <c r="AR848" s="184"/>
      <c r="AS848" s="184"/>
      <c r="AT848" s="184"/>
      <c r="AU848" s="184"/>
      <c r="AV848" s="184"/>
      <c r="AW848" s="184"/>
      <c r="AX848" s="184"/>
      <c r="AY848" s="184"/>
    </row>
    <row r="849" spans="2:51" hidden="1">
      <c r="B849" s="185">
        <v>2183</v>
      </c>
      <c r="C849" s="189">
        <v>77834</v>
      </c>
      <c r="D849" s="185">
        <v>75159</v>
      </c>
      <c r="E849" s="185" t="s">
        <v>2003</v>
      </c>
      <c r="F849" s="185" t="s">
        <v>1748</v>
      </c>
      <c r="G849" s="185"/>
      <c r="H849" s="185"/>
      <c r="I849" s="188">
        <v>1</v>
      </c>
      <c r="J849" s="185"/>
      <c r="K849" s="188">
        <v>0</v>
      </c>
      <c r="L849" s="185" t="s">
        <v>1745</v>
      </c>
      <c r="M849" s="185"/>
      <c r="N849" s="185" t="s">
        <v>2198</v>
      </c>
      <c r="O849" s="185" t="s">
        <v>2184</v>
      </c>
      <c r="P849" s="185"/>
      <c r="Q849" s="185"/>
      <c r="R849" s="185"/>
      <c r="S849" s="186">
        <v>40344</v>
      </c>
      <c r="T849" s="186">
        <v>40344</v>
      </c>
      <c r="U849" s="185" t="s">
        <v>1746</v>
      </c>
      <c r="V849" s="185">
        <v>500</v>
      </c>
      <c r="W849" s="185">
        <v>14070</v>
      </c>
      <c r="X849" s="187">
        <v>418.68</v>
      </c>
      <c r="Y849" s="185">
        <v>14076</v>
      </c>
      <c r="Z849" s="187">
        <v>418.68</v>
      </c>
      <c r="AA849" s="187">
        <v>0</v>
      </c>
      <c r="AB849" s="187">
        <v>0</v>
      </c>
      <c r="AC849" s="187">
        <v>0</v>
      </c>
      <c r="AD849" s="185">
        <v>51260</v>
      </c>
      <c r="AE849" s="187">
        <v>0</v>
      </c>
      <c r="AF849" s="187">
        <v>0</v>
      </c>
      <c r="AG849" s="187">
        <v>0</v>
      </c>
      <c r="AH849" s="185" t="s">
        <v>989</v>
      </c>
      <c r="AI849" s="185"/>
      <c r="AJ849" s="185"/>
      <c r="AK849" s="185" t="s">
        <v>45</v>
      </c>
      <c r="AL849" s="185" t="s">
        <v>2267</v>
      </c>
      <c r="AM849" s="185" t="s">
        <v>2269</v>
      </c>
      <c r="AN849" s="185"/>
      <c r="AO849" s="186"/>
      <c r="AP849" s="186"/>
      <c r="AQ849" s="184"/>
      <c r="AR849" s="184"/>
      <c r="AS849" s="184"/>
      <c r="AT849" s="184"/>
      <c r="AU849" s="184"/>
      <c r="AV849" s="184"/>
      <c r="AW849" s="184"/>
      <c r="AX849" s="184"/>
      <c r="AY849" s="184"/>
    </row>
    <row r="850" spans="2:51">
      <c r="B850" s="185">
        <v>2183</v>
      </c>
      <c r="C850" s="189">
        <v>77791</v>
      </c>
      <c r="D850" s="185" t="s">
        <v>989</v>
      </c>
      <c r="E850" s="185" t="s">
        <v>2003</v>
      </c>
      <c r="F850" s="185" t="s">
        <v>1749</v>
      </c>
      <c r="G850" s="185"/>
      <c r="H850" s="185"/>
      <c r="I850" s="188">
        <v>1</v>
      </c>
      <c r="J850" s="185"/>
      <c r="K850" s="188">
        <v>0</v>
      </c>
      <c r="L850" s="185" t="s">
        <v>1750</v>
      </c>
      <c r="M850" s="185"/>
      <c r="N850" s="185" t="s">
        <v>2189</v>
      </c>
      <c r="O850" s="185" t="s">
        <v>2184</v>
      </c>
      <c r="P850" s="185"/>
      <c r="Q850" s="185"/>
      <c r="R850" s="185"/>
      <c r="S850" s="186">
        <v>40435</v>
      </c>
      <c r="T850" s="186">
        <v>40435</v>
      </c>
      <c r="U850" s="185" t="s">
        <v>1751</v>
      </c>
      <c r="V850" s="185">
        <v>1000</v>
      </c>
      <c r="W850" s="185">
        <v>14010</v>
      </c>
      <c r="X850" s="187">
        <v>1098.69</v>
      </c>
      <c r="Y850" s="185">
        <v>14016</v>
      </c>
      <c r="Z850" s="187">
        <v>1098.69</v>
      </c>
      <c r="AA850" s="187">
        <v>0</v>
      </c>
      <c r="AB850" s="187">
        <v>0</v>
      </c>
      <c r="AC850" s="187">
        <v>0</v>
      </c>
      <c r="AD850" s="185">
        <v>57260</v>
      </c>
      <c r="AE850" s="187">
        <v>0</v>
      </c>
      <c r="AF850" s="187">
        <v>0</v>
      </c>
      <c r="AG850" s="187">
        <v>0</v>
      </c>
      <c r="AH850" s="185" t="s">
        <v>989</v>
      </c>
      <c r="AI850" s="185"/>
      <c r="AJ850" s="185"/>
      <c r="AK850" s="185" t="s">
        <v>45</v>
      </c>
      <c r="AL850" s="185" t="s">
        <v>2267</v>
      </c>
      <c r="AM850" s="185" t="s">
        <v>2269</v>
      </c>
      <c r="AN850" s="185"/>
      <c r="AO850" s="186"/>
      <c r="AP850" s="186"/>
      <c r="AQ850" s="184"/>
      <c r="AR850" s="184"/>
      <c r="AS850" s="184"/>
      <c r="AT850" s="184"/>
      <c r="AU850" s="184"/>
      <c r="AV850" s="184"/>
      <c r="AW850" s="184"/>
      <c r="AX850" s="184"/>
      <c r="AY850" s="184"/>
    </row>
    <row r="851" spans="2:51">
      <c r="B851" s="185">
        <v>2183</v>
      </c>
      <c r="C851" s="189">
        <v>77760</v>
      </c>
      <c r="D851" s="185" t="s">
        <v>989</v>
      </c>
      <c r="E851" s="185" t="s">
        <v>2003</v>
      </c>
      <c r="F851" s="185" t="s">
        <v>1752</v>
      </c>
      <c r="G851" s="185"/>
      <c r="H851" s="185"/>
      <c r="I851" s="188">
        <v>1</v>
      </c>
      <c r="J851" s="185" t="s">
        <v>2205</v>
      </c>
      <c r="K851" s="188">
        <v>2010</v>
      </c>
      <c r="L851" s="185" t="s">
        <v>1753</v>
      </c>
      <c r="M851" s="185" t="s">
        <v>1267</v>
      </c>
      <c r="N851" s="185" t="s">
        <v>2183</v>
      </c>
      <c r="O851" s="185" t="s">
        <v>2184</v>
      </c>
      <c r="P851" s="185" t="s">
        <v>2206</v>
      </c>
      <c r="Q851" s="185"/>
      <c r="R851" s="185"/>
      <c r="S851" s="186">
        <v>40452</v>
      </c>
      <c r="T851" s="186">
        <v>40452</v>
      </c>
      <c r="U851" s="185" t="s">
        <v>1754</v>
      </c>
      <c r="V851" s="185">
        <v>900</v>
      </c>
      <c r="W851" s="185">
        <v>14040</v>
      </c>
      <c r="X851" s="187">
        <v>232081.5</v>
      </c>
      <c r="Y851" s="185">
        <v>14046</v>
      </c>
      <c r="Z851" s="187">
        <v>232081.5</v>
      </c>
      <c r="AA851" s="187">
        <v>0</v>
      </c>
      <c r="AB851" s="187">
        <v>0</v>
      </c>
      <c r="AC851" s="187">
        <v>0</v>
      </c>
      <c r="AD851" s="185">
        <v>51260</v>
      </c>
      <c r="AE851" s="187">
        <v>0</v>
      </c>
      <c r="AF851" s="187">
        <v>0</v>
      </c>
      <c r="AG851" s="187">
        <v>0</v>
      </c>
      <c r="AH851" s="185" t="s">
        <v>989</v>
      </c>
      <c r="AI851" s="185"/>
      <c r="AJ851" s="185">
        <v>2035</v>
      </c>
      <c r="AK851" s="185" t="s">
        <v>45</v>
      </c>
      <c r="AL851" s="185" t="s">
        <v>2267</v>
      </c>
      <c r="AM851" s="185" t="s">
        <v>2269</v>
      </c>
      <c r="AN851" s="185"/>
      <c r="AO851" s="186"/>
      <c r="AP851" s="186"/>
      <c r="AQ851" s="184"/>
      <c r="AR851" s="184"/>
      <c r="AS851" s="184"/>
      <c r="AT851" s="184"/>
      <c r="AU851" s="184"/>
      <c r="AV851" s="184"/>
      <c r="AW851" s="184"/>
      <c r="AX851" s="184"/>
      <c r="AY851" s="184"/>
    </row>
    <row r="852" spans="2:51">
      <c r="B852" s="185">
        <v>2183</v>
      </c>
      <c r="C852" s="189">
        <v>77561</v>
      </c>
      <c r="D852" s="185" t="s">
        <v>989</v>
      </c>
      <c r="E852" s="185" t="s">
        <v>2003</v>
      </c>
      <c r="F852" s="185" t="s">
        <v>1755</v>
      </c>
      <c r="G852" s="185"/>
      <c r="H852" s="185"/>
      <c r="I852" s="188">
        <v>1</v>
      </c>
      <c r="J852" s="185"/>
      <c r="K852" s="188">
        <v>0</v>
      </c>
      <c r="L852" s="185" t="s">
        <v>1703</v>
      </c>
      <c r="M852" s="185"/>
      <c r="N852" s="185" t="s">
        <v>2199</v>
      </c>
      <c r="O852" s="185" t="s">
        <v>2184</v>
      </c>
      <c r="P852" s="185"/>
      <c r="Q852" s="185"/>
      <c r="R852" s="185"/>
      <c r="S852" s="186">
        <v>40452</v>
      </c>
      <c r="T852" s="186">
        <v>40452</v>
      </c>
      <c r="U852" s="185" t="s">
        <v>1756</v>
      </c>
      <c r="V852" s="185">
        <v>300</v>
      </c>
      <c r="W852" s="185">
        <v>14110</v>
      </c>
      <c r="X852" s="187">
        <v>20775</v>
      </c>
      <c r="Y852" s="185">
        <v>14116</v>
      </c>
      <c r="Z852" s="187">
        <v>20775</v>
      </c>
      <c r="AA852" s="187">
        <v>0</v>
      </c>
      <c r="AB852" s="187">
        <v>0</v>
      </c>
      <c r="AC852" s="187">
        <v>0</v>
      </c>
      <c r="AD852" s="185">
        <v>70260</v>
      </c>
      <c r="AE852" s="187">
        <v>0</v>
      </c>
      <c r="AF852" s="187">
        <v>0</v>
      </c>
      <c r="AG852" s="187">
        <v>0</v>
      </c>
      <c r="AH852" s="185" t="s">
        <v>989</v>
      </c>
      <c r="AI852" s="185"/>
      <c r="AJ852" s="185"/>
      <c r="AK852" s="185" t="s">
        <v>45</v>
      </c>
      <c r="AL852" s="185" t="s">
        <v>2267</v>
      </c>
      <c r="AM852" s="185" t="s">
        <v>2269</v>
      </c>
      <c r="AN852" s="185"/>
      <c r="AO852" s="186"/>
      <c r="AP852" s="186"/>
      <c r="AQ852" s="184"/>
      <c r="AR852" s="184"/>
      <c r="AS852" s="184"/>
      <c r="AT852" s="184"/>
      <c r="AU852" s="184"/>
      <c r="AV852" s="184"/>
      <c r="AW852" s="184"/>
      <c r="AX852" s="184"/>
      <c r="AY852" s="184"/>
    </row>
    <row r="853" spans="2:51">
      <c r="B853" s="185">
        <v>2183</v>
      </c>
      <c r="C853" s="189">
        <v>77322</v>
      </c>
      <c r="D853" s="185" t="s">
        <v>989</v>
      </c>
      <c r="E853" s="185" t="s">
        <v>2003</v>
      </c>
      <c r="F853" s="185" t="s">
        <v>415</v>
      </c>
      <c r="G853" s="185"/>
      <c r="H853" s="185"/>
      <c r="I853" s="188">
        <v>1</v>
      </c>
      <c r="J853" s="185"/>
      <c r="K853" s="188">
        <v>0</v>
      </c>
      <c r="L853" s="185" t="s">
        <v>1757</v>
      </c>
      <c r="M853" s="185"/>
      <c r="N853" s="185" t="s">
        <v>2196</v>
      </c>
      <c r="O853" s="185" t="s">
        <v>2184</v>
      </c>
      <c r="P853" s="185"/>
      <c r="Q853" s="185"/>
      <c r="R853" s="185"/>
      <c r="S853" s="186">
        <v>40405</v>
      </c>
      <c r="T853" s="186">
        <v>40405</v>
      </c>
      <c r="U853" s="185" t="s">
        <v>1758</v>
      </c>
      <c r="V853" s="185">
        <v>1000</v>
      </c>
      <c r="W853" s="185">
        <v>14080</v>
      </c>
      <c r="X853" s="187">
        <v>1127.8399999999999</v>
      </c>
      <c r="Y853" s="185">
        <v>14086</v>
      </c>
      <c r="Z853" s="187">
        <v>1127.8399999999999</v>
      </c>
      <c r="AA853" s="187">
        <v>0</v>
      </c>
      <c r="AB853" s="187">
        <v>0</v>
      </c>
      <c r="AC853" s="187">
        <v>0</v>
      </c>
      <c r="AD853" s="185">
        <v>57260</v>
      </c>
      <c r="AE853" s="187">
        <v>0</v>
      </c>
      <c r="AF853" s="187">
        <v>0</v>
      </c>
      <c r="AG853" s="187">
        <v>0</v>
      </c>
      <c r="AH853" s="185" t="s">
        <v>989</v>
      </c>
      <c r="AI853" s="185"/>
      <c r="AJ853" s="185"/>
      <c r="AK853" s="185" t="s">
        <v>45</v>
      </c>
      <c r="AL853" s="185" t="s">
        <v>2267</v>
      </c>
      <c r="AM853" s="185" t="s">
        <v>2269</v>
      </c>
      <c r="AN853" s="185"/>
      <c r="AO853" s="186"/>
      <c r="AP853" s="186"/>
      <c r="AQ853" s="184"/>
      <c r="AR853" s="184"/>
      <c r="AS853" s="184"/>
      <c r="AT853" s="184"/>
      <c r="AU853" s="184"/>
      <c r="AV853" s="184"/>
      <c r="AW853" s="184"/>
      <c r="AX853" s="184"/>
      <c r="AY853" s="184"/>
    </row>
    <row r="854" spans="2:51">
      <c r="B854" s="185">
        <v>2183</v>
      </c>
      <c r="C854" s="189">
        <v>77321</v>
      </c>
      <c r="D854" s="185" t="s">
        <v>989</v>
      </c>
      <c r="E854" s="185" t="s">
        <v>2003</v>
      </c>
      <c r="F854" s="185" t="s">
        <v>413</v>
      </c>
      <c r="G854" s="185"/>
      <c r="H854" s="185"/>
      <c r="I854" s="188">
        <v>1</v>
      </c>
      <c r="J854" s="185"/>
      <c r="K854" s="188">
        <v>0</v>
      </c>
      <c r="L854" s="185" t="s">
        <v>1759</v>
      </c>
      <c r="M854" s="185"/>
      <c r="N854" s="185" t="s">
        <v>2196</v>
      </c>
      <c r="O854" s="185" t="s">
        <v>2184</v>
      </c>
      <c r="P854" s="185"/>
      <c r="Q854" s="185"/>
      <c r="R854" s="185"/>
      <c r="S854" s="186">
        <v>40405</v>
      </c>
      <c r="T854" s="186">
        <v>40405</v>
      </c>
      <c r="U854" s="185" t="s">
        <v>1758</v>
      </c>
      <c r="V854" s="185">
        <v>1000</v>
      </c>
      <c r="W854" s="185">
        <v>14080</v>
      </c>
      <c r="X854" s="187">
        <v>790.01</v>
      </c>
      <c r="Y854" s="185">
        <v>14086</v>
      </c>
      <c r="Z854" s="187">
        <v>790.01</v>
      </c>
      <c r="AA854" s="187">
        <v>0</v>
      </c>
      <c r="AB854" s="187">
        <v>0</v>
      </c>
      <c r="AC854" s="187">
        <v>0</v>
      </c>
      <c r="AD854" s="185">
        <v>57260</v>
      </c>
      <c r="AE854" s="187">
        <v>0</v>
      </c>
      <c r="AF854" s="187">
        <v>0</v>
      </c>
      <c r="AG854" s="187">
        <v>0</v>
      </c>
      <c r="AH854" s="185" t="s">
        <v>989</v>
      </c>
      <c r="AI854" s="185"/>
      <c r="AJ854" s="185"/>
      <c r="AK854" s="185" t="s">
        <v>45</v>
      </c>
      <c r="AL854" s="185" t="s">
        <v>2267</v>
      </c>
      <c r="AM854" s="185" t="s">
        <v>2269</v>
      </c>
      <c r="AN854" s="185"/>
      <c r="AO854" s="186"/>
      <c r="AP854" s="186"/>
      <c r="AQ854" s="184"/>
      <c r="AR854" s="184"/>
      <c r="AS854" s="184"/>
      <c r="AT854" s="184"/>
      <c r="AU854" s="184"/>
      <c r="AV854" s="184"/>
      <c r="AW854" s="184"/>
      <c r="AX854" s="184"/>
      <c r="AY854" s="184"/>
    </row>
    <row r="855" spans="2:51">
      <c r="B855" s="185">
        <v>2183</v>
      </c>
      <c r="C855" s="189">
        <v>77218</v>
      </c>
      <c r="D855" s="185" t="s">
        <v>989</v>
      </c>
      <c r="E855" s="185" t="s">
        <v>2003</v>
      </c>
      <c r="F855" s="185" t="s">
        <v>1761</v>
      </c>
      <c r="G855" s="185"/>
      <c r="H855" s="185"/>
      <c r="I855" s="188">
        <v>386</v>
      </c>
      <c r="J855" s="185"/>
      <c r="K855" s="188">
        <v>0</v>
      </c>
      <c r="L855" s="185" t="s">
        <v>1736</v>
      </c>
      <c r="M855" s="185"/>
      <c r="N855" s="185" t="s">
        <v>2190</v>
      </c>
      <c r="O855" s="185" t="s">
        <v>2184</v>
      </c>
      <c r="P855" s="185"/>
      <c r="Q855" s="185"/>
      <c r="R855" s="185"/>
      <c r="S855" s="186">
        <v>40432</v>
      </c>
      <c r="T855" s="186">
        <v>40432</v>
      </c>
      <c r="U855" s="185" t="s">
        <v>1760</v>
      </c>
      <c r="V855" s="185">
        <v>700</v>
      </c>
      <c r="W855" s="185">
        <v>14050</v>
      </c>
      <c r="X855" s="187">
        <v>18687.3</v>
      </c>
      <c r="Y855" s="185">
        <v>14056</v>
      </c>
      <c r="Z855" s="187">
        <v>18687.3</v>
      </c>
      <c r="AA855" s="187">
        <v>0</v>
      </c>
      <c r="AB855" s="187">
        <v>0</v>
      </c>
      <c r="AC855" s="187">
        <v>0</v>
      </c>
      <c r="AD855" s="185">
        <v>54260</v>
      </c>
      <c r="AE855" s="187">
        <v>0</v>
      </c>
      <c r="AF855" s="187">
        <v>0</v>
      </c>
      <c r="AG855" s="187">
        <v>0</v>
      </c>
      <c r="AH855" s="185" t="s">
        <v>989</v>
      </c>
      <c r="AI855" s="185"/>
      <c r="AJ855" s="185"/>
      <c r="AK855" s="185" t="s">
        <v>45</v>
      </c>
      <c r="AL855" s="185" t="s">
        <v>2267</v>
      </c>
      <c r="AM855" s="185" t="s">
        <v>2269</v>
      </c>
      <c r="AN855" s="185"/>
      <c r="AO855" s="186"/>
      <c r="AP855" s="186"/>
      <c r="AQ855" s="184"/>
      <c r="AR855" s="184"/>
      <c r="AS855" s="184"/>
      <c r="AT855" s="184"/>
      <c r="AU855" s="184"/>
      <c r="AV855" s="184"/>
      <c r="AW855" s="184"/>
      <c r="AX855" s="184"/>
      <c r="AY855" s="184"/>
    </row>
    <row r="856" spans="2:51">
      <c r="B856" s="185">
        <v>2183</v>
      </c>
      <c r="C856" s="189">
        <v>77217</v>
      </c>
      <c r="D856" s="185" t="s">
        <v>989</v>
      </c>
      <c r="E856" s="185" t="s">
        <v>2003</v>
      </c>
      <c r="F856" s="185" t="s">
        <v>1762</v>
      </c>
      <c r="G856" s="185"/>
      <c r="H856" s="185"/>
      <c r="I856" s="188">
        <v>486</v>
      </c>
      <c r="J856" s="185"/>
      <c r="K856" s="188">
        <v>0</v>
      </c>
      <c r="L856" s="185" t="s">
        <v>1736</v>
      </c>
      <c r="M856" s="185"/>
      <c r="N856" s="185" t="s">
        <v>2190</v>
      </c>
      <c r="O856" s="185" t="s">
        <v>2184</v>
      </c>
      <c r="P856" s="185"/>
      <c r="Q856" s="185"/>
      <c r="R856" s="185"/>
      <c r="S856" s="186">
        <v>40432</v>
      </c>
      <c r="T856" s="186">
        <v>40432</v>
      </c>
      <c r="U856" s="185" t="s">
        <v>1760</v>
      </c>
      <c r="V856" s="185">
        <v>700</v>
      </c>
      <c r="W856" s="185">
        <v>14050</v>
      </c>
      <c r="X856" s="187">
        <v>24055.88</v>
      </c>
      <c r="Y856" s="185">
        <v>14056</v>
      </c>
      <c r="Z856" s="187">
        <v>24055.88</v>
      </c>
      <c r="AA856" s="187">
        <v>0</v>
      </c>
      <c r="AB856" s="187">
        <v>0</v>
      </c>
      <c r="AC856" s="187">
        <v>0</v>
      </c>
      <c r="AD856" s="185">
        <v>54260</v>
      </c>
      <c r="AE856" s="187">
        <v>0</v>
      </c>
      <c r="AF856" s="187">
        <v>0</v>
      </c>
      <c r="AG856" s="187">
        <v>0</v>
      </c>
      <c r="AH856" s="185" t="s">
        <v>989</v>
      </c>
      <c r="AI856" s="185"/>
      <c r="AJ856" s="185"/>
      <c r="AK856" s="185" t="s">
        <v>45</v>
      </c>
      <c r="AL856" s="185" t="s">
        <v>2267</v>
      </c>
      <c r="AM856" s="185" t="s">
        <v>2269</v>
      </c>
      <c r="AN856" s="185"/>
      <c r="AO856" s="186"/>
      <c r="AP856" s="186"/>
      <c r="AQ856" s="184"/>
      <c r="AR856" s="184"/>
      <c r="AS856" s="184"/>
      <c r="AT856" s="184"/>
      <c r="AU856" s="184"/>
      <c r="AV856" s="184"/>
      <c r="AW856" s="184"/>
      <c r="AX856" s="184"/>
      <c r="AY856" s="184"/>
    </row>
    <row r="857" spans="2:51">
      <c r="B857" s="185">
        <v>2183</v>
      </c>
      <c r="C857" s="189">
        <v>77100</v>
      </c>
      <c r="D857" s="185" t="s">
        <v>989</v>
      </c>
      <c r="E857" s="185" t="s">
        <v>2003</v>
      </c>
      <c r="F857" s="185" t="s">
        <v>1763</v>
      </c>
      <c r="G857" s="185"/>
      <c r="H857" s="185"/>
      <c r="I857" s="188">
        <v>1</v>
      </c>
      <c r="J857" s="185"/>
      <c r="K857" s="188">
        <v>0</v>
      </c>
      <c r="L857" s="185" t="s">
        <v>1750</v>
      </c>
      <c r="M857" s="185"/>
      <c r="N857" s="185" t="s">
        <v>2189</v>
      </c>
      <c r="O857" s="185" t="s">
        <v>2184</v>
      </c>
      <c r="P857" s="185"/>
      <c r="Q857" s="185"/>
      <c r="R857" s="185"/>
      <c r="S857" s="186">
        <v>40435</v>
      </c>
      <c r="T857" s="186">
        <v>40435</v>
      </c>
      <c r="U857" s="185" t="s">
        <v>1751</v>
      </c>
      <c r="V857" s="185">
        <v>1000</v>
      </c>
      <c r="W857" s="185">
        <v>14010</v>
      </c>
      <c r="X857" s="187">
        <v>932.5</v>
      </c>
      <c r="Y857" s="185">
        <v>14016</v>
      </c>
      <c r="Z857" s="187">
        <v>932.5</v>
      </c>
      <c r="AA857" s="187">
        <v>0</v>
      </c>
      <c r="AB857" s="187">
        <v>0</v>
      </c>
      <c r="AC857" s="187">
        <v>0</v>
      </c>
      <c r="AD857" s="185">
        <v>57260</v>
      </c>
      <c r="AE857" s="187">
        <v>0</v>
      </c>
      <c r="AF857" s="187">
        <v>0</v>
      </c>
      <c r="AG857" s="187">
        <v>0</v>
      </c>
      <c r="AH857" s="185" t="s">
        <v>989</v>
      </c>
      <c r="AI857" s="185"/>
      <c r="AJ857" s="185"/>
      <c r="AK857" s="185" t="s">
        <v>45</v>
      </c>
      <c r="AL857" s="185" t="s">
        <v>2267</v>
      </c>
      <c r="AM857" s="185" t="s">
        <v>2269</v>
      </c>
      <c r="AN857" s="185"/>
      <c r="AO857" s="186"/>
      <c r="AP857" s="186"/>
      <c r="AQ857" s="184"/>
      <c r="AR857" s="184"/>
      <c r="AS857" s="184"/>
      <c r="AT857" s="184"/>
      <c r="AU857" s="184"/>
      <c r="AV857" s="184"/>
      <c r="AW857" s="184"/>
      <c r="AX857" s="184"/>
      <c r="AY857" s="184"/>
    </row>
    <row r="858" spans="2:51">
      <c r="B858" s="185">
        <v>2183</v>
      </c>
      <c r="C858" s="189">
        <v>76937</v>
      </c>
      <c r="D858" s="185" t="s">
        <v>989</v>
      </c>
      <c r="E858" s="185" t="s">
        <v>2003</v>
      </c>
      <c r="F858" s="185" t="s">
        <v>1764</v>
      </c>
      <c r="G858" s="185"/>
      <c r="H858" s="185"/>
      <c r="I858" s="188">
        <v>1080</v>
      </c>
      <c r="J858" s="185"/>
      <c r="K858" s="188">
        <v>0</v>
      </c>
      <c r="L858" s="185" t="s">
        <v>1736</v>
      </c>
      <c r="M858" s="185"/>
      <c r="N858" s="185" t="s">
        <v>2190</v>
      </c>
      <c r="O858" s="185" t="s">
        <v>2184</v>
      </c>
      <c r="P858" s="185"/>
      <c r="Q858" s="185"/>
      <c r="R858" s="185"/>
      <c r="S858" s="186">
        <v>40407</v>
      </c>
      <c r="T858" s="186">
        <v>40407</v>
      </c>
      <c r="U858" s="185" t="s">
        <v>1765</v>
      </c>
      <c r="V858" s="185">
        <v>700</v>
      </c>
      <c r="W858" s="185">
        <v>14050</v>
      </c>
      <c r="X858" s="187">
        <v>36068</v>
      </c>
      <c r="Y858" s="185">
        <v>14056</v>
      </c>
      <c r="Z858" s="187">
        <v>36068</v>
      </c>
      <c r="AA858" s="187">
        <v>0</v>
      </c>
      <c r="AB858" s="187">
        <v>0</v>
      </c>
      <c r="AC858" s="187">
        <v>0</v>
      </c>
      <c r="AD858" s="185">
        <v>54260</v>
      </c>
      <c r="AE858" s="187">
        <v>0</v>
      </c>
      <c r="AF858" s="187">
        <v>0</v>
      </c>
      <c r="AG858" s="187">
        <v>0</v>
      </c>
      <c r="AH858" s="185" t="s">
        <v>989</v>
      </c>
      <c r="AI858" s="185"/>
      <c r="AJ858" s="185"/>
      <c r="AK858" s="185" t="s">
        <v>45</v>
      </c>
      <c r="AL858" s="185" t="s">
        <v>2267</v>
      </c>
      <c r="AM858" s="185" t="s">
        <v>2269</v>
      </c>
      <c r="AN858" s="185"/>
      <c r="AO858" s="186"/>
      <c r="AP858" s="186"/>
      <c r="AQ858" s="184"/>
      <c r="AR858" s="184"/>
      <c r="AS858" s="184"/>
      <c r="AT858" s="184"/>
      <c r="AU858" s="184"/>
      <c r="AV858" s="184"/>
      <c r="AW858" s="184"/>
      <c r="AX858" s="184"/>
      <c r="AY858" s="184"/>
    </row>
    <row r="859" spans="2:51">
      <c r="B859" s="185">
        <v>2183</v>
      </c>
      <c r="C859" s="189">
        <v>76800</v>
      </c>
      <c r="D859" s="185" t="s">
        <v>989</v>
      </c>
      <c r="E859" s="185" t="s">
        <v>2003</v>
      </c>
      <c r="F859" s="185" t="s">
        <v>416</v>
      </c>
      <c r="G859" s="185"/>
      <c r="H859" s="185"/>
      <c r="I859" s="188">
        <v>1</v>
      </c>
      <c r="J859" s="185"/>
      <c r="K859" s="188">
        <v>0</v>
      </c>
      <c r="L859" s="185" t="s">
        <v>1766</v>
      </c>
      <c r="M859" s="185"/>
      <c r="N859" s="185" t="s">
        <v>409</v>
      </c>
      <c r="O859" s="185" t="s">
        <v>2184</v>
      </c>
      <c r="P859" s="185"/>
      <c r="Q859" s="185"/>
      <c r="R859" s="185"/>
      <c r="S859" s="186">
        <v>40405</v>
      </c>
      <c r="T859" s="186">
        <v>40405</v>
      </c>
      <c r="U859" s="185" t="s">
        <v>1758</v>
      </c>
      <c r="V859" s="185">
        <v>1000</v>
      </c>
      <c r="W859" s="185">
        <v>14100</v>
      </c>
      <c r="X859" s="187">
        <v>8574.6</v>
      </c>
      <c r="Y859" s="185">
        <v>14106</v>
      </c>
      <c r="Z859" s="187">
        <v>8574.6</v>
      </c>
      <c r="AA859" s="187">
        <v>0</v>
      </c>
      <c r="AB859" s="187">
        <v>0</v>
      </c>
      <c r="AC859" s="187">
        <v>0</v>
      </c>
      <c r="AD859" s="185">
        <v>70260</v>
      </c>
      <c r="AE859" s="187">
        <v>0</v>
      </c>
      <c r="AF859" s="187">
        <v>0</v>
      </c>
      <c r="AG859" s="187">
        <v>0</v>
      </c>
      <c r="AH859" s="185" t="s">
        <v>989</v>
      </c>
      <c r="AI859" s="185"/>
      <c r="AJ859" s="185"/>
      <c r="AK859" s="185" t="s">
        <v>45</v>
      </c>
      <c r="AL859" s="185" t="s">
        <v>2267</v>
      </c>
      <c r="AM859" s="185" t="s">
        <v>2269</v>
      </c>
      <c r="AN859" s="185"/>
      <c r="AO859" s="186"/>
      <c r="AP859" s="186"/>
      <c r="AQ859" s="184"/>
      <c r="AR859" s="184"/>
      <c r="AS859" s="184"/>
      <c r="AT859" s="184"/>
      <c r="AU859" s="184"/>
      <c r="AV859" s="184"/>
      <c r="AW859" s="184"/>
      <c r="AX859" s="184"/>
      <c r="AY859" s="184"/>
    </row>
    <row r="860" spans="2:51" hidden="1">
      <c r="B860" s="185">
        <v>2183</v>
      </c>
      <c r="C860" s="189">
        <v>76744</v>
      </c>
      <c r="D860" s="185">
        <v>76648</v>
      </c>
      <c r="E860" s="185" t="s">
        <v>2003</v>
      </c>
      <c r="F860" s="185" t="s">
        <v>1767</v>
      </c>
      <c r="G860" s="185"/>
      <c r="H860" s="185"/>
      <c r="I860" s="188">
        <v>1</v>
      </c>
      <c r="J860" s="185"/>
      <c r="K860" s="188">
        <v>0</v>
      </c>
      <c r="L860" s="185" t="s">
        <v>1768</v>
      </c>
      <c r="M860" s="185"/>
      <c r="N860" s="185" t="s">
        <v>2189</v>
      </c>
      <c r="O860" s="185" t="s">
        <v>2184</v>
      </c>
      <c r="P860" s="185"/>
      <c r="Q860" s="185"/>
      <c r="R860" s="185"/>
      <c r="S860" s="186">
        <v>40420</v>
      </c>
      <c r="T860" s="186">
        <v>40420</v>
      </c>
      <c r="U860" s="185" t="s">
        <v>1751</v>
      </c>
      <c r="V860" s="185">
        <v>1000</v>
      </c>
      <c r="W860" s="185">
        <v>14010</v>
      </c>
      <c r="X860" s="187">
        <v>15273.58</v>
      </c>
      <c r="Y860" s="185">
        <v>14016</v>
      </c>
      <c r="Z860" s="187">
        <v>15273.58</v>
      </c>
      <c r="AA860" s="187">
        <v>0</v>
      </c>
      <c r="AB860" s="187">
        <v>0</v>
      </c>
      <c r="AC860" s="187">
        <v>0</v>
      </c>
      <c r="AD860" s="185">
        <v>57260</v>
      </c>
      <c r="AE860" s="187">
        <v>0</v>
      </c>
      <c r="AF860" s="187">
        <v>0</v>
      </c>
      <c r="AG860" s="187">
        <v>0</v>
      </c>
      <c r="AH860" s="185" t="s">
        <v>989</v>
      </c>
      <c r="AI860" s="185"/>
      <c r="AJ860" s="185"/>
      <c r="AK860" s="185" t="s">
        <v>45</v>
      </c>
      <c r="AL860" s="185" t="s">
        <v>2267</v>
      </c>
      <c r="AM860" s="185" t="s">
        <v>2269</v>
      </c>
      <c r="AN860" s="185"/>
      <c r="AO860" s="186"/>
      <c r="AP860" s="186"/>
      <c r="AQ860" s="184"/>
      <c r="AR860" s="184"/>
      <c r="AS860" s="184"/>
      <c r="AT860" s="184"/>
      <c r="AU860" s="184"/>
      <c r="AV860" s="184"/>
      <c r="AW860" s="184"/>
      <c r="AX860" s="184"/>
      <c r="AY860" s="184"/>
    </row>
    <row r="861" spans="2:51">
      <c r="B861" s="185">
        <v>2183</v>
      </c>
      <c r="C861" s="189">
        <v>76648</v>
      </c>
      <c r="D861" s="185" t="s">
        <v>989</v>
      </c>
      <c r="E861" s="185" t="s">
        <v>2003</v>
      </c>
      <c r="F861" s="185" t="s">
        <v>411</v>
      </c>
      <c r="G861" s="185"/>
      <c r="H861" s="185"/>
      <c r="I861" s="188">
        <v>1</v>
      </c>
      <c r="J861" s="185"/>
      <c r="K861" s="188">
        <v>0</v>
      </c>
      <c r="L861" s="185" t="s">
        <v>1769</v>
      </c>
      <c r="M861" s="185"/>
      <c r="N861" s="185" t="s">
        <v>2189</v>
      </c>
      <c r="O861" s="185" t="s">
        <v>2184</v>
      </c>
      <c r="P861" s="185"/>
      <c r="Q861" s="185"/>
      <c r="R861" s="185"/>
      <c r="S861" s="186">
        <v>40420</v>
      </c>
      <c r="T861" s="186">
        <v>40420</v>
      </c>
      <c r="U861" s="185" t="s">
        <v>1751</v>
      </c>
      <c r="V861" s="185">
        <v>1000</v>
      </c>
      <c r="W861" s="185">
        <v>14010</v>
      </c>
      <c r="X861" s="187">
        <v>4595.6400000000003</v>
      </c>
      <c r="Y861" s="185">
        <v>14016</v>
      </c>
      <c r="Z861" s="187">
        <v>4595.6400000000003</v>
      </c>
      <c r="AA861" s="187">
        <v>0</v>
      </c>
      <c r="AB861" s="187">
        <v>0</v>
      </c>
      <c r="AC861" s="187">
        <v>0</v>
      </c>
      <c r="AD861" s="185">
        <v>57260</v>
      </c>
      <c r="AE861" s="187">
        <v>0</v>
      </c>
      <c r="AF861" s="187">
        <v>0</v>
      </c>
      <c r="AG861" s="187">
        <v>0</v>
      </c>
      <c r="AH861" s="185" t="s">
        <v>989</v>
      </c>
      <c r="AI861" s="185"/>
      <c r="AJ861" s="185"/>
      <c r="AK861" s="185" t="s">
        <v>45</v>
      </c>
      <c r="AL861" s="185" t="s">
        <v>2267</v>
      </c>
      <c r="AM861" s="185" t="s">
        <v>2269</v>
      </c>
      <c r="AN861" s="185"/>
      <c r="AO861" s="186"/>
      <c r="AP861" s="186"/>
      <c r="AQ861" s="184"/>
      <c r="AR861" s="184"/>
      <c r="AS861" s="184"/>
      <c r="AT861" s="184"/>
      <c r="AU861" s="184"/>
      <c r="AV861" s="184"/>
      <c r="AW861" s="184"/>
      <c r="AX861" s="184"/>
      <c r="AY861" s="184"/>
    </row>
    <row r="862" spans="2:51">
      <c r="B862" s="185">
        <v>2183</v>
      </c>
      <c r="C862" s="189">
        <v>76639</v>
      </c>
      <c r="D862" s="185" t="s">
        <v>989</v>
      </c>
      <c r="E862" s="185" t="s">
        <v>2003</v>
      </c>
      <c r="F862" s="185" t="s">
        <v>414</v>
      </c>
      <c r="G862" s="185"/>
      <c r="H862" s="185"/>
      <c r="I862" s="188">
        <v>1</v>
      </c>
      <c r="J862" s="185"/>
      <c r="K862" s="188">
        <v>0</v>
      </c>
      <c r="L862" s="185" t="s">
        <v>1770</v>
      </c>
      <c r="M862" s="185"/>
      <c r="N862" s="185" t="s">
        <v>2196</v>
      </c>
      <c r="O862" s="185" t="s">
        <v>2184</v>
      </c>
      <c r="P862" s="185"/>
      <c r="Q862" s="185"/>
      <c r="R862" s="185"/>
      <c r="S862" s="186">
        <v>40405</v>
      </c>
      <c r="T862" s="186">
        <v>40405</v>
      </c>
      <c r="U862" s="185" t="s">
        <v>1758</v>
      </c>
      <c r="V862" s="185">
        <v>1000</v>
      </c>
      <c r="W862" s="185">
        <v>14080</v>
      </c>
      <c r="X862" s="187">
        <v>7000</v>
      </c>
      <c r="Y862" s="185">
        <v>14086</v>
      </c>
      <c r="Z862" s="187">
        <v>7000</v>
      </c>
      <c r="AA862" s="187">
        <v>0</v>
      </c>
      <c r="AB862" s="187">
        <v>0</v>
      </c>
      <c r="AC862" s="187">
        <v>0</v>
      </c>
      <c r="AD862" s="185">
        <v>57260</v>
      </c>
      <c r="AE862" s="187">
        <v>0</v>
      </c>
      <c r="AF862" s="187">
        <v>0</v>
      </c>
      <c r="AG862" s="187">
        <v>0</v>
      </c>
      <c r="AH862" s="185" t="s">
        <v>989</v>
      </c>
      <c r="AI862" s="185"/>
      <c r="AJ862" s="185"/>
      <c r="AK862" s="185" t="s">
        <v>45</v>
      </c>
      <c r="AL862" s="185" t="s">
        <v>2267</v>
      </c>
      <c r="AM862" s="185" t="s">
        <v>2269</v>
      </c>
      <c r="AN862" s="185"/>
      <c r="AO862" s="186"/>
      <c r="AP862" s="186"/>
      <c r="AQ862" s="184"/>
      <c r="AR862" s="184"/>
      <c r="AS862" s="184"/>
      <c r="AT862" s="184"/>
      <c r="AU862" s="184"/>
      <c r="AV862" s="184"/>
      <c r="AW862" s="184"/>
      <c r="AX862" s="184"/>
      <c r="AY862" s="184"/>
    </row>
    <row r="863" spans="2:51">
      <c r="B863" s="185">
        <v>2183</v>
      </c>
      <c r="C863" s="189">
        <v>76066</v>
      </c>
      <c r="D863" s="185" t="s">
        <v>989</v>
      </c>
      <c r="E863" s="185" t="s">
        <v>2003</v>
      </c>
      <c r="F863" s="185" t="s">
        <v>417</v>
      </c>
      <c r="G863" s="185"/>
      <c r="H863" s="185"/>
      <c r="I863" s="188">
        <v>1</v>
      </c>
      <c r="J863" s="185"/>
      <c r="K863" s="188">
        <v>0</v>
      </c>
      <c r="L863" s="185" t="s">
        <v>1145</v>
      </c>
      <c r="M863" s="185"/>
      <c r="N863" s="185" t="s">
        <v>2199</v>
      </c>
      <c r="O863" s="185" t="s">
        <v>2184</v>
      </c>
      <c r="P863" s="185"/>
      <c r="Q863" s="185"/>
      <c r="R863" s="185"/>
      <c r="S863" s="186">
        <v>40374</v>
      </c>
      <c r="T863" s="186">
        <v>40374</v>
      </c>
      <c r="U863" s="185" t="s">
        <v>1771</v>
      </c>
      <c r="V863" s="185">
        <v>300</v>
      </c>
      <c r="W863" s="185">
        <v>14110</v>
      </c>
      <c r="X863" s="187">
        <v>1808.47</v>
      </c>
      <c r="Y863" s="185">
        <v>14116</v>
      </c>
      <c r="Z863" s="187">
        <v>1808.47</v>
      </c>
      <c r="AA863" s="187">
        <v>0</v>
      </c>
      <c r="AB863" s="187">
        <v>0</v>
      </c>
      <c r="AC863" s="187">
        <v>0</v>
      </c>
      <c r="AD863" s="185">
        <v>70260</v>
      </c>
      <c r="AE863" s="187">
        <v>0</v>
      </c>
      <c r="AF863" s="187">
        <v>0</v>
      </c>
      <c r="AG863" s="187">
        <v>0</v>
      </c>
      <c r="AH863" s="185" t="s">
        <v>989</v>
      </c>
      <c r="AI863" s="185"/>
      <c r="AJ863" s="185"/>
      <c r="AK863" s="185" t="s">
        <v>45</v>
      </c>
      <c r="AL863" s="185" t="s">
        <v>2267</v>
      </c>
      <c r="AM863" s="185" t="s">
        <v>2269</v>
      </c>
      <c r="AN863" s="185"/>
      <c r="AO863" s="186"/>
      <c r="AP863" s="186"/>
      <c r="AQ863" s="184"/>
      <c r="AR863" s="184"/>
      <c r="AS863" s="184"/>
      <c r="AT863" s="184"/>
      <c r="AU863" s="184"/>
      <c r="AV863" s="184"/>
      <c r="AW863" s="184"/>
      <c r="AX863" s="184"/>
      <c r="AY863" s="184"/>
    </row>
    <row r="864" spans="2:51">
      <c r="B864" s="185">
        <v>2183</v>
      </c>
      <c r="C864" s="189">
        <v>75671</v>
      </c>
      <c r="D864" s="185" t="s">
        <v>989</v>
      </c>
      <c r="E864" s="185" t="s">
        <v>2003</v>
      </c>
      <c r="F864" s="185" t="s">
        <v>1772</v>
      </c>
      <c r="G864" s="185"/>
      <c r="H864" s="185"/>
      <c r="I864" s="188">
        <v>1</v>
      </c>
      <c r="J864" s="185" t="s">
        <v>1773</v>
      </c>
      <c r="K864" s="188">
        <v>2005</v>
      </c>
      <c r="L864" s="185" t="s">
        <v>1774</v>
      </c>
      <c r="M864" s="185" t="s">
        <v>1775</v>
      </c>
      <c r="N864" s="185" t="s">
        <v>2183</v>
      </c>
      <c r="O864" s="185" t="s">
        <v>2184</v>
      </c>
      <c r="P864" s="185" t="s">
        <v>2185</v>
      </c>
      <c r="Q864" s="185"/>
      <c r="R864" s="185"/>
      <c r="S864" s="186">
        <v>40374</v>
      </c>
      <c r="T864" s="186">
        <v>40374</v>
      </c>
      <c r="U864" s="185" t="s">
        <v>1776</v>
      </c>
      <c r="V864" s="185">
        <v>300</v>
      </c>
      <c r="W864" s="185">
        <v>14040</v>
      </c>
      <c r="X864" s="187">
        <v>15000.01</v>
      </c>
      <c r="Y864" s="185">
        <v>14046</v>
      </c>
      <c r="Z864" s="187">
        <v>15000.01</v>
      </c>
      <c r="AA864" s="187">
        <v>0</v>
      </c>
      <c r="AB864" s="187">
        <v>0</v>
      </c>
      <c r="AC864" s="187">
        <v>0</v>
      </c>
      <c r="AD864" s="185">
        <v>51260</v>
      </c>
      <c r="AE864" s="187">
        <v>0</v>
      </c>
      <c r="AF864" s="187">
        <v>0</v>
      </c>
      <c r="AG864" s="187">
        <v>0</v>
      </c>
      <c r="AH864" s="185" t="s">
        <v>989</v>
      </c>
      <c r="AI864" s="185"/>
      <c r="AJ864" s="185">
        <v>6050</v>
      </c>
      <c r="AK864" s="185" t="s">
        <v>45</v>
      </c>
      <c r="AL864" s="185" t="s">
        <v>2267</v>
      </c>
      <c r="AM864" s="185" t="s">
        <v>2269</v>
      </c>
      <c r="AN864" s="185"/>
      <c r="AO864" s="186"/>
      <c r="AP864" s="186"/>
      <c r="AQ864" s="184"/>
      <c r="AR864" s="184"/>
      <c r="AS864" s="184"/>
      <c r="AT864" s="184"/>
      <c r="AU864" s="184"/>
      <c r="AV864" s="184"/>
      <c r="AW864" s="184"/>
      <c r="AX864" s="184"/>
      <c r="AY864" s="184"/>
    </row>
    <row r="865" spans="2:51">
      <c r="B865" s="185">
        <v>2183</v>
      </c>
      <c r="C865" s="189">
        <v>75159</v>
      </c>
      <c r="D865" s="185" t="s">
        <v>989</v>
      </c>
      <c r="E865" s="185" t="s">
        <v>2003</v>
      </c>
      <c r="F865" s="185" t="s">
        <v>1777</v>
      </c>
      <c r="G865" s="185"/>
      <c r="H865" s="185"/>
      <c r="I865" s="188">
        <v>1</v>
      </c>
      <c r="J865" s="185"/>
      <c r="K865" s="188">
        <v>0</v>
      </c>
      <c r="L865" s="185"/>
      <c r="M865" s="185"/>
      <c r="N865" s="185" t="s">
        <v>2198</v>
      </c>
      <c r="O865" s="185" t="s">
        <v>2184</v>
      </c>
      <c r="P865" s="185"/>
      <c r="Q865" s="185"/>
      <c r="R865" s="185"/>
      <c r="S865" s="186">
        <v>40344</v>
      </c>
      <c r="T865" s="186">
        <v>40344</v>
      </c>
      <c r="U865" s="185" t="s">
        <v>1746</v>
      </c>
      <c r="V865" s="185">
        <v>500</v>
      </c>
      <c r="W865" s="185">
        <v>14070</v>
      </c>
      <c r="X865" s="187">
        <v>9526.59</v>
      </c>
      <c r="Y865" s="185">
        <v>14076</v>
      </c>
      <c r="Z865" s="187">
        <v>9526.59</v>
      </c>
      <c r="AA865" s="187">
        <v>0</v>
      </c>
      <c r="AB865" s="187">
        <v>0</v>
      </c>
      <c r="AC865" s="187">
        <v>0</v>
      </c>
      <c r="AD865" s="185">
        <v>51260</v>
      </c>
      <c r="AE865" s="187">
        <v>0</v>
      </c>
      <c r="AF865" s="187">
        <v>0</v>
      </c>
      <c r="AG865" s="187">
        <v>0</v>
      </c>
      <c r="AH865" s="185" t="s">
        <v>989</v>
      </c>
      <c r="AI865" s="185"/>
      <c r="AJ865" s="185"/>
      <c r="AK865" s="185" t="s">
        <v>45</v>
      </c>
      <c r="AL865" s="185" t="s">
        <v>2267</v>
      </c>
      <c r="AM865" s="185" t="s">
        <v>2269</v>
      </c>
      <c r="AN865" s="185"/>
      <c r="AO865" s="186"/>
      <c r="AP865" s="186"/>
      <c r="AQ865" s="184"/>
      <c r="AR865" s="184"/>
      <c r="AS865" s="184"/>
      <c r="AT865" s="184"/>
      <c r="AU865" s="184"/>
      <c r="AV865" s="184"/>
      <c r="AW865" s="184"/>
      <c r="AX865" s="184"/>
      <c r="AY865" s="184"/>
    </row>
    <row r="866" spans="2:51">
      <c r="B866" s="185">
        <v>2183</v>
      </c>
      <c r="C866" s="189">
        <v>73808</v>
      </c>
      <c r="D866" s="185" t="s">
        <v>989</v>
      </c>
      <c r="E866" s="185" t="s">
        <v>2003</v>
      </c>
      <c r="F866" s="185" t="s">
        <v>1711</v>
      </c>
      <c r="G866" s="185"/>
      <c r="H866" s="185"/>
      <c r="I866" s="188">
        <v>396</v>
      </c>
      <c r="J866" s="185"/>
      <c r="K866" s="188">
        <v>0</v>
      </c>
      <c r="L866" s="185" t="s">
        <v>1736</v>
      </c>
      <c r="M866" s="185"/>
      <c r="N866" s="185" t="s">
        <v>2190</v>
      </c>
      <c r="O866" s="185" t="s">
        <v>2184</v>
      </c>
      <c r="P866" s="185"/>
      <c r="Q866" s="185"/>
      <c r="R866" s="185"/>
      <c r="S866" s="186">
        <v>40287</v>
      </c>
      <c r="T866" s="186">
        <v>40287</v>
      </c>
      <c r="U866" s="185" t="s">
        <v>1778</v>
      </c>
      <c r="V866" s="185">
        <v>700</v>
      </c>
      <c r="W866" s="185">
        <v>14050</v>
      </c>
      <c r="X866" s="187">
        <v>19261.66</v>
      </c>
      <c r="Y866" s="185">
        <v>14056</v>
      </c>
      <c r="Z866" s="187">
        <v>19261.66</v>
      </c>
      <c r="AA866" s="187">
        <v>0</v>
      </c>
      <c r="AB866" s="187">
        <v>0</v>
      </c>
      <c r="AC866" s="187">
        <v>0</v>
      </c>
      <c r="AD866" s="185">
        <v>54260</v>
      </c>
      <c r="AE866" s="187">
        <v>0</v>
      </c>
      <c r="AF866" s="187">
        <v>0</v>
      </c>
      <c r="AG866" s="187">
        <v>0</v>
      </c>
      <c r="AH866" s="185" t="s">
        <v>989</v>
      </c>
      <c r="AI866" s="185"/>
      <c r="AJ866" s="185"/>
      <c r="AK866" s="185" t="s">
        <v>45</v>
      </c>
      <c r="AL866" s="185" t="s">
        <v>2267</v>
      </c>
      <c r="AM866" s="185" t="s">
        <v>2269</v>
      </c>
      <c r="AN866" s="185"/>
      <c r="AO866" s="186"/>
      <c r="AP866" s="186"/>
      <c r="AQ866" s="184"/>
      <c r="AR866" s="184"/>
      <c r="AS866" s="184"/>
      <c r="AT866" s="184"/>
      <c r="AU866" s="184"/>
      <c r="AV866" s="184"/>
      <c r="AW866" s="184"/>
      <c r="AX866" s="184"/>
      <c r="AY866" s="184"/>
    </row>
    <row r="867" spans="2:51">
      <c r="B867" s="185">
        <v>2183</v>
      </c>
      <c r="C867" s="189">
        <v>73807</v>
      </c>
      <c r="D867" s="185" t="s">
        <v>989</v>
      </c>
      <c r="E867" s="185" t="s">
        <v>2003</v>
      </c>
      <c r="F867" s="185" t="s">
        <v>1706</v>
      </c>
      <c r="G867" s="185"/>
      <c r="H867" s="185"/>
      <c r="I867" s="188">
        <v>1080</v>
      </c>
      <c r="J867" s="185"/>
      <c r="K867" s="188">
        <v>0</v>
      </c>
      <c r="L867" s="185" t="s">
        <v>1736</v>
      </c>
      <c r="M867" s="185"/>
      <c r="N867" s="185" t="s">
        <v>2190</v>
      </c>
      <c r="O867" s="185" t="s">
        <v>2184</v>
      </c>
      <c r="P867" s="185"/>
      <c r="Q867" s="185"/>
      <c r="R867" s="185"/>
      <c r="S867" s="186">
        <v>40281</v>
      </c>
      <c r="T867" s="186">
        <v>40281</v>
      </c>
      <c r="U867" s="185" t="s">
        <v>1779</v>
      </c>
      <c r="V867" s="185">
        <v>700</v>
      </c>
      <c r="W867" s="185">
        <v>14050</v>
      </c>
      <c r="X867" s="187">
        <v>36044.57</v>
      </c>
      <c r="Y867" s="185">
        <v>14056</v>
      </c>
      <c r="Z867" s="187">
        <v>36044.57</v>
      </c>
      <c r="AA867" s="187">
        <v>0</v>
      </c>
      <c r="AB867" s="187">
        <v>0</v>
      </c>
      <c r="AC867" s="187">
        <v>0</v>
      </c>
      <c r="AD867" s="185">
        <v>54260</v>
      </c>
      <c r="AE867" s="187">
        <v>0</v>
      </c>
      <c r="AF867" s="187">
        <v>0</v>
      </c>
      <c r="AG867" s="187">
        <v>0</v>
      </c>
      <c r="AH867" s="185" t="s">
        <v>989</v>
      </c>
      <c r="AI867" s="185"/>
      <c r="AJ867" s="185"/>
      <c r="AK867" s="185" t="s">
        <v>45</v>
      </c>
      <c r="AL867" s="185" t="s">
        <v>2267</v>
      </c>
      <c r="AM867" s="185" t="s">
        <v>2269</v>
      </c>
      <c r="AN867" s="185"/>
      <c r="AO867" s="186"/>
      <c r="AP867" s="186"/>
      <c r="AQ867" s="184"/>
      <c r="AR867" s="184"/>
      <c r="AS867" s="184"/>
      <c r="AT867" s="184"/>
      <c r="AU867" s="184"/>
      <c r="AV867" s="184"/>
      <c r="AW867" s="184"/>
      <c r="AX867" s="184"/>
      <c r="AY867" s="184"/>
    </row>
    <row r="868" spans="2:51">
      <c r="B868" s="185">
        <v>2183</v>
      </c>
      <c r="C868" s="189">
        <v>71310</v>
      </c>
      <c r="D868" s="185" t="s">
        <v>989</v>
      </c>
      <c r="E868" s="185" t="s">
        <v>2003</v>
      </c>
      <c r="F868" s="185" t="s">
        <v>1780</v>
      </c>
      <c r="G868" s="185"/>
      <c r="H868" s="185"/>
      <c r="I868" s="188">
        <v>486</v>
      </c>
      <c r="J868" s="185"/>
      <c r="K868" s="188">
        <v>0</v>
      </c>
      <c r="L868" s="185" t="s">
        <v>1736</v>
      </c>
      <c r="M868" s="185"/>
      <c r="N868" s="185" t="s">
        <v>2190</v>
      </c>
      <c r="O868" s="185" t="s">
        <v>2184</v>
      </c>
      <c r="P868" s="185"/>
      <c r="Q868" s="185"/>
      <c r="R868" s="185"/>
      <c r="S868" s="186">
        <v>40154</v>
      </c>
      <c r="T868" s="186">
        <v>40154</v>
      </c>
      <c r="U868" s="185" t="s">
        <v>1781</v>
      </c>
      <c r="V868" s="185">
        <v>700</v>
      </c>
      <c r="W868" s="185">
        <v>14050</v>
      </c>
      <c r="X868" s="187">
        <v>24198.25</v>
      </c>
      <c r="Y868" s="185">
        <v>14056</v>
      </c>
      <c r="Z868" s="187">
        <v>24198.25</v>
      </c>
      <c r="AA868" s="187">
        <v>0</v>
      </c>
      <c r="AB868" s="187">
        <v>0</v>
      </c>
      <c r="AC868" s="187">
        <v>0</v>
      </c>
      <c r="AD868" s="185">
        <v>54260</v>
      </c>
      <c r="AE868" s="187">
        <v>0</v>
      </c>
      <c r="AF868" s="187">
        <v>0</v>
      </c>
      <c r="AG868" s="187">
        <v>0</v>
      </c>
      <c r="AH868" s="185" t="s">
        <v>989</v>
      </c>
      <c r="AI868" s="185"/>
      <c r="AJ868" s="185"/>
      <c r="AK868" s="185" t="s">
        <v>45</v>
      </c>
      <c r="AL868" s="185" t="s">
        <v>2267</v>
      </c>
      <c r="AM868" s="185" t="s">
        <v>2269</v>
      </c>
      <c r="AN868" s="185"/>
      <c r="AO868" s="186"/>
      <c r="AP868" s="186"/>
      <c r="AQ868" s="184"/>
      <c r="AR868" s="184"/>
      <c r="AS868" s="184"/>
      <c r="AT868" s="184"/>
      <c r="AU868" s="184"/>
      <c r="AV868" s="184"/>
      <c r="AW868" s="184"/>
      <c r="AX868" s="184"/>
      <c r="AY868" s="184"/>
    </row>
    <row r="869" spans="2:51">
      <c r="B869" s="185">
        <v>2183</v>
      </c>
      <c r="C869" s="189">
        <v>70659</v>
      </c>
      <c r="D869" s="185" t="s">
        <v>989</v>
      </c>
      <c r="E869" s="185" t="s">
        <v>2003</v>
      </c>
      <c r="F869" s="185" t="s">
        <v>1782</v>
      </c>
      <c r="G869" s="185"/>
      <c r="H869" s="185"/>
      <c r="I869" s="188">
        <v>846</v>
      </c>
      <c r="J869" s="185"/>
      <c r="K869" s="188">
        <v>0</v>
      </c>
      <c r="L869" s="185" t="s">
        <v>1736</v>
      </c>
      <c r="M869" s="185"/>
      <c r="N869" s="185" t="s">
        <v>2190</v>
      </c>
      <c r="O869" s="185" t="s">
        <v>2184</v>
      </c>
      <c r="P869" s="185"/>
      <c r="Q869" s="185"/>
      <c r="R869" s="185"/>
      <c r="S869" s="186">
        <v>40137</v>
      </c>
      <c r="T869" s="186">
        <v>40137</v>
      </c>
      <c r="U869" s="185" t="s">
        <v>1781</v>
      </c>
      <c r="V869" s="185">
        <v>700</v>
      </c>
      <c r="W869" s="185">
        <v>14050</v>
      </c>
      <c r="X869" s="187">
        <v>29308.86</v>
      </c>
      <c r="Y869" s="185">
        <v>14056</v>
      </c>
      <c r="Z869" s="187">
        <v>29308.86</v>
      </c>
      <c r="AA869" s="187">
        <v>0</v>
      </c>
      <c r="AB869" s="187">
        <v>0</v>
      </c>
      <c r="AC869" s="187">
        <v>0</v>
      </c>
      <c r="AD869" s="185">
        <v>54260</v>
      </c>
      <c r="AE869" s="187">
        <v>0</v>
      </c>
      <c r="AF869" s="187">
        <v>0</v>
      </c>
      <c r="AG869" s="187">
        <v>0</v>
      </c>
      <c r="AH869" s="185" t="s">
        <v>989</v>
      </c>
      <c r="AI869" s="185"/>
      <c r="AJ869" s="185"/>
      <c r="AK869" s="185" t="s">
        <v>45</v>
      </c>
      <c r="AL869" s="185" t="s">
        <v>2267</v>
      </c>
      <c r="AM869" s="185" t="s">
        <v>2269</v>
      </c>
      <c r="AN869" s="185"/>
      <c r="AO869" s="186"/>
      <c r="AP869" s="186"/>
      <c r="AQ869" s="184"/>
      <c r="AR869" s="184"/>
      <c r="AS869" s="184"/>
      <c r="AT869" s="184"/>
      <c r="AU869" s="184"/>
      <c r="AV869" s="184"/>
      <c r="AW869" s="184"/>
      <c r="AX869" s="184"/>
      <c r="AY869" s="184"/>
    </row>
    <row r="870" spans="2:51">
      <c r="B870" s="185">
        <v>2183</v>
      </c>
      <c r="C870" s="189">
        <v>68612</v>
      </c>
      <c r="D870" s="185" t="s">
        <v>989</v>
      </c>
      <c r="E870" s="185" t="s">
        <v>2003</v>
      </c>
      <c r="F870" s="185" t="s">
        <v>1527</v>
      </c>
      <c r="G870" s="185"/>
      <c r="H870" s="185"/>
      <c r="I870" s="188">
        <v>1</v>
      </c>
      <c r="J870" s="185"/>
      <c r="K870" s="188">
        <v>0</v>
      </c>
      <c r="L870" s="185" t="s">
        <v>788</v>
      </c>
      <c r="M870" s="185"/>
      <c r="N870" s="185" t="s">
        <v>2198</v>
      </c>
      <c r="O870" s="185" t="s">
        <v>2184</v>
      </c>
      <c r="P870" s="185"/>
      <c r="Q870" s="185"/>
      <c r="R870" s="185"/>
      <c r="S870" s="186">
        <v>40025</v>
      </c>
      <c r="T870" s="186">
        <v>40025</v>
      </c>
      <c r="U870" s="185" t="s">
        <v>1783</v>
      </c>
      <c r="V870" s="185">
        <v>500</v>
      </c>
      <c r="W870" s="185">
        <v>14070</v>
      </c>
      <c r="X870" s="187">
        <v>14393.06</v>
      </c>
      <c r="Y870" s="185">
        <v>14076</v>
      </c>
      <c r="Z870" s="187">
        <v>14393.06</v>
      </c>
      <c r="AA870" s="187">
        <v>0</v>
      </c>
      <c r="AB870" s="187">
        <v>0</v>
      </c>
      <c r="AC870" s="187">
        <v>0</v>
      </c>
      <c r="AD870" s="185">
        <v>51260</v>
      </c>
      <c r="AE870" s="187">
        <v>0</v>
      </c>
      <c r="AF870" s="187">
        <v>0</v>
      </c>
      <c r="AG870" s="187">
        <v>0</v>
      </c>
      <c r="AH870" s="185" t="s">
        <v>989</v>
      </c>
      <c r="AI870" s="185"/>
      <c r="AJ870" s="185"/>
      <c r="AK870" s="185" t="s">
        <v>45</v>
      </c>
      <c r="AL870" s="185" t="s">
        <v>2267</v>
      </c>
      <c r="AM870" s="185" t="s">
        <v>2269</v>
      </c>
      <c r="AN870" s="185"/>
      <c r="AO870" s="186"/>
      <c r="AP870" s="186"/>
      <c r="AQ870" s="184"/>
      <c r="AR870" s="184"/>
      <c r="AS870" s="184"/>
      <c r="AT870" s="184"/>
      <c r="AU870" s="184"/>
      <c r="AV870" s="184"/>
      <c r="AW870" s="184"/>
      <c r="AX870" s="184"/>
      <c r="AY870" s="184"/>
    </row>
    <row r="871" spans="2:51">
      <c r="B871" s="185">
        <v>2183</v>
      </c>
      <c r="C871" s="189">
        <v>68611</v>
      </c>
      <c r="D871" s="185" t="s">
        <v>989</v>
      </c>
      <c r="E871" s="185" t="s">
        <v>2003</v>
      </c>
      <c r="F871" s="185" t="s">
        <v>1527</v>
      </c>
      <c r="G871" s="185"/>
      <c r="H871" s="185"/>
      <c r="I871" s="188">
        <v>1</v>
      </c>
      <c r="J871" s="185"/>
      <c r="K871" s="188">
        <v>0</v>
      </c>
      <c r="L871" s="185" t="s">
        <v>788</v>
      </c>
      <c r="M871" s="185"/>
      <c r="N871" s="185" t="s">
        <v>2198</v>
      </c>
      <c r="O871" s="185" t="s">
        <v>2184</v>
      </c>
      <c r="P871" s="185"/>
      <c r="Q871" s="185"/>
      <c r="R871" s="185"/>
      <c r="S871" s="186">
        <v>40025</v>
      </c>
      <c r="T871" s="186">
        <v>40025</v>
      </c>
      <c r="U871" s="185" t="s">
        <v>1783</v>
      </c>
      <c r="V871" s="185">
        <v>500</v>
      </c>
      <c r="W871" s="185">
        <v>14070</v>
      </c>
      <c r="X871" s="187">
        <v>-1085</v>
      </c>
      <c r="Y871" s="185">
        <v>14076</v>
      </c>
      <c r="Z871" s="187">
        <v>-1085</v>
      </c>
      <c r="AA871" s="187">
        <v>0</v>
      </c>
      <c r="AB871" s="187">
        <v>0</v>
      </c>
      <c r="AC871" s="187">
        <v>0</v>
      </c>
      <c r="AD871" s="185">
        <v>51260</v>
      </c>
      <c r="AE871" s="187">
        <v>0</v>
      </c>
      <c r="AF871" s="187">
        <v>0</v>
      </c>
      <c r="AG871" s="187">
        <v>0</v>
      </c>
      <c r="AH871" s="185" t="s">
        <v>989</v>
      </c>
      <c r="AI871" s="185"/>
      <c r="AJ871" s="185"/>
      <c r="AK871" s="185" t="s">
        <v>45</v>
      </c>
      <c r="AL871" s="185" t="s">
        <v>2267</v>
      </c>
      <c r="AM871" s="185" t="s">
        <v>2269</v>
      </c>
      <c r="AN871" s="185"/>
      <c r="AO871" s="186"/>
      <c r="AP871" s="186"/>
      <c r="AQ871" s="184"/>
      <c r="AR871" s="184"/>
      <c r="AS871" s="184"/>
      <c r="AT871" s="184"/>
      <c r="AU871" s="184"/>
      <c r="AV871" s="184"/>
      <c r="AW871" s="184"/>
      <c r="AX871" s="184"/>
      <c r="AY871" s="184"/>
    </row>
    <row r="872" spans="2:51">
      <c r="B872" s="185">
        <v>2183</v>
      </c>
      <c r="C872" s="189">
        <v>68178</v>
      </c>
      <c r="D872" s="185" t="s">
        <v>989</v>
      </c>
      <c r="E872" s="185" t="s">
        <v>2003</v>
      </c>
      <c r="F872" s="185" t="s">
        <v>1785</v>
      </c>
      <c r="G872" s="185"/>
      <c r="H872" s="185"/>
      <c r="I872" s="188">
        <v>243</v>
      </c>
      <c r="J872" s="185"/>
      <c r="K872" s="188">
        <v>0</v>
      </c>
      <c r="L872" s="185" t="s">
        <v>1736</v>
      </c>
      <c r="M872" s="185"/>
      <c r="N872" s="185" t="s">
        <v>2190</v>
      </c>
      <c r="O872" s="185" t="s">
        <v>2184</v>
      </c>
      <c r="P872" s="185"/>
      <c r="Q872" s="185"/>
      <c r="R872" s="185"/>
      <c r="S872" s="186">
        <v>40001</v>
      </c>
      <c r="T872" s="186">
        <v>40001</v>
      </c>
      <c r="U872" s="185" t="s">
        <v>1784</v>
      </c>
      <c r="V872" s="185">
        <v>700</v>
      </c>
      <c r="W872" s="185">
        <v>14050</v>
      </c>
      <c r="X872" s="187">
        <v>11698.36</v>
      </c>
      <c r="Y872" s="185">
        <v>14056</v>
      </c>
      <c r="Z872" s="187">
        <v>11698.36</v>
      </c>
      <c r="AA872" s="187">
        <v>0</v>
      </c>
      <c r="AB872" s="187">
        <v>0</v>
      </c>
      <c r="AC872" s="187">
        <v>0</v>
      </c>
      <c r="AD872" s="185">
        <v>54260</v>
      </c>
      <c r="AE872" s="187">
        <v>0</v>
      </c>
      <c r="AF872" s="187">
        <v>0</v>
      </c>
      <c r="AG872" s="187">
        <v>0</v>
      </c>
      <c r="AH872" s="185" t="s">
        <v>989</v>
      </c>
      <c r="AI872" s="185"/>
      <c r="AJ872" s="185"/>
      <c r="AK872" s="185" t="s">
        <v>45</v>
      </c>
      <c r="AL872" s="185" t="s">
        <v>2267</v>
      </c>
      <c r="AM872" s="185" t="s">
        <v>2269</v>
      </c>
      <c r="AN872" s="185"/>
      <c r="AO872" s="186"/>
      <c r="AP872" s="186"/>
      <c r="AQ872" s="184"/>
      <c r="AR872" s="184"/>
      <c r="AS872" s="184"/>
      <c r="AT872" s="184"/>
      <c r="AU872" s="184"/>
      <c r="AV872" s="184"/>
      <c r="AW872" s="184"/>
      <c r="AX872" s="184"/>
      <c r="AY872" s="184"/>
    </row>
    <row r="873" spans="2:51">
      <c r="B873" s="185">
        <v>2183</v>
      </c>
      <c r="C873" s="189">
        <v>67258</v>
      </c>
      <c r="D873" s="185" t="s">
        <v>989</v>
      </c>
      <c r="E873" s="185" t="s">
        <v>2003</v>
      </c>
      <c r="F873" s="185" t="s">
        <v>1529</v>
      </c>
      <c r="G873" s="185"/>
      <c r="H873" s="185"/>
      <c r="I873" s="188">
        <v>1</v>
      </c>
      <c r="J873" s="185"/>
      <c r="K873" s="188">
        <v>0</v>
      </c>
      <c r="L873" s="185" t="s">
        <v>788</v>
      </c>
      <c r="M873" s="185"/>
      <c r="N873" s="185" t="s">
        <v>2198</v>
      </c>
      <c r="O873" s="185" t="s">
        <v>2184</v>
      </c>
      <c r="P873" s="185"/>
      <c r="Q873" s="185"/>
      <c r="R873" s="185"/>
      <c r="S873" s="186">
        <v>39994</v>
      </c>
      <c r="T873" s="186">
        <v>39994</v>
      </c>
      <c r="U873" s="185" t="s">
        <v>1783</v>
      </c>
      <c r="V873" s="185">
        <v>500</v>
      </c>
      <c r="W873" s="185">
        <v>14070</v>
      </c>
      <c r="X873" s="187">
        <v>42016.67</v>
      </c>
      <c r="Y873" s="185">
        <v>14076</v>
      </c>
      <c r="Z873" s="187">
        <v>42016.67</v>
      </c>
      <c r="AA873" s="187">
        <v>0</v>
      </c>
      <c r="AB873" s="187">
        <v>0</v>
      </c>
      <c r="AC873" s="187">
        <v>0</v>
      </c>
      <c r="AD873" s="185">
        <v>51260</v>
      </c>
      <c r="AE873" s="187">
        <v>0</v>
      </c>
      <c r="AF873" s="187">
        <v>0</v>
      </c>
      <c r="AG873" s="187">
        <v>0</v>
      </c>
      <c r="AH873" s="185" t="s">
        <v>989</v>
      </c>
      <c r="AI873" s="185"/>
      <c r="AJ873" s="185"/>
      <c r="AK873" s="185" t="s">
        <v>45</v>
      </c>
      <c r="AL873" s="185" t="s">
        <v>2267</v>
      </c>
      <c r="AM873" s="185" t="s">
        <v>2269</v>
      </c>
      <c r="AN873" s="185"/>
      <c r="AO873" s="186"/>
      <c r="AP873" s="186"/>
      <c r="AQ873" s="184"/>
      <c r="AR873" s="184"/>
      <c r="AS873" s="184"/>
      <c r="AT873" s="184"/>
      <c r="AU873" s="184"/>
      <c r="AV873" s="184"/>
      <c r="AW873" s="184"/>
      <c r="AX873" s="184"/>
      <c r="AY873" s="184"/>
    </row>
    <row r="874" spans="2:51" hidden="1">
      <c r="B874" s="185">
        <v>2183</v>
      </c>
      <c r="C874" s="189">
        <v>67016</v>
      </c>
      <c r="D874" s="185">
        <v>67015</v>
      </c>
      <c r="E874" s="185" t="s">
        <v>2003</v>
      </c>
      <c r="F874" s="185" t="s">
        <v>1786</v>
      </c>
      <c r="G874" s="185"/>
      <c r="H874" s="185"/>
      <c r="I874" s="188">
        <v>1</v>
      </c>
      <c r="J874" s="185">
        <v>272641</v>
      </c>
      <c r="K874" s="188">
        <v>1996</v>
      </c>
      <c r="L874" s="185"/>
      <c r="M874" s="185"/>
      <c r="N874" s="185" t="s">
        <v>2183</v>
      </c>
      <c r="O874" s="185" t="s">
        <v>2184</v>
      </c>
      <c r="P874" s="185" t="s">
        <v>1028</v>
      </c>
      <c r="Q874" s="185"/>
      <c r="R874" s="185"/>
      <c r="S874" s="186">
        <v>39965</v>
      </c>
      <c r="T874" s="186">
        <v>39965</v>
      </c>
      <c r="U874" s="185" t="s">
        <v>1787</v>
      </c>
      <c r="V874" s="185">
        <v>300</v>
      </c>
      <c r="W874" s="185">
        <v>14040</v>
      </c>
      <c r="X874" s="187">
        <v>3096.41</v>
      </c>
      <c r="Y874" s="185">
        <v>14046</v>
      </c>
      <c r="Z874" s="187">
        <v>3096.41</v>
      </c>
      <c r="AA874" s="187">
        <v>0</v>
      </c>
      <c r="AB874" s="187">
        <v>0</v>
      </c>
      <c r="AC874" s="187">
        <v>0</v>
      </c>
      <c r="AD874" s="185">
        <v>51260</v>
      </c>
      <c r="AE874" s="187">
        <v>0</v>
      </c>
      <c r="AF874" s="187">
        <v>0</v>
      </c>
      <c r="AG874" s="187">
        <v>0</v>
      </c>
      <c r="AH874" s="185" t="s">
        <v>989</v>
      </c>
      <c r="AI874" s="185"/>
      <c r="AJ874" s="185">
        <v>4511</v>
      </c>
      <c r="AK874" s="185" t="s">
        <v>45</v>
      </c>
      <c r="AL874" s="185" t="s">
        <v>2267</v>
      </c>
      <c r="AM874" s="185" t="s">
        <v>2269</v>
      </c>
      <c r="AN874" s="185"/>
      <c r="AO874" s="186"/>
      <c r="AP874" s="186"/>
      <c r="AQ874" s="184"/>
      <c r="AR874" s="184"/>
      <c r="AS874" s="184"/>
      <c r="AT874" s="184"/>
      <c r="AU874" s="184"/>
      <c r="AV874" s="184"/>
      <c r="AW874" s="184"/>
      <c r="AX874" s="184"/>
      <c r="AY874" s="184"/>
    </row>
    <row r="875" spans="2:51">
      <c r="B875" s="185">
        <v>2183</v>
      </c>
      <c r="C875" s="189">
        <v>67015</v>
      </c>
      <c r="D875" s="185" t="s">
        <v>989</v>
      </c>
      <c r="E875" s="185" t="s">
        <v>2003</v>
      </c>
      <c r="F875" s="185" t="s">
        <v>1788</v>
      </c>
      <c r="G875" s="185"/>
      <c r="H875" s="185"/>
      <c r="I875" s="188">
        <v>1</v>
      </c>
      <c r="J875" s="185" t="s">
        <v>1789</v>
      </c>
      <c r="K875" s="188">
        <v>1996</v>
      </c>
      <c r="L875" s="185" t="s">
        <v>1308</v>
      </c>
      <c r="M875" s="185" t="s">
        <v>1186</v>
      </c>
      <c r="N875" s="185" t="s">
        <v>2183</v>
      </c>
      <c r="O875" s="185" t="s">
        <v>2184</v>
      </c>
      <c r="P875" s="185" t="s">
        <v>2204</v>
      </c>
      <c r="Q875" s="185"/>
      <c r="R875" s="185"/>
      <c r="S875" s="186">
        <v>39755</v>
      </c>
      <c r="T875" s="186">
        <v>39755</v>
      </c>
      <c r="U875" s="185"/>
      <c r="V875" s="185">
        <v>300</v>
      </c>
      <c r="W875" s="185">
        <v>14040</v>
      </c>
      <c r="X875" s="187">
        <v>21500</v>
      </c>
      <c r="Y875" s="185">
        <v>14046</v>
      </c>
      <c r="Z875" s="187">
        <v>21500</v>
      </c>
      <c r="AA875" s="187">
        <v>0</v>
      </c>
      <c r="AB875" s="187">
        <v>0</v>
      </c>
      <c r="AC875" s="187">
        <v>0</v>
      </c>
      <c r="AD875" s="185">
        <v>51260</v>
      </c>
      <c r="AE875" s="187">
        <v>0</v>
      </c>
      <c r="AF875" s="187">
        <v>0</v>
      </c>
      <c r="AG875" s="187">
        <v>0</v>
      </c>
      <c r="AH875" s="185" t="s">
        <v>994</v>
      </c>
      <c r="AI875" s="185" t="s">
        <v>1050</v>
      </c>
      <c r="AJ875" s="185">
        <v>4511</v>
      </c>
      <c r="AK875" s="185" t="s">
        <v>45</v>
      </c>
      <c r="AL875" s="185" t="s">
        <v>2267</v>
      </c>
      <c r="AM875" s="185" t="s">
        <v>2269</v>
      </c>
      <c r="AN875" s="185"/>
      <c r="AO875" s="186"/>
      <c r="AP875" s="186"/>
      <c r="AQ875" s="184"/>
      <c r="AR875" s="184"/>
      <c r="AS875" s="184"/>
      <c r="AT875" s="184"/>
      <c r="AU875" s="184"/>
      <c r="AV875" s="184"/>
      <c r="AW875" s="184"/>
      <c r="AX875" s="184"/>
      <c r="AY875" s="184"/>
    </row>
    <row r="876" spans="2:51">
      <c r="B876" s="185">
        <v>2183</v>
      </c>
      <c r="C876" s="189">
        <v>66604</v>
      </c>
      <c r="D876" s="185" t="s">
        <v>989</v>
      </c>
      <c r="E876" s="185" t="s">
        <v>2003</v>
      </c>
      <c r="F876" s="185" t="s">
        <v>1790</v>
      </c>
      <c r="G876" s="185"/>
      <c r="H876" s="185"/>
      <c r="I876" s="188">
        <v>1</v>
      </c>
      <c r="J876" s="185"/>
      <c r="K876" s="188">
        <v>0</v>
      </c>
      <c r="L876" s="185" t="s">
        <v>1791</v>
      </c>
      <c r="M876" s="185"/>
      <c r="N876" s="185" t="s">
        <v>2198</v>
      </c>
      <c r="O876" s="185" t="s">
        <v>2184</v>
      </c>
      <c r="P876" s="185"/>
      <c r="Q876" s="185"/>
      <c r="R876" s="185"/>
      <c r="S876" s="186">
        <v>39995</v>
      </c>
      <c r="T876" s="186">
        <v>39995</v>
      </c>
      <c r="U876" s="185" t="s">
        <v>1792</v>
      </c>
      <c r="V876" s="185">
        <v>500</v>
      </c>
      <c r="W876" s="185">
        <v>14070</v>
      </c>
      <c r="X876" s="187">
        <v>2347.9299999999998</v>
      </c>
      <c r="Y876" s="185">
        <v>14076</v>
      </c>
      <c r="Z876" s="187">
        <v>2347.9299999999998</v>
      </c>
      <c r="AA876" s="187">
        <v>0</v>
      </c>
      <c r="AB876" s="187">
        <v>0</v>
      </c>
      <c r="AC876" s="187">
        <v>0</v>
      </c>
      <c r="AD876" s="185">
        <v>51260</v>
      </c>
      <c r="AE876" s="187">
        <v>0</v>
      </c>
      <c r="AF876" s="187">
        <v>0</v>
      </c>
      <c r="AG876" s="187">
        <v>0</v>
      </c>
      <c r="AH876" s="185" t="s">
        <v>989</v>
      </c>
      <c r="AI876" s="185"/>
      <c r="AJ876" s="185"/>
      <c r="AK876" s="185" t="s">
        <v>45</v>
      </c>
      <c r="AL876" s="185" t="s">
        <v>2267</v>
      </c>
      <c r="AM876" s="185" t="s">
        <v>2269</v>
      </c>
      <c r="AN876" s="185"/>
      <c r="AO876" s="186"/>
      <c r="AP876" s="186"/>
      <c r="AQ876" s="184"/>
      <c r="AR876" s="184"/>
      <c r="AS876" s="184"/>
      <c r="AT876" s="184"/>
      <c r="AU876" s="184"/>
      <c r="AV876" s="184"/>
      <c r="AW876" s="184"/>
      <c r="AX876" s="184"/>
      <c r="AY876" s="184"/>
    </row>
    <row r="877" spans="2:51">
      <c r="B877" s="185">
        <v>2183</v>
      </c>
      <c r="C877" s="189">
        <v>66103</v>
      </c>
      <c r="D877" s="185" t="s">
        <v>989</v>
      </c>
      <c r="E877" s="185" t="s">
        <v>2003</v>
      </c>
      <c r="F877" s="185" t="s">
        <v>1695</v>
      </c>
      <c r="G877" s="185"/>
      <c r="H877" s="185"/>
      <c r="I877" s="188">
        <v>540</v>
      </c>
      <c r="J877" s="185"/>
      <c r="K877" s="188">
        <v>0</v>
      </c>
      <c r="L877" s="185" t="s">
        <v>1736</v>
      </c>
      <c r="M877" s="185"/>
      <c r="N877" s="185" t="s">
        <v>2190</v>
      </c>
      <c r="O877" s="185" t="s">
        <v>2184</v>
      </c>
      <c r="P877" s="185"/>
      <c r="Q877" s="185"/>
      <c r="R877" s="185"/>
      <c r="S877" s="186">
        <v>40001</v>
      </c>
      <c r="T877" s="186">
        <v>40001</v>
      </c>
      <c r="U877" s="185" t="s">
        <v>1784</v>
      </c>
      <c r="V877" s="185">
        <v>700</v>
      </c>
      <c r="W877" s="185">
        <v>14050</v>
      </c>
      <c r="X877" s="187">
        <v>18474.009999999998</v>
      </c>
      <c r="Y877" s="185">
        <v>14056</v>
      </c>
      <c r="Z877" s="187">
        <v>18474.009999999998</v>
      </c>
      <c r="AA877" s="187">
        <v>0</v>
      </c>
      <c r="AB877" s="187">
        <v>0</v>
      </c>
      <c r="AC877" s="187">
        <v>0</v>
      </c>
      <c r="AD877" s="185">
        <v>54260</v>
      </c>
      <c r="AE877" s="187">
        <v>0</v>
      </c>
      <c r="AF877" s="187">
        <v>0</v>
      </c>
      <c r="AG877" s="187">
        <v>0</v>
      </c>
      <c r="AH877" s="185" t="s">
        <v>989</v>
      </c>
      <c r="AI877" s="185"/>
      <c r="AJ877" s="185"/>
      <c r="AK877" s="185" t="s">
        <v>45</v>
      </c>
      <c r="AL877" s="185" t="s">
        <v>2267</v>
      </c>
      <c r="AM877" s="185" t="s">
        <v>2269</v>
      </c>
      <c r="AN877" s="185"/>
      <c r="AO877" s="186"/>
      <c r="AP877" s="186"/>
      <c r="AQ877" s="184"/>
      <c r="AR877" s="184"/>
      <c r="AS877" s="184"/>
      <c r="AT877" s="184"/>
      <c r="AU877" s="184"/>
      <c r="AV877" s="184"/>
      <c r="AW877" s="184"/>
      <c r="AX877" s="184"/>
      <c r="AY877" s="184"/>
    </row>
    <row r="878" spans="2:51">
      <c r="B878" s="185">
        <v>2183</v>
      </c>
      <c r="C878" s="189">
        <v>65997</v>
      </c>
      <c r="D878" s="185" t="s">
        <v>989</v>
      </c>
      <c r="E878" s="185" t="s">
        <v>2003</v>
      </c>
      <c r="F878" s="185" t="s">
        <v>1793</v>
      </c>
      <c r="G878" s="185"/>
      <c r="H878" s="185"/>
      <c r="I878" s="188">
        <v>1</v>
      </c>
      <c r="J878" s="185"/>
      <c r="K878" s="188">
        <v>0</v>
      </c>
      <c r="L878" s="185" t="s">
        <v>1794</v>
      </c>
      <c r="M878" s="185"/>
      <c r="N878" s="185" t="s">
        <v>2198</v>
      </c>
      <c r="O878" s="185" t="s">
        <v>2184</v>
      </c>
      <c r="P878" s="185"/>
      <c r="Q878" s="185"/>
      <c r="R878" s="185"/>
      <c r="S878" s="186">
        <v>39984</v>
      </c>
      <c r="T878" s="186">
        <v>39984</v>
      </c>
      <c r="U878" s="185" t="s">
        <v>1792</v>
      </c>
      <c r="V878" s="185">
        <v>500</v>
      </c>
      <c r="W878" s="185">
        <v>14070</v>
      </c>
      <c r="X878" s="187">
        <v>4147.3100000000004</v>
      </c>
      <c r="Y878" s="185">
        <v>14076</v>
      </c>
      <c r="Z878" s="187">
        <v>4147.3100000000004</v>
      </c>
      <c r="AA878" s="187">
        <v>0</v>
      </c>
      <c r="AB878" s="187">
        <v>0</v>
      </c>
      <c r="AC878" s="187">
        <v>0</v>
      </c>
      <c r="AD878" s="185">
        <v>51260</v>
      </c>
      <c r="AE878" s="187">
        <v>0</v>
      </c>
      <c r="AF878" s="187">
        <v>0</v>
      </c>
      <c r="AG878" s="187">
        <v>0</v>
      </c>
      <c r="AH878" s="185" t="s">
        <v>989</v>
      </c>
      <c r="AI878" s="185"/>
      <c r="AJ878" s="185"/>
      <c r="AK878" s="185" t="s">
        <v>45</v>
      </c>
      <c r="AL878" s="185" t="s">
        <v>2267</v>
      </c>
      <c r="AM878" s="185" t="s">
        <v>2269</v>
      </c>
      <c r="AN878" s="185"/>
      <c r="AO878" s="186"/>
      <c r="AP878" s="186"/>
      <c r="AQ878" s="184"/>
      <c r="AR878" s="184"/>
      <c r="AS878" s="184"/>
      <c r="AT878" s="184"/>
      <c r="AU878" s="184"/>
      <c r="AV878" s="184"/>
      <c r="AW878" s="184"/>
      <c r="AX878" s="184"/>
      <c r="AY878" s="184"/>
    </row>
    <row r="879" spans="2:51">
      <c r="B879" s="185">
        <v>2183</v>
      </c>
      <c r="C879" s="189">
        <v>65733</v>
      </c>
      <c r="D879" s="185" t="s">
        <v>989</v>
      </c>
      <c r="E879" s="185" t="s">
        <v>2003</v>
      </c>
      <c r="F879" s="185" t="s">
        <v>1521</v>
      </c>
      <c r="G879" s="185"/>
      <c r="H879" s="185"/>
      <c r="I879" s="188">
        <v>416</v>
      </c>
      <c r="J879" s="185"/>
      <c r="K879" s="188">
        <v>0</v>
      </c>
      <c r="L879" s="185" t="s">
        <v>1736</v>
      </c>
      <c r="M879" s="185"/>
      <c r="N879" s="185" t="s">
        <v>2190</v>
      </c>
      <c r="O879" s="185" t="s">
        <v>2184</v>
      </c>
      <c r="P879" s="185"/>
      <c r="Q879" s="185"/>
      <c r="R879" s="185"/>
      <c r="S879" s="186">
        <v>39974</v>
      </c>
      <c r="T879" s="186">
        <v>39974</v>
      </c>
      <c r="U879" s="185" t="s">
        <v>1784</v>
      </c>
      <c r="V879" s="185">
        <v>700</v>
      </c>
      <c r="W879" s="185">
        <v>14050</v>
      </c>
      <c r="X879" s="187">
        <v>19259.52</v>
      </c>
      <c r="Y879" s="185">
        <v>14056</v>
      </c>
      <c r="Z879" s="187">
        <v>19259.52</v>
      </c>
      <c r="AA879" s="187">
        <v>0</v>
      </c>
      <c r="AB879" s="187">
        <v>0</v>
      </c>
      <c r="AC879" s="187">
        <v>0</v>
      </c>
      <c r="AD879" s="185">
        <v>54260</v>
      </c>
      <c r="AE879" s="187">
        <v>0</v>
      </c>
      <c r="AF879" s="187">
        <v>0</v>
      </c>
      <c r="AG879" s="187">
        <v>0</v>
      </c>
      <c r="AH879" s="185" t="s">
        <v>989</v>
      </c>
      <c r="AI879" s="185"/>
      <c r="AJ879" s="185"/>
      <c r="AK879" s="185" t="s">
        <v>45</v>
      </c>
      <c r="AL879" s="185" t="s">
        <v>2267</v>
      </c>
      <c r="AM879" s="185" t="s">
        <v>2269</v>
      </c>
      <c r="AN879" s="185"/>
      <c r="AO879" s="186"/>
      <c r="AP879" s="186"/>
      <c r="AQ879" s="184"/>
      <c r="AR879" s="184"/>
      <c r="AS879" s="184"/>
      <c r="AT879" s="184"/>
      <c r="AU879" s="184"/>
      <c r="AV879" s="184"/>
      <c r="AW879" s="184"/>
      <c r="AX879" s="184"/>
      <c r="AY879" s="184"/>
    </row>
    <row r="880" spans="2:51">
      <c r="B880" s="185">
        <v>2183</v>
      </c>
      <c r="C880" s="189">
        <v>65599</v>
      </c>
      <c r="D880" s="185" t="s">
        <v>989</v>
      </c>
      <c r="E880" s="185" t="s">
        <v>2003</v>
      </c>
      <c r="F880" s="185" t="s">
        <v>1795</v>
      </c>
      <c r="G880" s="185"/>
      <c r="H880" s="185"/>
      <c r="I880" s="188">
        <v>1</v>
      </c>
      <c r="J880" s="185">
        <v>56820</v>
      </c>
      <c r="K880" s="188">
        <v>2001</v>
      </c>
      <c r="L880" s="185"/>
      <c r="M880" s="185"/>
      <c r="N880" s="185" t="s">
        <v>2183</v>
      </c>
      <c r="O880" s="185" t="s">
        <v>2184</v>
      </c>
      <c r="P880" s="185" t="s">
        <v>1028</v>
      </c>
      <c r="Q880" s="185"/>
      <c r="R880" s="185"/>
      <c r="S880" s="186">
        <v>39965</v>
      </c>
      <c r="T880" s="186">
        <v>39965</v>
      </c>
      <c r="U880" s="185" t="s">
        <v>1796</v>
      </c>
      <c r="V880" s="185">
        <v>300</v>
      </c>
      <c r="W880" s="185">
        <v>14040</v>
      </c>
      <c r="X880" s="187">
        <v>17657.45</v>
      </c>
      <c r="Y880" s="185">
        <v>14046</v>
      </c>
      <c r="Z880" s="187">
        <v>17657.45</v>
      </c>
      <c r="AA880" s="187">
        <v>0</v>
      </c>
      <c r="AB880" s="187">
        <v>0</v>
      </c>
      <c r="AC880" s="187">
        <v>0</v>
      </c>
      <c r="AD880" s="185">
        <v>51260</v>
      </c>
      <c r="AE880" s="187">
        <v>0</v>
      </c>
      <c r="AF880" s="187">
        <v>0</v>
      </c>
      <c r="AG880" s="187">
        <v>0</v>
      </c>
      <c r="AH880" s="185" t="s">
        <v>989</v>
      </c>
      <c r="AI880" s="185"/>
      <c r="AJ880" s="185">
        <v>5600</v>
      </c>
      <c r="AK880" s="185" t="s">
        <v>45</v>
      </c>
      <c r="AL880" s="185" t="s">
        <v>2267</v>
      </c>
      <c r="AM880" s="185" t="s">
        <v>2269</v>
      </c>
      <c r="AN880" s="185"/>
      <c r="AO880" s="186"/>
      <c r="AP880" s="186"/>
      <c r="AQ880" s="184"/>
      <c r="AR880" s="184"/>
      <c r="AS880" s="184"/>
      <c r="AT880" s="184"/>
      <c r="AU880" s="184"/>
      <c r="AV880" s="184"/>
      <c r="AW880" s="184"/>
      <c r="AX880" s="184"/>
      <c r="AY880" s="184"/>
    </row>
    <row r="881" spans="2:51">
      <c r="B881" s="185">
        <v>2183</v>
      </c>
      <c r="C881" s="189">
        <v>65594</v>
      </c>
      <c r="D881" s="185" t="s">
        <v>989</v>
      </c>
      <c r="E881" s="185" t="s">
        <v>2003</v>
      </c>
      <c r="F881" s="185" t="s">
        <v>1797</v>
      </c>
      <c r="G881" s="185"/>
      <c r="H881" s="185"/>
      <c r="I881" s="188">
        <v>1</v>
      </c>
      <c r="J881" s="185">
        <v>33908</v>
      </c>
      <c r="K881" s="188">
        <v>2002</v>
      </c>
      <c r="L881" s="185"/>
      <c r="M881" s="185"/>
      <c r="N881" s="185" t="s">
        <v>2183</v>
      </c>
      <c r="O881" s="185" t="s">
        <v>2184</v>
      </c>
      <c r="P881" s="185" t="s">
        <v>1028</v>
      </c>
      <c r="Q881" s="185"/>
      <c r="R881" s="185"/>
      <c r="S881" s="186">
        <v>39965</v>
      </c>
      <c r="T881" s="186">
        <v>39965</v>
      </c>
      <c r="U881" s="185" t="s">
        <v>1798</v>
      </c>
      <c r="V881" s="185">
        <v>300</v>
      </c>
      <c r="W881" s="185">
        <v>14040</v>
      </c>
      <c r="X881" s="187">
        <v>2556.91</v>
      </c>
      <c r="Y881" s="185">
        <v>14046</v>
      </c>
      <c r="Z881" s="187">
        <v>2556.91</v>
      </c>
      <c r="AA881" s="187">
        <v>0</v>
      </c>
      <c r="AB881" s="187">
        <v>0</v>
      </c>
      <c r="AC881" s="187">
        <v>0</v>
      </c>
      <c r="AD881" s="185">
        <v>51260</v>
      </c>
      <c r="AE881" s="187">
        <v>0</v>
      </c>
      <c r="AF881" s="187">
        <v>0</v>
      </c>
      <c r="AG881" s="187">
        <v>0</v>
      </c>
      <c r="AH881" s="185" t="s">
        <v>989</v>
      </c>
      <c r="AI881" s="185"/>
      <c r="AJ881" s="185">
        <v>4030</v>
      </c>
      <c r="AK881" s="185" t="s">
        <v>45</v>
      </c>
      <c r="AL881" s="185" t="s">
        <v>2267</v>
      </c>
      <c r="AM881" s="185" t="s">
        <v>2269</v>
      </c>
      <c r="AN881" s="185"/>
      <c r="AO881" s="186"/>
      <c r="AP881" s="186"/>
      <c r="AQ881" s="184"/>
      <c r="AR881" s="184"/>
      <c r="AS881" s="184"/>
      <c r="AT881" s="184"/>
      <c r="AU881" s="184"/>
      <c r="AV881" s="184"/>
      <c r="AW881" s="184"/>
      <c r="AX881" s="184"/>
      <c r="AY881" s="184"/>
    </row>
    <row r="882" spans="2:51">
      <c r="B882" s="185">
        <v>2183</v>
      </c>
      <c r="C882" s="189">
        <v>64730</v>
      </c>
      <c r="D882" s="185" t="s">
        <v>989</v>
      </c>
      <c r="E882" s="185" t="s">
        <v>2003</v>
      </c>
      <c r="F882" s="185" t="s">
        <v>1202</v>
      </c>
      <c r="G882" s="185"/>
      <c r="H882" s="185"/>
      <c r="I882" s="188">
        <v>10</v>
      </c>
      <c r="J882" s="185"/>
      <c r="K882" s="188">
        <v>0</v>
      </c>
      <c r="L882" s="185"/>
      <c r="M882" s="185"/>
      <c r="N882" s="185" t="s">
        <v>2190</v>
      </c>
      <c r="O882" s="185" t="s">
        <v>2184</v>
      </c>
      <c r="P882" s="185"/>
      <c r="Q882" s="185" t="s">
        <v>2203</v>
      </c>
      <c r="R882" s="185" t="s">
        <v>2195</v>
      </c>
      <c r="S882" s="186">
        <v>39755</v>
      </c>
      <c r="T882" s="186">
        <v>39755</v>
      </c>
      <c r="U882" s="185"/>
      <c r="V882" s="185">
        <v>1200</v>
      </c>
      <c r="W882" s="185">
        <v>14050</v>
      </c>
      <c r="X882" s="187">
        <v>2300</v>
      </c>
      <c r="Y882" s="185">
        <v>14056</v>
      </c>
      <c r="Z882" s="187">
        <v>2300</v>
      </c>
      <c r="AA882" s="187">
        <v>0</v>
      </c>
      <c r="AB882" s="187">
        <v>0</v>
      </c>
      <c r="AC882" s="187">
        <v>0</v>
      </c>
      <c r="AD882" s="185">
        <v>54260</v>
      </c>
      <c r="AE882" s="187">
        <v>0</v>
      </c>
      <c r="AF882" s="187">
        <v>0</v>
      </c>
      <c r="AG882" s="187">
        <v>0</v>
      </c>
      <c r="AH882" s="185" t="s">
        <v>994</v>
      </c>
      <c r="AI882" s="185" t="s">
        <v>1050</v>
      </c>
      <c r="AJ882" s="185" t="s">
        <v>1296</v>
      </c>
      <c r="AK882" s="185" t="s">
        <v>45</v>
      </c>
      <c r="AL882" s="185" t="s">
        <v>2267</v>
      </c>
      <c r="AM882" s="185" t="s">
        <v>2269</v>
      </c>
      <c r="AN882" s="185"/>
      <c r="AO882" s="186"/>
      <c r="AP882" s="186"/>
      <c r="AQ882" s="184"/>
      <c r="AR882" s="184"/>
      <c r="AS882" s="184"/>
      <c r="AT882" s="184"/>
      <c r="AU882" s="184"/>
      <c r="AV882" s="184"/>
      <c r="AW882" s="184"/>
      <c r="AX882" s="184"/>
      <c r="AY882" s="184"/>
    </row>
    <row r="883" spans="2:51">
      <c r="B883" s="185">
        <v>2183</v>
      </c>
      <c r="C883" s="189">
        <v>64692</v>
      </c>
      <c r="D883" s="185" t="s">
        <v>989</v>
      </c>
      <c r="E883" s="185" t="s">
        <v>2003</v>
      </c>
      <c r="F883" s="185" t="s">
        <v>1522</v>
      </c>
      <c r="G883" s="185"/>
      <c r="H883" s="185"/>
      <c r="I883" s="188">
        <v>1</v>
      </c>
      <c r="J883" s="185"/>
      <c r="K883" s="188">
        <v>0</v>
      </c>
      <c r="L883" s="185"/>
      <c r="M883" s="185"/>
      <c r="N883" s="185" t="s">
        <v>2190</v>
      </c>
      <c r="O883" s="185" t="s">
        <v>2184</v>
      </c>
      <c r="P883" s="185"/>
      <c r="Q883" s="185" t="s">
        <v>2202</v>
      </c>
      <c r="R883" s="185" t="s">
        <v>2192</v>
      </c>
      <c r="S883" s="186">
        <v>39755</v>
      </c>
      <c r="T883" s="186">
        <v>39755</v>
      </c>
      <c r="U883" s="185"/>
      <c r="V883" s="185">
        <v>700</v>
      </c>
      <c r="W883" s="185">
        <v>14050</v>
      </c>
      <c r="X883" s="187">
        <v>546.41999999999996</v>
      </c>
      <c r="Y883" s="185">
        <v>14056</v>
      </c>
      <c r="Z883" s="187">
        <v>546.41999999999996</v>
      </c>
      <c r="AA883" s="187">
        <v>0</v>
      </c>
      <c r="AB883" s="187">
        <v>0</v>
      </c>
      <c r="AC883" s="187">
        <v>0</v>
      </c>
      <c r="AD883" s="185">
        <v>54260</v>
      </c>
      <c r="AE883" s="187">
        <v>0</v>
      </c>
      <c r="AF883" s="187">
        <v>0</v>
      </c>
      <c r="AG883" s="187">
        <v>0</v>
      </c>
      <c r="AH883" s="185" t="s">
        <v>994</v>
      </c>
      <c r="AI883" s="185" t="s">
        <v>1050</v>
      </c>
      <c r="AJ883" s="185" t="s">
        <v>1296</v>
      </c>
      <c r="AK883" s="185" t="s">
        <v>45</v>
      </c>
      <c r="AL883" s="185" t="s">
        <v>2267</v>
      </c>
      <c r="AM883" s="185" t="s">
        <v>2269</v>
      </c>
      <c r="AN883" s="185"/>
      <c r="AO883" s="186"/>
      <c r="AP883" s="186"/>
      <c r="AQ883" s="184"/>
      <c r="AR883" s="184"/>
      <c r="AS883" s="184"/>
      <c r="AT883" s="184"/>
      <c r="AU883" s="184"/>
      <c r="AV883" s="184"/>
      <c r="AW883" s="184"/>
      <c r="AX883" s="184"/>
      <c r="AY883" s="184"/>
    </row>
    <row r="884" spans="2:51">
      <c r="B884" s="185">
        <v>2183</v>
      </c>
      <c r="C884" s="189">
        <v>64669</v>
      </c>
      <c r="D884" s="185" t="s">
        <v>989</v>
      </c>
      <c r="E884" s="185" t="s">
        <v>2003</v>
      </c>
      <c r="F884" s="185" t="s">
        <v>1799</v>
      </c>
      <c r="G884" s="185"/>
      <c r="H884" s="185"/>
      <c r="I884" s="188">
        <v>1</v>
      </c>
      <c r="J884" s="185"/>
      <c r="K884" s="188">
        <v>0</v>
      </c>
      <c r="L884" s="185"/>
      <c r="M884" s="185"/>
      <c r="N884" s="185" t="s">
        <v>2190</v>
      </c>
      <c r="O884" s="185" t="s">
        <v>2184</v>
      </c>
      <c r="P884" s="185"/>
      <c r="Q884" s="185" t="s">
        <v>2201</v>
      </c>
      <c r="R884" s="185" t="s">
        <v>2192</v>
      </c>
      <c r="S884" s="186">
        <v>39755</v>
      </c>
      <c r="T884" s="186">
        <v>39755</v>
      </c>
      <c r="U884" s="185"/>
      <c r="V884" s="185">
        <v>700</v>
      </c>
      <c r="W884" s="185">
        <v>14050</v>
      </c>
      <c r="X884" s="187">
        <v>17357</v>
      </c>
      <c r="Y884" s="185">
        <v>14056</v>
      </c>
      <c r="Z884" s="187">
        <v>17357</v>
      </c>
      <c r="AA884" s="187">
        <v>0</v>
      </c>
      <c r="AB884" s="187">
        <v>0</v>
      </c>
      <c r="AC884" s="187">
        <v>0</v>
      </c>
      <c r="AD884" s="185">
        <v>54260</v>
      </c>
      <c r="AE884" s="187">
        <v>0</v>
      </c>
      <c r="AF884" s="187">
        <v>0</v>
      </c>
      <c r="AG884" s="187">
        <v>0</v>
      </c>
      <c r="AH884" s="185" t="s">
        <v>994</v>
      </c>
      <c r="AI884" s="185" t="s">
        <v>1050</v>
      </c>
      <c r="AJ884" s="185" t="s">
        <v>1296</v>
      </c>
      <c r="AK884" s="185" t="s">
        <v>45</v>
      </c>
      <c r="AL884" s="185" t="s">
        <v>2267</v>
      </c>
      <c r="AM884" s="185" t="s">
        <v>2269</v>
      </c>
      <c r="AN884" s="185"/>
      <c r="AO884" s="186"/>
      <c r="AP884" s="186"/>
      <c r="AQ884" s="184"/>
      <c r="AR884" s="184"/>
      <c r="AS884" s="184"/>
      <c r="AT884" s="184"/>
      <c r="AU884" s="184"/>
      <c r="AV884" s="184"/>
      <c r="AW884" s="184"/>
      <c r="AX884" s="184"/>
      <c r="AY884" s="184"/>
    </row>
    <row r="885" spans="2:51">
      <c r="B885" s="185">
        <v>2183</v>
      </c>
      <c r="C885" s="189">
        <v>64658</v>
      </c>
      <c r="D885" s="185" t="s">
        <v>989</v>
      </c>
      <c r="E885" s="185" t="s">
        <v>2003</v>
      </c>
      <c r="F885" s="185" t="s">
        <v>1373</v>
      </c>
      <c r="G885" s="185"/>
      <c r="H885" s="185"/>
      <c r="I885" s="188">
        <v>95</v>
      </c>
      <c r="J885" s="185"/>
      <c r="K885" s="188">
        <v>0</v>
      </c>
      <c r="L885" s="185"/>
      <c r="M885" s="185"/>
      <c r="N885" s="185" t="s">
        <v>2190</v>
      </c>
      <c r="O885" s="185" t="s">
        <v>2184</v>
      </c>
      <c r="P885" s="185"/>
      <c r="Q885" s="185" t="s">
        <v>137</v>
      </c>
      <c r="R885" s="185" t="s">
        <v>2195</v>
      </c>
      <c r="S885" s="186">
        <v>39755</v>
      </c>
      <c r="T885" s="186">
        <v>39755</v>
      </c>
      <c r="U885" s="185"/>
      <c r="V885" s="185">
        <v>1200</v>
      </c>
      <c r="W885" s="185">
        <v>14050</v>
      </c>
      <c r="X885" s="187">
        <v>26013.03</v>
      </c>
      <c r="Y885" s="185">
        <v>14056</v>
      </c>
      <c r="Z885" s="187">
        <v>26013.03</v>
      </c>
      <c r="AA885" s="187">
        <v>0</v>
      </c>
      <c r="AB885" s="187">
        <v>0</v>
      </c>
      <c r="AC885" s="187">
        <v>0</v>
      </c>
      <c r="AD885" s="185">
        <v>54260</v>
      </c>
      <c r="AE885" s="187">
        <v>0</v>
      </c>
      <c r="AF885" s="187">
        <v>0</v>
      </c>
      <c r="AG885" s="187">
        <v>0</v>
      </c>
      <c r="AH885" s="185" t="s">
        <v>994</v>
      </c>
      <c r="AI885" s="185" t="s">
        <v>1050</v>
      </c>
      <c r="AJ885" s="185" t="s">
        <v>1296</v>
      </c>
      <c r="AK885" s="185" t="s">
        <v>45</v>
      </c>
      <c r="AL885" s="185" t="s">
        <v>2267</v>
      </c>
      <c r="AM885" s="185" t="s">
        <v>2269</v>
      </c>
      <c r="AN885" s="185"/>
      <c r="AO885" s="186"/>
      <c r="AP885" s="186"/>
      <c r="AQ885" s="184"/>
      <c r="AR885" s="184"/>
      <c r="AS885" s="184"/>
      <c r="AT885" s="184"/>
      <c r="AU885" s="184"/>
      <c r="AV885" s="184"/>
      <c r="AW885" s="184"/>
      <c r="AX885" s="184"/>
      <c r="AY885" s="184"/>
    </row>
    <row r="886" spans="2:51">
      <c r="B886" s="185">
        <v>2183</v>
      </c>
      <c r="C886" s="189">
        <v>64656</v>
      </c>
      <c r="D886" s="185" t="s">
        <v>989</v>
      </c>
      <c r="E886" s="185" t="s">
        <v>2003</v>
      </c>
      <c r="F886" s="185" t="s">
        <v>1051</v>
      </c>
      <c r="G886" s="185"/>
      <c r="H886" s="185"/>
      <c r="I886" s="188">
        <v>149</v>
      </c>
      <c r="J886" s="185"/>
      <c r="K886" s="188">
        <v>0</v>
      </c>
      <c r="L886" s="185"/>
      <c r="M886" s="185"/>
      <c r="N886" s="185" t="s">
        <v>2190</v>
      </c>
      <c r="O886" s="185" t="s">
        <v>2184</v>
      </c>
      <c r="P886" s="185"/>
      <c r="Q886" s="185" t="s">
        <v>2200</v>
      </c>
      <c r="R886" s="185" t="s">
        <v>2195</v>
      </c>
      <c r="S886" s="186">
        <v>39755</v>
      </c>
      <c r="T886" s="186">
        <v>39755</v>
      </c>
      <c r="U886" s="185"/>
      <c r="V886" s="185">
        <v>1200</v>
      </c>
      <c r="W886" s="185">
        <v>14050</v>
      </c>
      <c r="X886" s="187">
        <v>19524.95</v>
      </c>
      <c r="Y886" s="185">
        <v>14056</v>
      </c>
      <c r="Z886" s="187">
        <v>19524.95</v>
      </c>
      <c r="AA886" s="187">
        <v>0</v>
      </c>
      <c r="AB886" s="187">
        <v>0</v>
      </c>
      <c r="AC886" s="187">
        <v>0</v>
      </c>
      <c r="AD886" s="185">
        <v>54260</v>
      </c>
      <c r="AE886" s="187">
        <v>0</v>
      </c>
      <c r="AF886" s="187">
        <v>0</v>
      </c>
      <c r="AG886" s="187">
        <v>0</v>
      </c>
      <c r="AH886" s="185" t="s">
        <v>994</v>
      </c>
      <c r="AI886" s="185" t="s">
        <v>1050</v>
      </c>
      <c r="AJ886" s="185" t="s">
        <v>1296</v>
      </c>
      <c r="AK886" s="185" t="s">
        <v>45</v>
      </c>
      <c r="AL886" s="185" t="s">
        <v>2267</v>
      </c>
      <c r="AM886" s="185" t="s">
        <v>2269</v>
      </c>
      <c r="AN886" s="185"/>
      <c r="AO886" s="186"/>
      <c r="AP886" s="186"/>
      <c r="AQ886" s="184"/>
      <c r="AR886" s="184"/>
      <c r="AS886" s="184"/>
      <c r="AT886" s="184"/>
      <c r="AU886" s="184"/>
      <c r="AV886" s="184"/>
      <c r="AW886" s="184"/>
      <c r="AX886" s="184"/>
      <c r="AY886" s="184"/>
    </row>
    <row r="887" spans="2:51">
      <c r="B887" s="185">
        <v>2183</v>
      </c>
      <c r="C887" s="189">
        <v>63080</v>
      </c>
      <c r="D887" s="185" t="s">
        <v>989</v>
      </c>
      <c r="E887" s="185" t="s">
        <v>2003</v>
      </c>
      <c r="F887" s="185" t="s">
        <v>1706</v>
      </c>
      <c r="G887" s="185"/>
      <c r="H887" s="185"/>
      <c r="I887" s="188">
        <v>515</v>
      </c>
      <c r="J887" s="185"/>
      <c r="K887" s="188">
        <v>0</v>
      </c>
      <c r="L887" s="185" t="s">
        <v>1736</v>
      </c>
      <c r="M887" s="185"/>
      <c r="N887" s="185" t="s">
        <v>2190</v>
      </c>
      <c r="O887" s="185" t="s">
        <v>2184</v>
      </c>
      <c r="P887" s="185"/>
      <c r="Q887" s="185"/>
      <c r="R887" s="185"/>
      <c r="S887" s="186">
        <v>39859</v>
      </c>
      <c r="T887" s="186">
        <v>39859</v>
      </c>
      <c r="U887" s="185" t="s">
        <v>1800</v>
      </c>
      <c r="V887" s="185">
        <v>700</v>
      </c>
      <c r="W887" s="185">
        <v>14050</v>
      </c>
      <c r="X887" s="187">
        <v>21296.12</v>
      </c>
      <c r="Y887" s="185">
        <v>14056</v>
      </c>
      <c r="Z887" s="187">
        <v>21296.12</v>
      </c>
      <c r="AA887" s="187">
        <v>0</v>
      </c>
      <c r="AB887" s="187">
        <v>0</v>
      </c>
      <c r="AC887" s="187">
        <v>0</v>
      </c>
      <c r="AD887" s="185">
        <v>54260</v>
      </c>
      <c r="AE887" s="187">
        <v>0</v>
      </c>
      <c r="AF887" s="187">
        <v>0</v>
      </c>
      <c r="AG887" s="187">
        <v>0</v>
      </c>
      <c r="AH887" s="185" t="s">
        <v>989</v>
      </c>
      <c r="AI887" s="185"/>
      <c r="AJ887" s="185"/>
      <c r="AK887" s="185" t="s">
        <v>45</v>
      </c>
      <c r="AL887" s="185" t="s">
        <v>2267</v>
      </c>
      <c r="AM887" s="185" t="s">
        <v>2269</v>
      </c>
      <c r="AN887" s="185"/>
      <c r="AO887" s="186"/>
      <c r="AP887" s="186"/>
      <c r="AQ887" s="184"/>
      <c r="AR887" s="184"/>
      <c r="AS887" s="184"/>
      <c r="AT887" s="184"/>
      <c r="AU887" s="184"/>
      <c r="AV887" s="184"/>
      <c r="AW887" s="184"/>
      <c r="AX887" s="184"/>
      <c r="AY887" s="184"/>
    </row>
    <row r="888" spans="2:51">
      <c r="B888" s="185">
        <v>2183</v>
      </c>
      <c r="C888" s="189">
        <v>62921</v>
      </c>
      <c r="D888" s="185" t="s">
        <v>989</v>
      </c>
      <c r="E888" s="185" t="s">
        <v>2003</v>
      </c>
      <c r="F888" s="185" t="s">
        <v>1801</v>
      </c>
      <c r="G888" s="185"/>
      <c r="H888" s="185"/>
      <c r="I888" s="188">
        <v>1</v>
      </c>
      <c r="J888" s="185"/>
      <c r="K888" s="188">
        <v>0</v>
      </c>
      <c r="L888" s="185" t="s">
        <v>1145</v>
      </c>
      <c r="M888" s="185"/>
      <c r="N888" s="185" t="s">
        <v>2199</v>
      </c>
      <c r="O888" s="185" t="s">
        <v>2184</v>
      </c>
      <c r="P888" s="185"/>
      <c r="Q888" s="185"/>
      <c r="R888" s="185"/>
      <c r="S888" s="186">
        <v>39814</v>
      </c>
      <c r="T888" s="186">
        <v>39814</v>
      </c>
      <c r="U888" s="185" t="s">
        <v>1802</v>
      </c>
      <c r="V888" s="185">
        <v>201</v>
      </c>
      <c r="W888" s="185">
        <v>14110</v>
      </c>
      <c r="X888" s="187">
        <v>1366.14</v>
      </c>
      <c r="Y888" s="185">
        <v>14116</v>
      </c>
      <c r="Z888" s="187">
        <v>1366.14</v>
      </c>
      <c r="AA888" s="187">
        <v>0</v>
      </c>
      <c r="AB888" s="187">
        <v>0</v>
      </c>
      <c r="AC888" s="187">
        <v>0</v>
      </c>
      <c r="AD888" s="185">
        <v>70260</v>
      </c>
      <c r="AE888" s="187">
        <v>0</v>
      </c>
      <c r="AF888" s="187">
        <v>0</v>
      </c>
      <c r="AG888" s="187">
        <v>0</v>
      </c>
      <c r="AH888" s="185" t="s">
        <v>989</v>
      </c>
      <c r="AI888" s="185"/>
      <c r="AJ888" s="185"/>
      <c r="AK888" s="185" t="s">
        <v>45</v>
      </c>
      <c r="AL888" s="185" t="s">
        <v>2267</v>
      </c>
      <c r="AM888" s="185" t="s">
        <v>2269</v>
      </c>
      <c r="AN888" s="185"/>
      <c r="AO888" s="186"/>
      <c r="AP888" s="186"/>
      <c r="AQ888" s="184"/>
      <c r="AR888" s="184"/>
      <c r="AS888" s="184"/>
      <c r="AT888" s="184"/>
      <c r="AU888" s="184"/>
      <c r="AV888" s="184"/>
      <c r="AW888" s="184"/>
      <c r="AX888" s="184"/>
      <c r="AY888" s="184"/>
    </row>
    <row r="889" spans="2:51">
      <c r="B889" s="185">
        <v>2183</v>
      </c>
      <c r="C889" s="189">
        <v>62920</v>
      </c>
      <c r="D889" s="185" t="s">
        <v>989</v>
      </c>
      <c r="E889" s="185" t="s">
        <v>2003</v>
      </c>
      <c r="F889" s="185" t="s">
        <v>1803</v>
      </c>
      <c r="G889" s="185"/>
      <c r="H889" s="185"/>
      <c r="I889" s="188">
        <v>1</v>
      </c>
      <c r="J889" s="185"/>
      <c r="K889" s="188">
        <v>0</v>
      </c>
      <c r="L889" s="185" t="s">
        <v>1145</v>
      </c>
      <c r="M889" s="185"/>
      <c r="N889" s="185" t="s">
        <v>2199</v>
      </c>
      <c r="O889" s="185" t="s">
        <v>2184</v>
      </c>
      <c r="P889" s="185"/>
      <c r="Q889" s="185"/>
      <c r="R889" s="185"/>
      <c r="S889" s="186">
        <v>39814</v>
      </c>
      <c r="T889" s="186">
        <v>39814</v>
      </c>
      <c r="U889" s="185" t="s">
        <v>1802</v>
      </c>
      <c r="V889" s="185">
        <v>201</v>
      </c>
      <c r="W889" s="185">
        <v>14110</v>
      </c>
      <c r="X889" s="187">
        <v>1715.83</v>
      </c>
      <c r="Y889" s="185">
        <v>14116</v>
      </c>
      <c r="Z889" s="187">
        <v>1715.83</v>
      </c>
      <c r="AA889" s="187">
        <v>0</v>
      </c>
      <c r="AB889" s="187">
        <v>0</v>
      </c>
      <c r="AC889" s="187">
        <v>0</v>
      </c>
      <c r="AD889" s="185">
        <v>70260</v>
      </c>
      <c r="AE889" s="187">
        <v>0</v>
      </c>
      <c r="AF889" s="187">
        <v>0</v>
      </c>
      <c r="AG889" s="187">
        <v>0</v>
      </c>
      <c r="AH889" s="185" t="s">
        <v>989</v>
      </c>
      <c r="AI889" s="185"/>
      <c r="AJ889" s="185"/>
      <c r="AK889" s="185" t="s">
        <v>45</v>
      </c>
      <c r="AL889" s="185" t="s">
        <v>2267</v>
      </c>
      <c r="AM889" s="185" t="s">
        <v>2269</v>
      </c>
      <c r="AN889" s="185"/>
      <c r="AO889" s="186"/>
      <c r="AP889" s="186"/>
      <c r="AQ889" s="184"/>
      <c r="AR889" s="184"/>
      <c r="AS889" s="184"/>
      <c r="AT889" s="184"/>
      <c r="AU889" s="184"/>
      <c r="AV889" s="184"/>
      <c r="AW889" s="184"/>
      <c r="AX889" s="184"/>
      <c r="AY889" s="184"/>
    </row>
    <row r="890" spans="2:51">
      <c r="B890" s="185">
        <v>2183</v>
      </c>
      <c r="C890" s="189">
        <v>62784</v>
      </c>
      <c r="D890" s="185" t="s">
        <v>989</v>
      </c>
      <c r="E890" s="185" t="s">
        <v>2003</v>
      </c>
      <c r="F890" s="185" t="s">
        <v>1804</v>
      </c>
      <c r="G890" s="185"/>
      <c r="H890" s="185"/>
      <c r="I890" s="188">
        <v>1</v>
      </c>
      <c r="J890" s="185"/>
      <c r="K890" s="188">
        <v>0</v>
      </c>
      <c r="L890" s="185" t="s">
        <v>1805</v>
      </c>
      <c r="M890" s="185"/>
      <c r="N890" s="185" t="s">
        <v>2198</v>
      </c>
      <c r="O890" s="185" t="s">
        <v>2184</v>
      </c>
      <c r="P890" s="185"/>
      <c r="Q890" s="185"/>
      <c r="R890" s="185"/>
      <c r="S890" s="186">
        <v>39814</v>
      </c>
      <c r="T890" s="186">
        <v>39814</v>
      </c>
      <c r="U890" s="185" t="s">
        <v>1806</v>
      </c>
      <c r="V890" s="185">
        <v>411</v>
      </c>
      <c r="W890" s="185">
        <v>14070</v>
      </c>
      <c r="X890" s="187">
        <v>2847</v>
      </c>
      <c r="Y890" s="185">
        <v>14076</v>
      </c>
      <c r="Z890" s="187">
        <v>2847</v>
      </c>
      <c r="AA890" s="187">
        <v>0</v>
      </c>
      <c r="AB890" s="187">
        <v>0</v>
      </c>
      <c r="AC890" s="187">
        <v>0</v>
      </c>
      <c r="AD890" s="185">
        <v>51260</v>
      </c>
      <c r="AE890" s="187">
        <v>0</v>
      </c>
      <c r="AF890" s="187">
        <v>0</v>
      </c>
      <c r="AG890" s="187">
        <v>0</v>
      </c>
      <c r="AH890" s="185" t="s">
        <v>989</v>
      </c>
      <c r="AI890" s="185"/>
      <c r="AJ890" s="185"/>
      <c r="AK890" s="185" t="s">
        <v>45</v>
      </c>
      <c r="AL890" s="185" t="s">
        <v>2267</v>
      </c>
      <c r="AM890" s="185" t="s">
        <v>2269</v>
      </c>
      <c r="AN890" s="185"/>
      <c r="AO890" s="186"/>
      <c r="AP890" s="186"/>
      <c r="AQ890" s="184"/>
      <c r="AR890" s="184"/>
      <c r="AS890" s="184"/>
      <c r="AT890" s="184"/>
      <c r="AU890" s="184"/>
      <c r="AV890" s="184"/>
      <c r="AW890" s="184"/>
      <c r="AX890" s="184"/>
      <c r="AY890" s="184"/>
    </row>
    <row r="891" spans="2:51" hidden="1">
      <c r="B891" s="185">
        <v>2183</v>
      </c>
      <c r="C891" s="189">
        <v>62604</v>
      </c>
      <c r="D891" s="185">
        <v>61128</v>
      </c>
      <c r="E891" s="185" t="s">
        <v>2003</v>
      </c>
      <c r="F891" s="185" t="s">
        <v>1807</v>
      </c>
      <c r="G891" s="185"/>
      <c r="H891" s="185"/>
      <c r="I891" s="188">
        <v>1</v>
      </c>
      <c r="J891" s="185"/>
      <c r="K891" s="188">
        <v>0</v>
      </c>
      <c r="L891" s="185"/>
      <c r="M891" s="185"/>
      <c r="N891" s="185" t="s">
        <v>2183</v>
      </c>
      <c r="O891" s="185" t="s">
        <v>2184</v>
      </c>
      <c r="P891" s="185" t="s">
        <v>1028</v>
      </c>
      <c r="Q891" s="185"/>
      <c r="R891" s="185"/>
      <c r="S891" s="186">
        <v>39814</v>
      </c>
      <c r="T891" s="186">
        <v>39814</v>
      </c>
      <c r="U891" s="185" t="s">
        <v>1808</v>
      </c>
      <c r="V891" s="185">
        <v>300</v>
      </c>
      <c r="W891" s="185">
        <v>14040</v>
      </c>
      <c r="X891" s="187">
        <v>3949.44</v>
      </c>
      <c r="Y891" s="185">
        <v>14046</v>
      </c>
      <c r="Z891" s="187">
        <v>3949.44</v>
      </c>
      <c r="AA891" s="187">
        <v>0</v>
      </c>
      <c r="AB891" s="187">
        <v>0</v>
      </c>
      <c r="AC891" s="187">
        <v>0</v>
      </c>
      <c r="AD891" s="185">
        <v>51260</v>
      </c>
      <c r="AE891" s="187">
        <v>0</v>
      </c>
      <c r="AF891" s="187">
        <v>0</v>
      </c>
      <c r="AG891" s="187">
        <v>0</v>
      </c>
      <c r="AH891" s="185" t="s">
        <v>989</v>
      </c>
      <c r="AI891" s="185"/>
      <c r="AJ891" s="185"/>
      <c r="AK891" s="185" t="s">
        <v>45</v>
      </c>
      <c r="AL891" s="185" t="s">
        <v>2267</v>
      </c>
      <c r="AM891" s="185" t="s">
        <v>2269</v>
      </c>
      <c r="AN891" s="185"/>
      <c r="AO891" s="186"/>
      <c r="AP891" s="186"/>
      <c r="AQ891" s="184"/>
      <c r="AR891" s="184"/>
      <c r="AS891" s="184"/>
      <c r="AT891" s="184"/>
      <c r="AU891" s="184"/>
      <c r="AV891" s="184"/>
      <c r="AW891" s="184"/>
      <c r="AX891" s="184"/>
      <c r="AY891" s="184"/>
    </row>
    <row r="892" spans="2:51">
      <c r="B892" s="185">
        <v>2183</v>
      </c>
      <c r="C892" s="189">
        <v>62487</v>
      </c>
      <c r="D892" s="185" t="s">
        <v>989</v>
      </c>
      <c r="E892" s="185" t="s">
        <v>2003</v>
      </c>
      <c r="F892" s="185" t="s">
        <v>1809</v>
      </c>
      <c r="G892" s="185"/>
      <c r="H892" s="185"/>
      <c r="I892" s="188">
        <v>1</v>
      </c>
      <c r="J892" s="185"/>
      <c r="K892" s="188">
        <v>0</v>
      </c>
      <c r="L892" s="185"/>
      <c r="M892" s="185"/>
      <c r="N892" s="185" t="s">
        <v>2188</v>
      </c>
      <c r="O892" s="185" t="s">
        <v>2188</v>
      </c>
      <c r="P892" s="185"/>
      <c r="Q892" s="185"/>
      <c r="R892" s="185"/>
      <c r="S892" s="186">
        <v>39783</v>
      </c>
      <c r="T892" s="186">
        <v>39783</v>
      </c>
      <c r="U892" s="185"/>
      <c r="V892" s="185">
        <v>0</v>
      </c>
      <c r="W892" s="185">
        <v>15110</v>
      </c>
      <c r="X892" s="187">
        <v>-1045249.13</v>
      </c>
      <c r="Y892" s="185">
        <v>15115</v>
      </c>
      <c r="Z892" s="187">
        <v>0</v>
      </c>
      <c r="AA892" s="187">
        <v>0</v>
      </c>
      <c r="AB892" s="187">
        <v>-1045249.13</v>
      </c>
      <c r="AC892" s="187">
        <v>0</v>
      </c>
      <c r="AD892" s="185">
        <v>70264</v>
      </c>
      <c r="AE892" s="187">
        <v>0</v>
      </c>
      <c r="AF892" s="187">
        <v>0</v>
      </c>
      <c r="AG892" s="187">
        <v>0</v>
      </c>
      <c r="AH892" s="185" t="s">
        <v>994</v>
      </c>
      <c r="AI892" s="185" t="s">
        <v>1810</v>
      </c>
      <c r="AJ892" s="185" t="s">
        <v>1296</v>
      </c>
      <c r="AK892" s="185" t="s">
        <v>45</v>
      </c>
      <c r="AL892" s="185" t="s">
        <v>2267</v>
      </c>
      <c r="AM892" s="185" t="s">
        <v>2268</v>
      </c>
      <c r="AN892" s="185"/>
      <c r="AO892" s="186"/>
      <c r="AP892" s="186"/>
      <c r="AQ892" s="184"/>
      <c r="AR892" s="184"/>
      <c r="AS892" s="184"/>
      <c r="AT892" s="184"/>
      <c r="AU892" s="184"/>
      <c r="AV892" s="184"/>
      <c r="AW892" s="184"/>
      <c r="AX892" s="184"/>
      <c r="AY892" s="184"/>
    </row>
    <row r="893" spans="2:51">
      <c r="B893" s="185">
        <v>2183</v>
      </c>
      <c r="C893" s="189">
        <v>61495</v>
      </c>
      <c r="D893" s="185" t="s">
        <v>989</v>
      </c>
      <c r="E893" s="185" t="s">
        <v>2003</v>
      </c>
      <c r="F893" s="185" t="s">
        <v>1811</v>
      </c>
      <c r="G893" s="185"/>
      <c r="H893" s="185"/>
      <c r="I893" s="188">
        <v>1</v>
      </c>
      <c r="J893" s="185"/>
      <c r="K893" s="188">
        <v>0</v>
      </c>
      <c r="L893" s="185"/>
      <c r="M893" s="185"/>
      <c r="N893" s="185" t="s">
        <v>2197</v>
      </c>
      <c r="O893" s="185" t="s">
        <v>2197</v>
      </c>
      <c r="P893" s="185"/>
      <c r="Q893" s="185"/>
      <c r="R893" s="185"/>
      <c r="S893" s="186">
        <v>39755</v>
      </c>
      <c r="T893" s="186">
        <v>39755</v>
      </c>
      <c r="U893" s="185"/>
      <c r="V893" s="185">
        <v>0</v>
      </c>
      <c r="W893" s="185">
        <v>15260</v>
      </c>
      <c r="X893" s="187">
        <v>3093535</v>
      </c>
      <c r="Y893" s="185">
        <v>15266</v>
      </c>
      <c r="Z893" s="187">
        <v>0</v>
      </c>
      <c r="AA893" s="187">
        <v>0</v>
      </c>
      <c r="AB893" s="187">
        <v>3093535</v>
      </c>
      <c r="AC893" s="187">
        <v>0</v>
      </c>
      <c r="AD893" s="185">
        <v>70264</v>
      </c>
      <c r="AE893" s="187">
        <v>0</v>
      </c>
      <c r="AF893" s="187">
        <v>0</v>
      </c>
      <c r="AG893" s="187">
        <v>0</v>
      </c>
      <c r="AH893" s="185" t="s">
        <v>994</v>
      </c>
      <c r="AI893" s="185" t="s">
        <v>1050</v>
      </c>
      <c r="AJ893" s="185" t="s">
        <v>1296</v>
      </c>
      <c r="AK893" s="185" t="s">
        <v>45</v>
      </c>
      <c r="AL893" s="185" t="s">
        <v>2267</v>
      </c>
      <c r="AM893" s="185" t="s">
        <v>2268</v>
      </c>
      <c r="AN893" s="185"/>
      <c r="AO893" s="186"/>
      <c r="AP893" s="186"/>
      <c r="AQ893" s="184"/>
      <c r="AR893" s="184"/>
      <c r="AS893" s="184"/>
      <c r="AT893" s="184"/>
      <c r="AU893" s="184"/>
      <c r="AV893" s="184"/>
      <c r="AW893" s="184"/>
      <c r="AX893" s="184"/>
      <c r="AY893" s="184"/>
    </row>
    <row r="894" spans="2:51">
      <c r="B894" s="185">
        <v>2183</v>
      </c>
      <c r="C894" s="189">
        <v>61494</v>
      </c>
      <c r="D894" s="185" t="s">
        <v>989</v>
      </c>
      <c r="E894" s="185" t="s">
        <v>2003</v>
      </c>
      <c r="F894" s="185" t="s">
        <v>1812</v>
      </c>
      <c r="G894" s="185"/>
      <c r="H894" s="185"/>
      <c r="I894" s="188">
        <v>1</v>
      </c>
      <c r="J894" s="185"/>
      <c r="K894" s="188">
        <v>0</v>
      </c>
      <c r="L894" s="185"/>
      <c r="M894" s="185"/>
      <c r="N894" s="185" t="s">
        <v>2197</v>
      </c>
      <c r="O894" s="185" t="s">
        <v>2197</v>
      </c>
      <c r="P894" s="185"/>
      <c r="Q894" s="185"/>
      <c r="R894" s="185"/>
      <c r="S894" s="186">
        <v>39755</v>
      </c>
      <c r="T894" s="186">
        <v>39755</v>
      </c>
      <c r="U894" s="185"/>
      <c r="V894" s="185">
        <v>0</v>
      </c>
      <c r="W894" s="185">
        <v>15260</v>
      </c>
      <c r="X894" s="187">
        <v>5634865</v>
      </c>
      <c r="Y894" s="185">
        <v>15266</v>
      </c>
      <c r="Z894" s="187">
        <v>0</v>
      </c>
      <c r="AA894" s="187">
        <v>0</v>
      </c>
      <c r="AB894" s="187">
        <v>5634865</v>
      </c>
      <c r="AC894" s="187">
        <v>0</v>
      </c>
      <c r="AD894" s="185">
        <v>70264</v>
      </c>
      <c r="AE894" s="187">
        <v>0</v>
      </c>
      <c r="AF894" s="187">
        <v>0</v>
      </c>
      <c r="AG894" s="187">
        <v>0</v>
      </c>
      <c r="AH894" s="185" t="s">
        <v>994</v>
      </c>
      <c r="AI894" s="185" t="s">
        <v>1050</v>
      </c>
      <c r="AJ894" s="185" t="s">
        <v>1296</v>
      </c>
      <c r="AK894" s="185" t="s">
        <v>45</v>
      </c>
      <c r="AL894" s="185" t="s">
        <v>2267</v>
      </c>
      <c r="AM894" s="185" t="s">
        <v>2268</v>
      </c>
      <c r="AN894" s="185"/>
      <c r="AO894" s="186"/>
      <c r="AP894" s="186"/>
      <c r="AQ894" s="184"/>
      <c r="AR894" s="184"/>
      <c r="AS894" s="184"/>
      <c r="AT894" s="184"/>
      <c r="AU894" s="184"/>
      <c r="AV894" s="184"/>
      <c r="AW894" s="184"/>
      <c r="AX894" s="184"/>
      <c r="AY894" s="184"/>
    </row>
    <row r="895" spans="2:51">
      <c r="B895" s="185">
        <v>2183</v>
      </c>
      <c r="C895" s="189">
        <v>61493</v>
      </c>
      <c r="D895" s="185" t="s">
        <v>989</v>
      </c>
      <c r="E895" s="185" t="s">
        <v>2003</v>
      </c>
      <c r="F895" s="185" t="s">
        <v>1813</v>
      </c>
      <c r="G895" s="185"/>
      <c r="H895" s="185"/>
      <c r="I895" s="188">
        <v>1</v>
      </c>
      <c r="J895" s="185"/>
      <c r="K895" s="188">
        <v>0</v>
      </c>
      <c r="L895" s="185"/>
      <c r="M895" s="185"/>
      <c r="N895" s="185" t="s">
        <v>2197</v>
      </c>
      <c r="O895" s="185" t="s">
        <v>2197</v>
      </c>
      <c r="P895" s="185"/>
      <c r="Q895" s="185"/>
      <c r="R895" s="185"/>
      <c r="S895" s="186">
        <v>39755</v>
      </c>
      <c r="T895" s="186">
        <v>39755</v>
      </c>
      <c r="U895" s="185"/>
      <c r="V895" s="185">
        <v>0</v>
      </c>
      <c r="W895" s="185">
        <v>15260</v>
      </c>
      <c r="X895" s="187">
        <v>32885751</v>
      </c>
      <c r="Y895" s="185">
        <v>15266</v>
      </c>
      <c r="Z895" s="187">
        <v>0</v>
      </c>
      <c r="AA895" s="187">
        <v>0</v>
      </c>
      <c r="AB895" s="187">
        <v>32885751</v>
      </c>
      <c r="AC895" s="187">
        <v>0</v>
      </c>
      <c r="AD895" s="185">
        <v>70264</v>
      </c>
      <c r="AE895" s="187">
        <v>0</v>
      </c>
      <c r="AF895" s="187">
        <v>0</v>
      </c>
      <c r="AG895" s="187">
        <v>0</v>
      </c>
      <c r="AH895" s="185" t="s">
        <v>994</v>
      </c>
      <c r="AI895" s="185" t="s">
        <v>1050</v>
      </c>
      <c r="AJ895" s="185" t="s">
        <v>1296</v>
      </c>
      <c r="AK895" s="185" t="s">
        <v>45</v>
      </c>
      <c r="AL895" s="185" t="s">
        <v>2267</v>
      </c>
      <c r="AM895" s="185" t="s">
        <v>2268</v>
      </c>
      <c r="AN895" s="185"/>
      <c r="AO895" s="186"/>
      <c r="AP895" s="186"/>
      <c r="AQ895" s="184"/>
      <c r="AR895" s="184"/>
      <c r="AS895" s="184"/>
      <c r="AT895" s="184"/>
      <c r="AU895" s="184"/>
      <c r="AV895" s="184"/>
      <c r="AW895" s="184"/>
      <c r="AX895" s="184"/>
      <c r="AY895" s="184"/>
    </row>
    <row r="896" spans="2:51">
      <c r="B896" s="185">
        <v>2183</v>
      </c>
      <c r="C896" s="189">
        <v>61492</v>
      </c>
      <c r="D896" s="185" t="s">
        <v>989</v>
      </c>
      <c r="E896" s="185" t="s">
        <v>2003</v>
      </c>
      <c r="F896" s="185" t="s">
        <v>1814</v>
      </c>
      <c r="G896" s="185"/>
      <c r="H896" s="185"/>
      <c r="I896" s="188">
        <v>1</v>
      </c>
      <c r="J896" s="185"/>
      <c r="K896" s="188">
        <v>0</v>
      </c>
      <c r="L896" s="185"/>
      <c r="M896" s="185"/>
      <c r="N896" s="185" t="s">
        <v>2196</v>
      </c>
      <c r="O896" s="185" t="s">
        <v>2184</v>
      </c>
      <c r="P896" s="185"/>
      <c r="Q896" s="185"/>
      <c r="R896" s="185"/>
      <c r="S896" s="186">
        <v>39755</v>
      </c>
      <c r="T896" s="186">
        <v>39755</v>
      </c>
      <c r="U896" s="185"/>
      <c r="V896" s="185">
        <v>2000</v>
      </c>
      <c r="W896" s="185">
        <v>14080</v>
      </c>
      <c r="X896" s="187">
        <v>2698000</v>
      </c>
      <c r="Y896" s="185">
        <v>14086</v>
      </c>
      <c r="Z896" s="187">
        <v>2090950.01</v>
      </c>
      <c r="AA896" s="187">
        <v>0</v>
      </c>
      <c r="AB896" s="187">
        <v>607049.99</v>
      </c>
      <c r="AC896" s="187">
        <v>44966.68</v>
      </c>
      <c r="AD896" s="185">
        <v>57260</v>
      </c>
      <c r="AE896" s="187">
        <v>11241.67</v>
      </c>
      <c r="AF896" s="187">
        <v>0</v>
      </c>
      <c r="AG896" s="187">
        <v>11241.67</v>
      </c>
      <c r="AH896" s="185" t="s">
        <v>994</v>
      </c>
      <c r="AI896" s="185" t="s">
        <v>1050</v>
      </c>
      <c r="AJ896" s="185" t="s">
        <v>1296</v>
      </c>
      <c r="AK896" s="185" t="s">
        <v>45</v>
      </c>
      <c r="AL896" s="185" t="s">
        <v>2267</v>
      </c>
      <c r="AM896" s="185" t="s">
        <v>2269</v>
      </c>
      <c r="AN896" s="185"/>
      <c r="AO896" s="186"/>
      <c r="AP896" s="186"/>
      <c r="AQ896" s="184"/>
      <c r="AR896" s="184"/>
      <c r="AS896" s="184"/>
      <c r="AT896" s="184"/>
      <c r="AU896" s="184"/>
      <c r="AV896" s="184"/>
      <c r="AW896" s="184"/>
      <c r="AX896" s="184"/>
      <c r="AY896" s="184"/>
    </row>
    <row r="897" spans="2:51">
      <c r="B897" s="185">
        <v>2183</v>
      </c>
      <c r="C897" s="189">
        <v>61491</v>
      </c>
      <c r="D897" s="185" t="s">
        <v>989</v>
      </c>
      <c r="E897" s="185" t="s">
        <v>2003</v>
      </c>
      <c r="F897" s="185" t="s">
        <v>1199</v>
      </c>
      <c r="G897" s="185"/>
      <c r="H897" s="185"/>
      <c r="I897" s="188">
        <v>15</v>
      </c>
      <c r="J897" s="185"/>
      <c r="K897" s="188">
        <v>0</v>
      </c>
      <c r="L897" s="185"/>
      <c r="M897" s="185"/>
      <c r="N897" s="185" t="s">
        <v>2190</v>
      </c>
      <c r="O897" s="185" t="s">
        <v>2184</v>
      </c>
      <c r="P897" s="185"/>
      <c r="Q897" s="185" t="s">
        <v>2194</v>
      </c>
      <c r="R897" s="185" t="s">
        <v>2195</v>
      </c>
      <c r="S897" s="186">
        <v>39755</v>
      </c>
      <c r="T897" s="186">
        <v>39755</v>
      </c>
      <c r="U897" s="185"/>
      <c r="V897" s="185">
        <v>1200</v>
      </c>
      <c r="W897" s="185">
        <v>14050</v>
      </c>
      <c r="X897" s="187">
        <v>2094.15</v>
      </c>
      <c r="Y897" s="185">
        <v>14056</v>
      </c>
      <c r="Z897" s="187">
        <v>2094.15</v>
      </c>
      <c r="AA897" s="187">
        <v>0</v>
      </c>
      <c r="AB897" s="187">
        <v>0</v>
      </c>
      <c r="AC897" s="187">
        <v>0</v>
      </c>
      <c r="AD897" s="185">
        <v>54260</v>
      </c>
      <c r="AE897" s="187">
        <v>0</v>
      </c>
      <c r="AF897" s="187">
        <v>0</v>
      </c>
      <c r="AG897" s="187">
        <v>0</v>
      </c>
      <c r="AH897" s="185" t="s">
        <v>994</v>
      </c>
      <c r="AI897" s="185" t="s">
        <v>1050</v>
      </c>
      <c r="AJ897" s="185" t="s">
        <v>1296</v>
      </c>
      <c r="AK897" s="185" t="s">
        <v>45</v>
      </c>
      <c r="AL897" s="185" t="s">
        <v>2267</v>
      </c>
      <c r="AM897" s="185" t="s">
        <v>2269</v>
      </c>
      <c r="AN897" s="185"/>
      <c r="AO897" s="186"/>
      <c r="AP897" s="186"/>
      <c r="AQ897" s="184"/>
      <c r="AR897" s="184"/>
      <c r="AS897" s="184"/>
      <c r="AT897" s="184"/>
      <c r="AU897" s="184"/>
      <c r="AV897" s="184"/>
      <c r="AW897" s="184"/>
      <c r="AX897" s="184"/>
      <c r="AY897" s="184"/>
    </row>
    <row r="898" spans="2:51">
      <c r="B898" s="185">
        <v>2183</v>
      </c>
      <c r="C898" s="189">
        <v>61490</v>
      </c>
      <c r="D898" s="185" t="s">
        <v>989</v>
      </c>
      <c r="E898" s="185" t="s">
        <v>2003</v>
      </c>
      <c r="F898" s="185" t="s">
        <v>1815</v>
      </c>
      <c r="G898" s="185"/>
      <c r="H898" s="185"/>
      <c r="I898" s="188">
        <v>13</v>
      </c>
      <c r="J898" s="185"/>
      <c r="K898" s="188">
        <v>0</v>
      </c>
      <c r="L898" s="185"/>
      <c r="M898" s="185"/>
      <c r="N898" s="185" t="s">
        <v>2190</v>
      </c>
      <c r="O898" s="185" t="s">
        <v>2184</v>
      </c>
      <c r="P898" s="185"/>
      <c r="Q898" s="185" t="s">
        <v>2193</v>
      </c>
      <c r="R898" s="185" t="s">
        <v>2192</v>
      </c>
      <c r="S898" s="186">
        <v>39755</v>
      </c>
      <c r="T898" s="186">
        <v>39755</v>
      </c>
      <c r="U898" s="185"/>
      <c r="V898" s="185">
        <v>700</v>
      </c>
      <c r="W898" s="185">
        <v>14050</v>
      </c>
      <c r="X898" s="187">
        <v>16852.53</v>
      </c>
      <c r="Y898" s="185">
        <v>14056</v>
      </c>
      <c r="Z898" s="187">
        <v>16852.53</v>
      </c>
      <c r="AA898" s="187">
        <v>0</v>
      </c>
      <c r="AB898" s="187">
        <v>0</v>
      </c>
      <c r="AC898" s="187">
        <v>0</v>
      </c>
      <c r="AD898" s="185">
        <v>54260</v>
      </c>
      <c r="AE898" s="187">
        <v>0</v>
      </c>
      <c r="AF898" s="187">
        <v>0</v>
      </c>
      <c r="AG898" s="187">
        <v>0</v>
      </c>
      <c r="AH898" s="185" t="s">
        <v>994</v>
      </c>
      <c r="AI898" s="185" t="s">
        <v>1050</v>
      </c>
      <c r="AJ898" s="185" t="s">
        <v>1296</v>
      </c>
      <c r="AK898" s="185" t="s">
        <v>45</v>
      </c>
      <c r="AL898" s="185" t="s">
        <v>2267</v>
      </c>
      <c r="AM898" s="185" t="s">
        <v>2269</v>
      </c>
      <c r="AN898" s="185"/>
      <c r="AO898" s="186"/>
      <c r="AP898" s="186"/>
      <c r="AQ898" s="184"/>
      <c r="AR898" s="184"/>
      <c r="AS898" s="184"/>
      <c r="AT898" s="184"/>
      <c r="AU898" s="184"/>
      <c r="AV898" s="184"/>
      <c r="AW898" s="184"/>
      <c r="AX898" s="184"/>
      <c r="AY898" s="184"/>
    </row>
    <row r="899" spans="2:51">
      <c r="B899" s="185">
        <v>2183</v>
      </c>
      <c r="C899" s="189">
        <v>61489</v>
      </c>
      <c r="D899" s="185" t="s">
        <v>989</v>
      </c>
      <c r="E899" s="185" t="s">
        <v>2003</v>
      </c>
      <c r="F899" s="185" t="s">
        <v>1816</v>
      </c>
      <c r="G899" s="185"/>
      <c r="H899" s="185"/>
      <c r="I899" s="188">
        <v>108090</v>
      </c>
      <c r="J899" s="185"/>
      <c r="K899" s="188">
        <v>0</v>
      </c>
      <c r="L899" s="185"/>
      <c r="M899" s="185"/>
      <c r="N899" s="185" t="s">
        <v>2190</v>
      </c>
      <c r="O899" s="185" t="s">
        <v>2184</v>
      </c>
      <c r="P899" s="185"/>
      <c r="Q899" s="185"/>
      <c r="R899" s="185"/>
      <c r="S899" s="186">
        <v>39755</v>
      </c>
      <c r="T899" s="186">
        <v>39755</v>
      </c>
      <c r="U899" s="185"/>
      <c r="V899" s="185">
        <v>500</v>
      </c>
      <c r="W899" s="185">
        <v>14050</v>
      </c>
      <c r="X899" s="187">
        <v>1060918.8700000001</v>
      </c>
      <c r="Y899" s="185">
        <v>14056</v>
      </c>
      <c r="Z899" s="187">
        <v>1060918.8700000001</v>
      </c>
      <c r="AA899" s="187">
        <v>0</v>
      </c>
      <c r="AB899" s="187">
        <v>0</v>
      </c>
      <c r="AC899" s="187">
        <v>0</v>
      </c>
      <c r="AD899" s="185">
        <v>54260</v>
      </c>
      <c r="AE899" s="187">
        <v>0</v>
      </c>
      <c r="AF899" s="187">
        <v>0</v>
      </c>
      <c r="AG899" s="187">
        <v>0</v>
      </c>
      <c r="AH899" s="185" t="s">
        <v>994</v>
      </c>
      <c r="AI899" s="185" t="s">
        <v>1050</v>
      </c>
      <c r="AJ899" s="185" t="s">
        <v>1296</v>
      </c>
      <c r="AK899" s="185" t="s">
        <v>45</v>
      </c>
      <c r="AL899" s="185" t="s">
        <v>2267</v>
      </c>
      <c r="AM899" s="185" t="s">
        <v>2269</v>
      </c>
      <c r="AN899" s="185"/>
      <c r="AO899" s="186"/>
      <c r="AP899" s="186"/>
      <c r="AQ899" s="184"/>
      <c r="AR899" s="184"/>
      <c r="AS899" s="184"/>
      <c r="AT899" s="184"/>
      <c r="AU899" s="184"/>
      <c r="AV899" s="184"/>
      <c r="AW899" s="184"/>
      <c r="AX899" s="184"/>
      <c r="AY899" s="184"/>
    </row>
    <row r="900" spans="2:51">
      <c r="B900" s="185">
        <v>2183</v>
      </c>
      <c r="C900" s="189">
        <v>61488</v>
      </c>
      <c r="D900" s="185" t="s">
        <v>989</v>
      </c>
      <c r="E900" s="185" t="s">
        <v>2003</v>
      </c>
      <c r="F900" s="185" t="s">
        <v>906</v>
      </c>
      <c r="G900" s="185"/>
      <c r="H900" s="185"/>
      <c r="I900" s="188">
        <v>7</v>
      </c>
      <c r="J900" s="185"/>
      <c r="K900" s="188">
        <v>0</v>
      </c>
      <c r="L900" s="185"/>
      <c r="M900" s="185"/>
      <c r="N900" s="185" t="s">
        <v>2190</v>
      </c>
      <c r="O900" s="185" t="s">
        <v>2184</v>
      </c>
      <c r="P900" s="185"/>
      <c r="Q900" s="185" t="s">
        <v>2191</v>
      </c>
      <c r="R900" s="185" t="s">
        <v>2192</v>
      </c>
      <c r="S900" s="186">
        <v>39755</v>
      </c>
      <c r="T900" s="186">
        <v>39755</v>
      </c>
      <c r="U900" s="185"/>
      <c r="V900" s="185">
        <v>700</v>
      </c>
      <c r="W900" s="185">
        <v>14050</v>
      </c>
      <c r="X900" s="187">
        <v>100552.05</v>
      </c>
      <c r="Y900" s="185">
        <v>14056</v>
      </c>
      <c r="Z900" s="187">
        <v>100552.05</v>
      </c>
      <c r="AA900" s="187">
        <v>0</v>
      </c>
      <c r="AB900" s="187">
        <v>0</v>
      </c>
      <c r="AC900" s="187">
        <v>0</v>
      </c>
      <c r="AD900" s="185">
        <v>54260</v>
      </c>
      <c r="AE900" s="187">
        <v>0</v>
      </c>
      <c r="AF900" s="187">
        <v>0</v>
      </c>
      <c r="AG900" s="187">
        <v>0</v>
      </c>
      <c r="AH900" s="185" t="s">
        <v>994</v>
      </c>
      <c r="AI900" s="185" t="s">
        <v>1050</v>
      </c>
      <c r="AJ900" s="185" t="s">
        <v>1296</v>
      </c>
      <c r="AK900" s="185" t="s">
        <v>45</v>
      </c>
      <c r="AL900" s="185" t="s">
        <v>2267</v>
      </c>
      <c r="AM900" s="185" t="s">
        <v>2269</v>
      </c>
      <c r="AN900" s="185"/>
      <c r="AO900" s="186"/>
      <c r="AP900" s="186"/>
      <c r="AQ900" s="184"/>
      <c r="AR900" s="184"/>
      <c r="AS900" s="184"/>
      <c r="AT900" s="184"/>
      <c r="AU900" s="184"/>
      <c r="AV900" s="184"/>
      <c r="AW900" s="184"/>
      <c r="AX900" s="184"/>
      <c r="AY900" s="184"/>
    </row>
    <row r="901" spans="2:51">
      <c r="B901" s="185">
        <v>2183</v>
      </c>
      <c r="C901" s="189">
        <v>61487</v>
      </c>
      <c r="D901" s="185" t="s">
        <v>989</v>
      </c>
      <c r="E901" s="185" t="s">
        <v>2003</v>
      </c>
      <c r="F901" s="185" t="s">
        <v>906</v>
      </c>
      <c r="G901" s="185"/>
      <c r="H901" s="185"/>
      <c r="I901" s="188">
        <v>49</v>
      </c>
      <c r="J901" s="185"/>
      <c r="K901" s="188">
        <v>0</v>
      </c>
      <c r="L901" s="185"/>
      <c r="M901" s="185"/>
      <c r="N901" s="185" t="s">
        <v>2190</v>
      </c>
      <c r="O901" s="185" t="s">
        <v>2184</v>
      </c>
      <c r="P901" s="185"/>
      <c r="Q901" s="185" t="s">
        <v>2191</v>
      </c>
      <c r="R901" s="185" t="s">
        <v>2192</v>
      </c>
      <c r="S901" s="186">
        <v>39755</v>
      </c>
      <c r="T901" s="186">
        <v>39755</v>
      </c>
      <c r="U901" s="185"/>
      <c r="V901" s="185">
        <v>700</v>
      </c>
      <c r="W901" s="185">
        <v>14050</v>
      </c>
      <c r="X901" s="187">
        <v>73583.89</v>
      </c>
      <c r="Y901" s="185">
        <v>14056</v>
      </c>
      <c r="Z901" s="187">
        <v>73583.89</v>
      </c>
      <c r="AA901" s="187">
        <v>0</v>
      </c>
      <c r="AB901" s="187">
        <v>0</v>
      </c>
      <c r="AC901" s="187">
        <v>0</v>
      </c>
      <c r="AD901" s="185">
        <v>54260</v>
      </c>
      <c r="AE901" s="187">
        <v>0</v>
      </c>
      <c r="AF901" s="187">
        <v>0</v>
      </c>
      <c r="AG901" s="187">
        <v>0</v>
      </c>
      <c r="AH901" s="185" t="s">
        <v>994</v>
      </c>
      <c r="AI901" s="185" t="s">
        <v>1050</v>
      </c>
      <c r="AJ901" s="185" t="s">
        <v>1296</v>
      </c>
      <c r="AK901" s="185" t="s">
        <v>45</v>
      </c>
      <c r="AL901" s="185" t="s">
        <v>2267</v>
      </c>
      <c r="AM901" s="185" t="s">
        <v>2269</v>
      </c>
      <c r="AN901" s="185"/>
      <c r="AO901" s="186"/>
      <c r="AP901" s="186"/>
      <c r="AQ901" s="184"/>
      <c r="AR901" s="184"/>
      <c r="AS901" s="184"/>
      <c r="AT901" s="184"/>
      <c r="AU901" s="184"/>
      <c r="AV901" s="184"/>
      <c r="AW901" s="184"/>
      <c r="AX901" s="184"/>
      <c r="AY901" s="184"/>
    </row>
    <row r="902" spans="2:51">
      <c r="B902" s="185">
        <v>2183</v>
      </c>
      <c r="C902" s="189">
        <v>61486</v>
      </c>
      <c r="D902" s="185" t="s">
        <v>989</v>
      </c>
      <c r="E902" s="185" t="s">
        <v>2003</v>
      </c>
      <c r="F902" s="185" t="s">
        <v>1817</v>
      </c>
      <c r="G902" s="185"/>
      <c r="H902" s="185"/>
      <c r="I902" s="188">
        <v>1</v>
      </c>
      <c r="J902" s="185"/>
      <c r="K902" s="188">
        <v>0</v>
      </c>
      <c r="L902" s="185"/>
      <c r="M902" s="185"/>
      <c r="N902" s="185" t="s">
        <v>2189</v>
      </c>
      <c r="O902" s="185" t="s">
        <v>2184</v>
      </c>
      <c r="P902" s="185"/>
      <c r="Q902" s="185"/>
      <c r="R902" s="185"/>
      <c r="S902" s="186">
        <v>39755</v>
      </c>
      <c r="T902" s="186">
        <v>39755</v>
      </c>
      <c r="U902" s="185"/>
      <c r="V902" s="185">
        <v>2000</v>
      </c>
      <c r="W902" s="185">
        <v>14010</v>
      </c>
      <c r="X902" s="187">
        <v>600000</v>
      </c>
      <c r="Y902" s="185">
        <v>14016</v>
      </c>
      <c r="Z902" s="187">
        <v>465000</v>
      </c>
      <c r="AA902" s="187">
        <v>0</v>
      </c>
      <c r="AB902" s="187">
        <v>135000</v>
      </c>
      <c r="AC902" s="187">
        <v>10000</v>
      </c>
      <c r="AD902" s="185">
        <v>57260</v>
      </c>
      <c r="AE902" s="187">
        <v>2500</v>
      </c>
      <c r="AF902" s="187">
        <v>0</v>
      </c>
      <c r="AG902" s="187">
        <v>2500</v>
      </c>
      <c r="AH902" s="185" t="s">
        <v>994</v>
      </c>
      <c r="AI902" s="185" t="s">
        <v>1050</v>
      </c>
      <c r="AJ902" s="185" t="s">
        <v>1296</v>
      </c>
      <c r="AK902" s="185" t="s">
        <v>45</v>
      </c>
      <c r="AL902" s="185" t="s">
        <v>2267</v>
      </c>
      <c r="AM902" s="185" t="s">
        <v>2269</v>
      </c>
      <c r="AN902" s="185"/>
      <c r="AO902" s="186"/>
      <c r="AP902" s="186"/>
      <c r="AQ902" s="184"/>
      <c r="AR902" s="184"/>
      <c r="AS902" s="184"/>
      <c r="AT902" s="184"/>
      <c r="AU902" s="184"/>
      <c r="AV902" s="184"/>
      <c r="AW902" s="184"/>
      <c r="AX902" s="184"/>
      <c r="AY902" s="184"/>
    </row>
    <row r="903" spans="2:51">
      <c r="B903" s="185">
        <v>2183</v>
      </c>
      <c r="C903" s="189">
        <v>61130</v>
      </c>
      <c r="D903" s="185" t="s">
        <v>989</v>
      </c>
      <c r="E903" s="185" t="s">
        <v>2003</v>
      </c>
      <c r="F903" s="185" t="s">
        <v>1818</v>
      </c>
      <c r="G903" s="185"/>
      <c r="H903" s="185"/>
      <c r="I903" s="188">
        <v>1</v>
      </c>
      <c r="J903" s="185"/>
      <c r="K903" s="188">
        <v>0</v>
      </c>
      <c r="L903" s="185"/>
      <c r="M903" s="185"/>
      <c r="N903" s="185" t="s">
        <v>2188</v>
      </c>
      <c r="O903" s="185" t="s">
        <v>2188</v>
      </c>
      <c r="P903" s="185"/>
      <c r="Q903" s="185"/>
      <c r="R903" s="185"/>
      <c r="S903" s="186">
        <v>39755</v>
      </c>
      <c r="T903" s="186">
        <v>39755</v>
      </c>
      <c r="U903" s="185"/>
      <c r="V903" s="185">
        <v>0</v>
      </c>
      <c r="W903" s="185">
        <v>15110</v>
      </c>
      <c r="X903" s="187">
        <v>3164917</v>
      </c>
      <c r="Y903" s="185">
        <v>15115</v>
      </c>
      <c r="Z903" s="187">
        <v>0</v>
      </c>
      <c r="AA903" s="187">
        <v>0</v>
      </c>
      <c r="AB903" s="187">
        <v>3164917</v>
      </c>
      <c r="AC903" s="187">
        <v>0</v>
      </c>
      <c r="AD903" s="185">
        <v>70264</v>
      </c>
      <c r="AE903" s="187">
        <v>0</v>
      </c>
      <c r="AF903" s="187">
        <v>0</v>
      </c>
      <c r="AG903" s="187">
        <v>0</v>
      </c>
      <c r="AH903" s="185" t="s">
        <v>994</v>
      </c>
      <c r="AI903" s="185" t="s">
        <v>1050</v>
      </c>
      <c r="AJ903" s="185" t="s">
        <v>1296</v>
      </c>
      <c r="AK903" s="185" t="s">
        <v>45</v>
      </c>
      <c r="AL903" s="185" t="s">
        <v>2267</v>
      </c>
      <c r="AM903" s="185" t="s">
        <v>2268</v>
      </c>
      <c r="AN903" s="185"/>
      <c r="AO903" s="186"/>
      <c r="AP903" s="186"/>
      <c r="AQ903" s="184"/>
      <c r="AR903" s="184"/>
      <c r="AS903" s="184"/>
      <c r="AT903" s="184"/>
      <c r="AU903" s="184"/>
      <c r="AV903" s="184"/>
      <c r="AW903" s="184"/>
      <c r="AX903" s="184"/>
      <c r="AY903" s="184"/>
    </row>
    <row r="904" spans="2:51">
      <c r="B904" s="185">
        <v>2183</v>
      </c>
      <c r="C904" s="189">
        <v>61129</v>
      </c>
      <c r="D904" s="185" t="s">
        <v>989</v>
      </c>
      <c r="E904" s="185" t="s">
        <v>2003</v>
      </c>
      <c r="F904" s="185" t="s">
        <v>1819</v>
      </c>
      <c r="G904" s="185"/>
      <c r="H904" s="185"/>
      <c r="I904" s="188">
        <v>1</v>
      </c>
      <c r="J904" s="185" t="s">
        <v>1820</v>
      </c>
      <c r="K904" s="188">
        <v>2009</v>
      </c>
      <c r="L904" s="185" t="s">
        <v>1097</v>
      </c>
      <c r="M904" s="185" t="s">
        <v>1408</v>
      </c>
      <c r="N904" s="185" t="s">
        <v>2183</v>
      </c>
      <c r="O904" s="185" t="s">
        <v>2184</v>
      </c>
      <c r="P904" s="185" t="s">
        <v>2187</v>
      </c>
      <c r="Q904" s="185"/>
      <c r="R904" s="185"/>
      <c r="S904" s="186">
        <v>39755</v>
      </c>
      <c r="T904" s="186">
        <v>39755</v>
      </c>
      <c r="U904" s="185"/>
      <c r="V904" s="185">
        <v>1000</v>
      </c>
      <c r="W904" s="185">
        <v>14040</v>
      </c>
      <c r="X904" s="187">
        <v>132128.6</v>
      </c>
      <c r="Y904" s="185">
        <v>14046</v>
      </c>
      <c r="Z904" s="187">
        <v>132128.6</v>
      </c>
      <c r="AA904" s="187">
        <v>0</v>
      </c>
      <c r="AB904" s="187">
        <v>0</v>
      </c>
      <c r="AC904" s="187">
        <v>0</v>
      </c>
      <c r="AD904" s="185">
        <v>51260</v>
      </c>
      <c r="AE904" s="187">
        <v>0</v>
      </c>
      <c r="AF904" s="187">
        <v>0</v>
      </c>
      <c r="AG904" s="187">
        <v>0</v>
      </c>
      <c r="AH904" s="185" t="s">
        <v>994</v>
      </c>
      <c r="AI904" s="185" t="s">
        <v>1050</v>
      </c>
      <c r="AJ904" s="185">
        <v>3622</v>
      </c>
      <c r="AK904" s="185" t="s">
        <v>45</v>
      </c>
      <c r="AL904" s="185" t="s">
        <v>2267</v>
      </c>
      <c r="AM904" s="185" t="s">
        <v>2269</v>
      </c>
      <c r="AN904" s="185"/>
      <c r="AO904" s="186"/>
      <c r="AP904" s="186"/>
      <c r="AQ904" s="184"/>
      <c r="AR904" s="184"/>
      <c r="AS904" s="184"/>
      <c r="AT904" s="184"/>
      <c r="AU904" s="184"/>
      <c r="AV904" s="184"/>
      <c r="AW904" s="184"/>
      <c r="AX904" s="184"/>
      <c r="AY904" s="184"/>
    </row>
    <row r="905" spans="2:51">
      <c r="B905" s="185">
        <v>2183</v>
      </c>
      <c r="C905" s="189">
        <v>61128</v>
      </c>
      <c r="D905" s="185" t="s">
        <v>989</v>
      </c>
      <c r="E905" s="185" t="s">
        <v>2003</v>
      </c>
      <c r="F905" s="185" t="s">
        <v>1819</v>
      </c>
      <c r="G905" s="185"/>
      <c r="H905" s="185"/>
      <c r="I905" s="188">
        <v>1</v>
      </c>
      <c r="J905" s="185" t="s">
        <v>1821</v>
      </c>
      <c r="K905" s="188">
        <v>2009</v>
      </c>
      <c r="L905" s="185" t="s">
        <v>1097</v>
      </c>
      <c r="M905" s="185" t="s">
        <v>1408</v>
      </c>
      <c r="N905" s="185" t="s">
        <v>2183</v>
      </c>
      <c r="O905" s="185" t="s">
        <v>2184</v>
      </c>
      <c r="P905" s="185" t="s">
        <v>2187</v>
      </c>
      <c r="Q905" s="185"/>
      <c r="R905" s="185"/>
      <c r="S905" s="186">
        <v>39755</v>
      </c>
      <c r="T905" s="186">
        <v>39755</v>
      </c>
      <c r="U905" s="185"/>
      <c r="V905" s="185">
        <v>1000</v>
      </c>
      <c r="W905" s="185">
        <v>14040</v>
      </c>
      <c r="X905" s="187">
        <v>132128.6</v>
      </c>
      <c r="Y905" s="185">
        <v>14046</v>
      </c>
      <c r="Z905" s="187">
        <v>132128.6</v>
      </c>
      <c r="AA905" s="187">
        <v>0</v>
      </c>
      <c r="AB905" s="187">
        <v>0</v>
      </c>
      <c r="AC905" s="187">
        <v>0</v>
      </c>
      <c r="AD905" s="185">
        <v>51260</v>
      </c>
      <c r="AE905" s="187">
        <v>0</v>
      </c>
      <c r="AF905" s="187">
        <v>0</v>
      </c>
      <c r="AG905" s="187">
        <v>0</v>
      </c>
      <c r="AH905" s="185" t="s">
        <v>994</v>
      </c>
      <c r="AI905" s="185" t="s">
        <v>1050</v>
      </c>
      <c r="AJ905" s="185">
        <v>3621</v>
      </c>
      <c r="AK905" s="185" t="s">
        <v>45</v>
      </c>
      <c r="AL905" s="185" t="s">
        <v>2267</v>
      </c>
      <c r="AM905" s="185" t="s">
        <v>2269</v>
      </c>
      <c r="AN905" s="185"/>
      <c r="AO905" s="186"/>
      <c r="AP905" s="186"/>
      <c r="AQ905" s="184"/>
      <c r="AR905" s="184"/>
      <c r="AS905" s="184"/>
      <c r="AT905" s="184"/>
      <c r="AU905" s="184"/>
      <c r="AV905" s="184"/>
      <c r="AW905" s="184"/>
      <c r="AX905" s="184"/>
      <c r="AY905" s="184"/>
    </row>
    <row r="906" spans="2:51">
      <c r="B906" s="185">
        <v>2183</v>
      </c>
      <c r="C906" s="189">
        <v>61125</v>
      </c>
      <c r="D906" s="185" t="s">
        <v>989</v>
      </c>
      <c r="E906" s="185" t="s">
        <v>2003</v>
      </c>
      <c r="F906" s="185" t="s">
        <v>1532</v>
      </c>
      <c r="G906" s="185"/>
      <c r="H906" s="185"/>
      <c r="I906" s="188">
        <v>1</v>
      </c>
      <c r="J906" s="185" t="s">
        <v>1822</v>
      </c>
      <c r="K906" s="188">
        <v>2008</v>
      </c>
      <c r="L906" s="185" t="s">
        <v>1511</v>
      </c>
      <c r="M906" s="185" t="s">
        <v>1534</v>
      </c>
      <c r="N906" s="185" t="s">
        <v>2183</v>
      </c>
      <c r="O906" s="185" t="s">
        <v>2184</v>
      </c>
      <c r="P906" s="185" t="s">
        <v>287</v>
      </c>
      <c r="Q906" s="185"/>
      <c r="R906" s="185"/>
      <c r="S906" s="186">
        <v>39755</v>
      </c>
      <c r="T906" s="186">
        <v>39755</v>
      </c>
      <c r="U906" s="185"/>
      <c r="V906" s="185">
        <v>900</v>
      </c>
      <c r="W906" s="185">
        <v>14040</v>
      </c>
      <c r="X906" s="187">
        <v>106500</v>
      </c>
      <c r="Y906" s="185">
        <v>14046</v>
      </c>
      <c r="Z906" s="187">
        <v>106500</v>
      </c>
      <c r="AA906" s="187">
        <v>0</v>
      </c>
      <c r="AB906" s="187">
        <v>0</v>
      </c>
      <c r="AC906" s="187">
        <v>0</v>
      </c>
      <c r="AD906" s="185">
        <v>51260</v>
      </c>
      <c r="AE906" s="187">
        <v>0</v>
      </c>
      <c r="AF906" s="187">
        <v>0</v>
      </c>
      <c r="AG906" s="187">
        <v>0</v>
      </c>
      <c r="AH906" s="185" t="s">
        <v>994</v>
      </c>
      <c r="AI906" s="185" t="s">
        <v>1050</v>
      </c>
      <c r="AJ906" s="185">
        <v>4061</v>
      </c>
      <c r="AK906" s="185" t="s">
        <v>45</v>
      </c>
      <c r="AL906" s="185" t="s">
        <v>2267</v>
      </c>
      <c r="AM906" s="185" t="s">
        <v>2269</v>
      </c>
      <c r="AN906" s="185"/>
      <c r="AO906" s="186"/>
      <c r="AP906" s="186"/>
      <c r="AQ906" s="184"/>
      <c r="AR906" s="184"/>
      <c r="AS906" s="184"/>
      <c r="AT906" s="184"/>
      <c r="AU906" s="184"/>
      <c r="AV906" s="184"/>
      <c r="AW906" s="184"/>
      <c r="AX906" s="184"/>
      <c r="AY906" s="184"/>
    </row>
    <row r="907" spans="2:51">
      <c r="B907" s="185">
        <v>2183</v>
      </c>
      <c r="C907" s="189">
        <v>61124</v>
      </c>
      <c r="D907" s="185" t="s">
        <v>989</v>
      </c>
      <c r="E907" s="185" t="s">
        <v>2003</v>
      </c>
      <c r="F907" s="185" t="s">
        <v>1823</v>
      </c>
      <c r="G907" s="185"/>
      <c r="H907" s="185"/>
      <c r="I907" s="188">
        <v>1</v>
      </c>
      <c r="J907" s="185" t="s">
        <v>1824</v>
      </c>
      <c r="K907" s="188">
        <v>2007</v>
      </c>
      <c r="L907" s="185" t="s">
        <v>1097</v>
      </c>
      <c r="M907" s="185" t="s">
        <v>1408</v>
      </c>
      <c r="N907" s="185" t="s">
        <v>2183</v>
      </c>
      <c r="O907" s="185" t="s">
        <v>2184</v>
      </c>
      <c r="P907" s="185" t="s">
        <v>2187</v>
      </c>
      <c r="Q907" s="185"/>
      <c r="R907" s="185"/>
      <c r="S907" s="186">
        <v>39755</v>
      </c>
      <c r="T907" s="186">
        <v>39755</v>
      </c>
      <c r="U907" s="185"/>
      <c r="V907" s="185">
        <v>800</v>
      </c>
      <c r="W907" s="185">
        <v>14040</v>
      </c>
      <c r="X907" s="187">
        <v>133500</v>
      </c>
      <c r="Y907" s="185">
        <v>14046</v>
      </c>
      <c r="Z907" s="187">
        <v>133500</v>
      </c>
      <c r="AA907" s="187">
        <v>0</v>
      </c>
      <c r="AB907" s="187">
        <v>0</v>
      </c>
      <c r="AC907" s="187">
        <v>0</v>
      </c>
      <c r="AD907" s="185">
        <v>51260</v>
      </c>
      <c r="AE907" s="187">
        <v>0</v>
      </c>
      <c r="AF907" s="187">
        <v>0</v>
      </c>
      <c r="AG907" s="187">
        <v>0</v>
      </c>
      <c r="AH907" s="185" t="s">
        <v>994</v>
      </c>
      <c r="AI907" s="185" t="s">
        <v>1050</v>
      </c>
      <c r="AJ907" s="185">
        <v>3615</v>
      </c>
      <c r="AK907" s="185" t="s">
        <v>45</v>
      </c>
      <c r="AL907" s="185" t="s">
        <v>2267</v>
      </c>
      <c r="AM907" s="185" t="s">
        <v>2269</v>
      </c>
      <c r="AN907" s="185"/>
      <c r="AO907" s="186"/>
      <c r="AP907" s="186"/>
      <c r="AQ907" s="184"/>
      <c r="AR907" s="184"/>
      <c r="AS907" s="184"/>
      <c r="AT907" s="184"/>
      <c r="AU907" s="184"/>
      <c r="AV907" s="184"/>
      <c r="AW907" s="184"/>
      <c r="AX907" s="184"/>
      <c r="AY907" s="184"/>
    </row>
    <row r="908" spans="2:51">
      <c r="B908" s="185">
        <v>2183</v>
      </c>
      <c r="C908" s="189">
        <v>61121</v>
      </c>
      <c r="D908" s="185" t="s">
        <v>989</v>
      </c>
      <c r="E908" s="185" t="s">
        <v>2003</v>
      </c>
      <c r="F908" s="185" t="s">
        <v>1823</v>
      </c>
      <c r="G908" s="185"/>
      <c r="H908" s="185"/>
      <c r="I908" s="188">
        <v>1</v>
      </c>
      <c r="J908" s="185" t="s">
        <v>1825</v>
      </c>
      <c r="K908" s="188">
        <v>2007</v>
      </c>
      <c r="L908" s="185" t="s">
        <v>1097</v>
      </c>
      <c r="M908" s="185" t="s">
        <v>1408</v>
      </c>
      <c r="N908" s="185" t="s">
        <v>2183</v>
      </c>
      <c r="O908" s="185" t="s">
        <v>2184</v>
      </c>
      <c r="P908" s="185" t="s">
        <v>2187</v>
      </c>
      <c r="Q908" s="185"/>
      <c r="R908" s="185"/>
      <c r="S908" s="186">
        <v>39755</v>
      </c>
      <c r="T908" s="186">
        <v>39755</v>
      </c>
      <c r="U908" s="185"/>
      <c r="V908" s="185">
        <v>800</v>
      </c>
      <c r="W908" s="185">
        <v>14040</v>
      </c>
      <c r="X908" s="187">
        <v>133500</v>
      </c>
      <c r="Y908" s="185">
        <v>14046</v>
      </c>
      <c r="Z908" s="187">
        <v>133500</v>
      </c>
      <c r="AA908" s="187">
        <v>0</v>
      </c>
      <c r="AB908" s="187">
        <v>0</v>
      </c>
      <c r="AC908" s="187">
        <v>0</v>
      </c>
      <c r="AD908" s="185">
        <v>51260</v>
      </c>
      <c r="AE908" s="187">
        <v>0</v>
      </c>
      <c r="AF908" s="187">
        <v>0</v>
      </c>
      <c r="AG908" s="187">
        <v>0</v>
      </c>
      <c r="AH908" s="185" t="s">
        <v>994</v>
      </c>
      <c r="AI908" s="185" t="s">
        <v>1050</v>
      </c>
      <c r="AJ908" s="185">
        <v>3604</v>
      </c>
      <c r="AK908" s="185" t="s">
        <v>45</v>
      </c>
      <c r="AL908" s="185" t="s">
        <v>2267</v>
      </c>
      <c r="AM908" s="185" t="s">
        <v>2269</v>
      </c>
      <c r="AN908" s="185"/>
      <c r="AO908" s="186"/>
      <c r="AP908" s="186"/>
      <c r="AQ908" s="184"/>
      <c r="AR908" s="184"/>
      <c r="AS908" s="184"/>
      <c r="AT908" s="184"/>
      <c r="AU908" s="184"/>
      <c r="AV908" s="184"/>
      <c r="AW908" s="184"/>
      <c r="AX908" s="184"/>
      <c r="AY908" s="184"/>
    </row>
    <row r="909" spans="2:51">
      <c r="B909" s="185">
        <v>2183</v>
      </c>
      <c r="C909" s="189">
        <v>61120</v>
      </c>
      <c r="D909" s="185" t="s">
        <v>989</v>
      </c>
      <c r="E909" s="185" t="s">
        <v>2003</v>
      </c>
      <c r="F909" s="185" t="s">
        <v>1823</v>
      </c>
      <c r="G909" s="185"/>
      <c r="H909" s="185"/>
      <c r="I909" s="188">
        <v>1</v>
      </c>
      <c r="J909" s="185" t="s">
        <v>1826</v>
      </c>
      <c r="K909" s="188">
        <v>2007</v>
      </c>
      <c r="L909" s="185" t="s">
        <v>1097</v>
      </c>
      <c r="M909" s="185" t="s">
        <v>1408</v>
      </c>
      <c r="N909" s="185" t="s">
        <v>2183</v>
      </c>
      <c r="O909" s="185" t="s">
        <v>2184</v>
      </c>
      <c r="P909" s="185" t="s">
        <v>2187</v>
      </c>
      <c r="Q909" s="185"/>
      <c r="R909" s="185"/>
      <c r="S909" s="186">
        <v>39755</v>
      </c>
      <c r="T909" s="186">
        <v>39755</v>
      </c>
      <c r="U909" s="185"/>
      <c r="V909" s="185">
        <v>800</v>
      </c>
      <c r="W909" s="185">
        <v>14040</v>
      </c>
      <c r="X909" s="187">
        <v>133500</v>
      </c>
      <c r="Y909" s="185">
        <v>14046</v>
      </c>
      <c r="Z909" s="187">
        <v>133500</v>
      </c>
      <c r="AA909" s="187">
        <v>0</v>
      </c>
      <c r="AB909" s="187">
        <v>0</v>
      </c>
      <c r="AC909" s="187">
        <v>0</v>
      </c>
      <c r="AD909" s="185">
        <v>51260</v>
      </c>
      <c r="AE909" s="187">
        <v>0</v>
      </c>
      <c r="AF909" s="187">
        <v>0</v>
      </c>
      <c r="AG909" s="187">
        <v>0</v>
      </c>
      <c r="AH909" s="185" t="s">
        <v>994</v>
      </c>
      <c r="AI909" s="185" t="s">
        <v>1050</v>
      </c>
      <c r="AJ909" s="185">
        <v>3603</v>
      </c>
      <c r="AK909" s="185" t="s">
        <v>45</v>
      </c>
      <c r="AL909" s="185" t="s">
        <v>2267</v>
      </c>
      <c r="AM909" s="185" t="s">
        <v>2269</v>
      </c>
      <c r="AN909" s="185"/>
      <c r="AO909" s="186"/>
      <c r="AP909" s="186"/>
      <c r="AQ909" s="184"/>
      <c r="AR909" s="184"/>
      <c r="AS909" s="184"/>
      <c r="AT909" s="184"/>
      <c r="AU909" s="184"/>
      <c r="AV909" s="184"/>
      <c r="AW909" s="184"/>
      <c r="AX909" s="184"/>
      <c r="AY909" s="184"/>
    </row>
    <row r="910" spans="2:51">
      <c r="B910" s="185">
        <v>2183</v>
      </c>
      <c r="C910" s="189">
        <v>61117</v>
      </c>
      <c r="D910" s="185" t="s">
        <v>989</v>
      </c>
      <c r="E910" s="185" t="s">
        <v>2003</v>
      </c>
      <c r="F910" s="185" t="s">
        <v>1823</v>
      </c>
      <c r="G910" s="185"/>
      <c r="H910" s="185"/>
      <c r="I910" s="188">
        <v>1</v>
      </c>
      <c r="J910" s="185" t="s">
        <v>1827</v>
      </c>
      <c r="K910" s="188">
        <v>2007</v>
      </c>
      <c r="L910" s="185" t="s">
        <v>1097</v>
      </c>
      <c r="M910" s="185" t="s">
        <v>1408</v>
      </c>
      <c r="N910" s="185" t="s">
        <v>2183</v>
      </c>
      <c r="O910" s="185" t="s">
        <v>2184</v>
      </c>
      <c r="P910" s="185" t="s">
        <v>2187</v>
      </c>
      <c r="Q910" s="185"/>
      <c r="R910" s="185"/>
      <c r="S910" s="186">
        <v>39755</v>
      </c>
      <c r="T910" s="186">
        <v>39755</v>
      </c>
      <c r="U910" s="185"/>
      <c r="V910" s="185">
        <v>800</v>
      </c>
      <c r="W910" s="185">
        <v>14040</v>
      </c>
      <c r="X910" s="187">
        <v>133500</v>
      </c>
      <c r="Y910" s="185">
        <v>14046</v>
      </c>
      <c r="Z910" s="187">
        <v>133500</v>
      </c>
      <c r="AA910" s="187">
        <v>0</v>
      </c>
      <c r="AB910" s="187">
        <v>0</v>
      </c>
      <c r="AC910" s="187">
        <v>0</v>
      </c>
      <c r="AD910" s="185">
        <v>51260</v>
      </c>
      <c r="AE910" s="187">
        <v>0</v>
      </c>
      <c r="AF910" s="187">
        <v>0</v>
      </c>
      <c r="AG910" s="187">
        <v>0</v>
      </c>
      <c r="AH910" s="185" t="s">
        <v>994</v>
      </c>
      <c r="AI910" s="185" t="s">
        <v>1050</v>
      </c>
      <c r="AJ910" s="185">
        <v>3600</v>
      </c>
      <c r="AK910" s="185" t="s">
        <v>45</v>
      </c>
      <c r="AL910" s="185" t="s">
        <v>2267</v>
      </c>
      <c r="AM910" s="185" t="s">
        <v>2269</v>
      </c>
      <c r="AN910" s="185"/>
      <c r="AO910" s="186"/>
      <c r="AP910" s="186"/>
      <c r="AQ910" s="184"/>
      <c r="AR910" s="184"/>
      <c r="AS910" s="184"/>
      <c r="AT910" s="184"/>
      <c r="AU910" s="184"/>
      <c r="AV910" s="184"/>
      <c r="AW910" s="184"/>
      <c r="AX910" s="184"/>
      <c r="AY910" s="184"/>
    </row>
    <row r="911" spans="2:51">
      <c r="B911" s="185">
        <v>2183</v>
      </c>
      <c r="C911" s="189">
        <v>61112</v>
      </c>
      <c r="D911" s="185" t="s">
        <v>989</v>
      </c>
      <c r="E911" s="185" t="s">
        <v>2003</v>
      </c>
      <c r="F911" s="185" t="s">
        <v>1828</v>
      </c>
      <c r="G911" s="185"/>
      <c r="H911" s="185"/>
      <c r="I911" s="188">
        <v>1</v>
      </c>
      <c r="J911" s="185" t="s">
        <v>1829</v>
      </c>
      <c r="K911" s="188">
        <v>2007</v>
      </c>
      <c r="L911" s="185" t="s">
        <v>1511</v>
      </c>
      <c r="M911" s="185" t="s">
        <v>1534</v>
      </c>
      <c r="N911" s="185" t="s">
        <v>2183</v>
      </c>
      <c r="O911" s="185" t="s">
        <v>2184</v>
      </c>
      <c r="P911" s="185" t="s">
        <v>287</v>
      </c>
      <c r="Q911" s="185"/>
      <c r="R911" s="185"/>
      <c r="S911" s="186">
        <v>39755</v>
      </c>
      <c r="T911" s="186">
        <v>39755</v>
      </c>
      <c r="U911" s="185"/>
      <c r="V911" s="185">
        <v>800</v>
      </c>
      <c r="W911" s="185">
        <v>14040</v>
      </c>
      <c r="X911" s="187">
        <v>86500</v>
      </c>
      <c r="Y911" s="185">
        <v>14046</v>
      </c>
      <c r="Z911" s="187">
        <v>86500</v>
      </c>
      <c r="AA911" s="187">
        <v>0</v>
      </c>
      <c r="AB911" s="187">
        <v>0</v>
      </c>
      <c r="AC911" s="187">
        <v>0</v>
      </c>
      <c r="AD911" s="185">
        <v>51260</v>
      </c>
      <c r="AE911" s="187">
        <v>0</v>
      </c>
      <c r="AF911" s="187">
        <v>0</v>
      </c>
      <c r="AG911" s="187">
        <v>0</v>
      </c>
      <c r="AH911" s="185" t="s">
        <v>994</v>
      </c>
      <c r="AI911" s="185" t="s">
        <v>1050</v>
      </c>
      <c r="AJ911" s="185">
        <v>4054</v>
      </c>
      <c r="AK911" s="185" t="s">
        <v>45</v>
      </c>
      <c r="AL911" s="185" t="s">
        <v>2267</v>
      </c>
      <c r="AM911" s="185" t="s">
        <v>2269</v>
      </c>
      <c r="AN911" s="185"/>
      <c r="AO911" s="186"/>
      <c r="AP911" s="186"/>
      <c r="AQ911" s="184"/>
      <c r="AR911" s="184"/>
      <c r="AS911" s="184"/>
      <c r="AT911" s="184"/>
      <c r="AU911" s="184"/>
      <c r="AV911" s="184"/>
      <c r="AW911" s="184"/>
      <c r="AX911" s="184"/>
      <c r="AY911" s="184"/>
    </row>
    <row r="912" spans="2:51">
      <c r="B912" s="185">
        <v>2183</v>
      </c>
      <c r="C912" s="189">
        <v>61111</v>
      </c>
      <c r="D912" s="185" t="s">
        <v>989</v>
      </c>
      <c r="E912" s="185" t="s">
        <v>2003</v>
      </c>
      <c r="F912" s="185" t="s">
        <v>1830</v>
      </c>
      <c r="G912" s="185"/>
      <c r="H912" s="185"/>
      <c r="I912" s="188">
        <v>1</v>
      </c>
      <c r="J912" s="185" t="s">
        <v>1831</v>
      </c>
      <c r="K912" s="188">
        <v>2007</v>
      </c>
      <c r="L912" s="185" t="s">
        <v>1308</v>
      </c>
      <c r="M912" s="185" t="s">
        <v>1267</v>
      </c>
      <c r="N912" s="185" t="s">
        <v>2183</v>
      </c>
      <c r="O912" s="185" t="s">
        <v>2184</v>
      </c>
      <c r="P912" s="185" t="s">
        <v>2186</v>
      </c>
      <c r="Q912" s="185"/>
      <c r="R912" s="185"/>
      <c r="S912" s="186">
        <v>39755</v>
      </c>
      <c r="T912" s="186">
        <v>39755</v>
      </c>
      <c r="U912" s="185"/>
      <c r="V912" s="185">
        <v>800</v>
      </c>
      <c r="W912" s="185">
        <v>14040</v>
      </c>
      <c r="X912" s="187">
        <v>133500</v>
      </c>
      <c r="Y912" s="185">
        <v>14046</v>
      </c>
      <c r="Z912" s="187">
        <v>133500</v>
      </c>
      <c r="AA912" s="187">
        <v>0</v>
      </c>
      <c r="AB912" s="187">
        <v>0</v>
      </c>
      <c r="AC912" s="187">
        <v>0</v>
      </c>
      <c r="AD912" s="185">
        <v>51260</v>
      </c>
      <c r="AE912" s="187">
        <v>0</v>
      </c>
      <c r="AF912" s="187">
        <v>0</v>
      </c>
      <c r="AG912" s="187">
        <v>0</v>
      </c>
      <c r="AH912" s="185" t="s">
        <v>994</v>
      </c>
      <c r="AI912" s="185" t="s">
        <v>1050</v>
      </c>
      <c r="AJ912" s="185">
        <v>1067</v>
      </c>
      <c r="AK912" s="185" t="s">
        <v>45</v>
      </c>
      <c r="AL912" s="185" t="s">
        <v>2267</v>
      </c>
      <c r="AM912" s="185" t="s">
        <v>2269</v>
      </c>
      <c r="AN912" s="185"/>
      <c r="AO912" s="186"/>
      <c r="AP912" s="186"/>
      <c r="AQ912" s="184"/>
      <c r="AR912" s="184"/>
      <c r="AS912" s="184"/>
      <c r="AT912" s="184"/>
      <c r="AU912" s="184"/>
      <c r="AV912" s="184"/>
      <c r="AW912" s="184"/>
      <c r="AX912" s="184"/>
      <c r="AY912" s="184"/>
    </row>
    <row r="913" spans="2:51">
      <c r="B913" s="185">
        <v>2183</v>
      </c>
      <c r="C913" s="189">
        <v>61110</v>
      </c>
      <c r="D913" s="185" t="s">
        <v>989</v>
      </c>
      <c r="E913" s="185" t="s">
        <v>2003</v>
      </c>
      <c r="F913" s="185" t="s">
        <v>1830</v>
      </c>
      <c r="G913" s="185"/>
      <c r="H913" s="185"/>
      <c r="I913" s="188">
        <v>1</v>
      </c>
      <c r="J913" s="185" t="s">
        <v>1832</v>
      </c>
      <c r="K913" s="188">
        <v>2007</v>
      </c>
      <c r="L913" s="185" t="s">
        <v>1308</v>
      </c>
      <c r="M913" s="185" t="s">
        <v>1267</v>
      </c>
      <c r="N913" s="185" t="s">
        <v>2183</v>
      </c>
      <c r="O913" s="185" t="s">
        <v>2184</v>
      </c>
      <c r="P913" s="185" t="s">
        <v>2186</v>
      </c>
      <c r="Q913" s="185"/>
      <c r="R913" s="185"/>
      <c r="S913" s="186">
        <v>39755</v>
      </c>
      <c r="T913" s="186">
        <v>39755</v>
      </c>
      <c r="U913" s="185"/>
      <c r="V913" s="185">
        <v>800</v>
      </c>
      <c r="W913" s="185">
        <v>14040</v>
      </c>
      <c r="X913" s="187">
        <v>133500</v>
      </c>
      <c r="Y913" s="185">
        <v>14046</v>
      </c>
      <c r="Z913" s="187">
        <v>133500</v>
      </c>
      <c r="AA913" s="187">
        <v>0</v>
      </c>
      <c r="AB913" s="187">
        <v>0</v>
      </c>
      <c r="AC913" s="187">
        <v>0</v>
      </c>
      <c r="AD913" s="185">
        <v>51260</v>
      </c>
      <c r="AE913" s="187">
        <v>0</v>
      </c>
      <c r="AF913" s="187">
        <v>0</v>
      </c>
      <c r="AG913" s="187">
        <v>0</v>
      </c>
      <c r="AH913" s="185" t="s">
        <v>994</v>
      </c>
      <c r="AI913" s="185" t="s">
        <v>1050</v>
      </c>
      <c r="AJ913" s="185">
        <v>1062</v>
      </c>
      <c r="AK913" s="185" t="s">
        <v>45</v>
      </c>
      <c r="AL913" s="185" t="s">
        <v>2267</v>
      </c>
      <c r="AM913" s="185" t="s">
        <v>2269</v>
      </c>
      <c r="AN913" s="185"/>
      <c r="AO913" s="186"/>
      <c r="AP913" s="186"/>
      <c r="AQ913" s="184"/>
      <c r="AR913" s="184"/>
      <c r="AS913" s="184"/>
      <c r="AT913" s="184"/>
      <c r="AU913" s="184"/>
      <c r="AV913" s="184"/>
      <c r="AW913" s="184"/>
      <c r="AX913" s="184"/>
      <c r="AY913" s="184"/>
    </row>
    <row r="914" spans="2:51">
      <c r="B914" s="185">
        <v>2183</v>
      </c>
      <c r="C914" s="189">
        <v>61108</v>
      </c>
      <c r="D914" s="185" t="s">
        <v>989</v>
      </c>
      <c r="E914" s="185" t="s">
        <v>2003</v>
      </c>
      <c r="F914" s="185" t="s">
        <v>1830</v>
      </c>
      <c r="G914" s="185"/>
      <c r="H914" s="185"/>
      <c r="I914" s="188">
        <v>1</v>
      </c>
      <c r="J914" s="185" t="s">
        <v>1833</v>
      </c>
      <c r="K914" s="188">
        <v>2007</v>
      </c>
      <c r="L914" s="185" t="s">
        <v>1308</v>
      </c>
      <c r="M914" s="185" t="s">
        <v>1267</v>
      </c>
      <c r="N914" s="185" t="s">
        <v>2183</v>
      </c>
      <c r="O914" s="185" t="s">
        <v>2184</v>
      </c>
      <c r="P914" s="185" t="s">
        <v>2186</v>
      </c>
      <c r="Q914" s="185"/>
      <c r="R914" s="185"/>
      <c r="S914" s="186">
        <v>39755</v>
      </c>
      <c r="T914" s="186">
        <v>39755</v>
      </c>
      <c r="U914" s="185"/>
      <c r="V914" s="185">
        <v>800</v>
      </c>
      <c r="W914" s="185">
        <v>14040</v>
      </c>
      <c r="X914" s="187">
        <v>133500</v>
      </c>
      <c r="Y914" s="185">
        <v>14046</v>
      </c>
      <c r="Z914" s="187">
        <v>133500</v>
      </c>
      <c r="AA914" s="187">
        <v>0</v>
      </c>
      <c r="AB914" s="187">
        <v>0</v>
      </c>
      <c r="AC914" s="187">
        <v>0</v>
      </c>
      <c r="AD914" s="185">
        <v>51260</v>
      </c>
      <c r="AE914" s="187">
        <v>0</v>
      </c>
      <c r="AF914" s="187">
        <v>0</v>
      </c>
      <c r="AG914" s="187">
        <v>0</v>
      </c>
      <c r="AH914" s="185" t="s">
        <v>994</v>
      </c>
      <c r="AI914" s="185" t="s">
        <v>1050</v>
      </c>
      <c r="AJ914" s="185">
        <v>1054</v>
      </c>
      <c r="AK914" s="185" t="s">
        <v>45</v>
      </c>
      <c r="AL914" s="185" t="s">
        <v>2267</v>
      </c>
      <c r="AM914" s="185" t="s">
        <v>2269</v>
      </c>
      <c r="AN914" s="185"/>
      <c r="AO914" s="186"/>
      <c r="AP914" s="186"/>
      <c r="AQ914" s="184"/>
      <c r="AR914" s="184"/>
      <c r="AS914" s="184"/>
      <c r="AT914" s="184"/>
      <c r="AU914" s="184"/>
      <c r="AV914" s="184"/>
      <c r="AW914" s="184"/>
      <c r="AX914" s="184"/>
      <c r="AY914" s="184"/>
    </row>
    <row r="915" spans="2:51">
      <c r="B915" s="185">
        <v>2183</v>
      </c>
      <c r="C915" s="189">
        <v>61107</v>
      </c>
      <c r="D915" s="185" t="s">
        <v>989</v>
      </c>
      <c r="E915" s="185" t="s">
        <v>2003</v>
      </c>
      <c r="F915" s="185" t="s">
        <v>1830</v>
      </c>
      <c r="G915" s="185"/>
      <c r="H915" s="185"/>
      <c r="I915" s="188">
        <v>1</v>
      </c>
      <c r="J915" s="185" t="s">
        <v>1834</v>
      </c>
      <c r="K915" s="188">
        <v>2007</v>
      </c>
      <c r="L915" s="185" t="s">
        <v>1308</v>
      </c>
      <c r="M915" s="185" t="s">
        <v>1267</v>
      </c>
      <c r="N915" s="185" t="s">
        <v>2183</v>
      </c>
      <c r="O915" s="185" t="s">
        <v>2184</v>
      </c>
      <c r="P915" s="185" t="s">
        <v>2186</v>
      </c>
      <c r="Q915" s="185"/>
      <c r="R915" s="185"/>
      <c r="S915" s="186">
        <v>39755</v>
      </c>
      <c r="T915" s="186">
        <v>39755</v>
      </c>
      <c r="U915" s="185"/>
      <c r="V915" s="185">
        <v>800</v>
      </c>
      <c r="W915" s="185">
        <v>14040</v>
      </c>
      <c r="X915" s="187">
        <v>133500</v>
      </c>
      <c r="Y915" s="185">
        <v>14046</v>
      </c>
      <c r="Z915" s="187">
        <v>133500</v>
      </c>
      <c r="AA915" s="187">
        <v>0</v>
      </c>
      <c r="AB915" s="187">
        <v>0</v>
      </c>
      <c r="AC915" s="187">
        <v>0</v>
      </c>
      <c r="AD915" s="185">
        <v>51260</v>
      </c>
      <c r="AE915" s="187">
        <v>0</v>
      </c>
      <c r="AF915" s="187">
        <v>0</v>
      </c>
      <c r="AG915" s="187">
        <v>0</v>
      </c>
      <c r="AH915" s="185" t="s">
        <v>994</v>
      </c>
      <c r="AI915" s="185" t="s">
        <v>1050</v>
      </c>
      <c r="AJ915" s="185">
        <v>1049</v>
      </c>
      <c r="AK915" s="185" t="s">
        <v>45</v>
      </c>
      <c r="AL915" s="185" t="s">
        <v>2267</v>
      </c>
      <c r="AM915" s="185" t="s">
        <v>2269</v>
      </c>
      <c r="AN915" s="185"/>
      <c r="AO915" s="186"/>
      <c r="AP915" s="186"/>
      <c r="AQ915" s="184"/>
      <c r="AR915" s="184"/>
      <c r="AS915" s="184"/>
      <c r="AT915" s="184"/>
      <c r="AU915" s="184"/>
      <c r="AV915" s="184"/>
      <c r="AW915" s="184"/>
      <c r="AX915" s="184"/>
      <c r="AY915" s="184"/>
    </row>
    <row r="916" spans="2:51">
      <c r="B916" s="185">
        <v>2183</v>
      </c>
      <c r="C916" s="189">
        <v>61097</v>
      </c>
      <c r="D916" s="185" t="s">
        <v>989</v>
      </c>
      <c r="E916" s="185" t="s">
        <v>2003</v>
      </c>
      <c r="F916" s="185" t="s">
        <v>1536</v>
      </c>
      <c r="G916" s="185"/>
      <c r="H916" s="185"/>
      <c r="I916" s="188">
        <v>1</v>
      </c>
      <c r="J916" s="185" t="s">
        <v>1835</v>
      </c>
      <c r="K916" s="188">
        <v>2006</v>
      </c>
      <c r="L916" s="185" t="s">
        <v>1511</v>
      </c>
      <c r="M916" s="185" t="s">
        <v>1534</v>
      </c>
      <c r="N916" s="185" t="s">
        <v>2183</v>
      </c>
      <c r="O916" s="185" t="s">
        <v>2184</v>
      </c>
      <c r="P916" s="185" t="s">
        <v>287</v>
      </c>
      <c r="Q916" s="185"/>
      <c r="R916" s="185"/>
      <c r="S916" s="186">
        <v>39755</v>
      </c>
      <c r="T916" s="186">
        <v>39755</v>
      </c>
      <c r="U916" s="185"/>
      <c r="V916" s="185">
        <v>700</v>
      </c>
      <c r="W916" s="185">
        <v>14040</v>
      </c>
      <c r="X916" s="187">
        <v>81500</v>
      </c>
      <c r="Y916" s="185">
        <v>14046</v>
      </c>
      <c r="Z916" s="187">
        <v>81500</v>
      </c>
      <c r="AA916" s="187">
        <v>0</v>
      </c>
      <c r="AB916" s="187">
        <v>0</v>
      </c>
      <c r="AC916" s="187">
        <v>0</v>
      </c>
      <c r="AD916" s="185">
        <v>51260</v>
      </c>
      <c r="AE916" s="187">
        <v>0</v>
      </c>
      <c r="AF916" s="187">
        <v>0</v>
      </c>
      <c r="AG916" s="187">
        <v>0</v>
      </c>
      <c r="AH916" s="185" t="s">
        <v>994</v>
      </c>
      <c r="AI916" s="185" t="s">
        <v>1050</v>
      </c>
      <c r="AJ916" s="185">
        <v>4047</v>
      </c>
      <c r="AK916" s="185" t="s">
        <v>45</v>
      </c>
      <c r="AL916" s="185" t="s">
        <v>2267</v>
      </c>
      <c r="AM916" s="185" t="s">
        <v>2269</v>
      </c>
      <c r="AN916" s="185"/>
      <c r="AO916" s="186"/>
      <c r="AP916" s="186"/>
      <c r="AQ916" s="184"/>
      <c r="AR916" s="184"/>
      <c r="AS916" s="184"/>
      <c r="AT916" s="184"/>
      <c r="AU916" s="184"/>
      <c r="AV916" s="184"/>
      <c r="AW916" s="184"/>
      <c r="AX916" s="184"/>
      <c r="AY916" s="184"/>
    </row>
    <row r="917" spans="2:51">
      <c r="B917" s="185">
        <v>2183</v>
      </c>
      <c r="C917" s="189">
        <v>61096</v>
      </c>
      <c r="D917" s="185" t="s">
        <v>989</v>
      </c>
      <c r="E917" s="185" t="s">
        <v>2003</v>
      </c>
      <c r="F917" s="185" t="s">
        <v>1536</v>
      </c>
      <c r="G917" s="185"/>
      <c r="H917" s="185"/>
      <c r="I917" s="188">
        <v>1</v>
      </c>
      <c r="J917" s="185" t="s">
        <v>1836</v>
      </c>
      <c r="K917" s="188">
        <v>2006</v>
      </c>
      <c r="L917" s="185" t="s">
        <v>1511</v>
      </c>
      <c r="M917" s="185" t="s">
        <v>1534</v>
      </c>
      <c r="N917" s="185" t="s">
        <v>2183</v>
      </c>
      <c r="O917" s="185" t="s">
        <v>2184</v>
      </c>
      <c r="P917" s="185" t="s">
        <v>287</v>
      </c>
      <c r="Q917" s="185"/>
      <c r="R917" s="185"/>
      <c r="S917" s="186">
        <v>39755</v>
      </c>
      <c r="T917" s="186">
        <v>39755</v>
      </c>
      <c r="U917" s="185"/>
      <c r="V917" s="185">
        <v>700</v>
      </c>
      <c r="W917" s="185">
        <v>14040</v>
      </c>
      <c r="X917" s="187">
        <v>81500</v>
      </c>
      <c r="Y917" s="185">
        <v>14046</v>
      </c>
      <c r="Z917" s="187">
        <v>81500</v>
      </c>
      <c r="AA917" s="187">
        <v>0</v>
      </c>
      <c r="AB917" s="187">
        <v>0</v>
      </c>
      <c r="AC917" s="187">
        <v>0</v>
      </c>
      <c r="AD917" s="185">
        <v>51260</v>
      </c>
      <c r="AE917" s="187">
        <v>0</v>
      </c>
      <c r="AF917" s="187">
        <v>0</v>
      </c>
      <c r="AG917" s="187">
        <v>0</v>
      </c>
      <c r="AH917" s="185" t="s">
        <v>994</v>
      </c>
      <c r="AI917" s="185" t="s">
        <v>1050</v>
      </c>
      <c r="AJ917" s="185">
        <v>4046</v>
      </c>
      <c r="AK917" s="185" t="s">
        <v>45</v>
      </c>
      <c r="AL917" s="185" t="s">
        <v>2267</v>
      </c>
      <c r="AM917" s="185" t="s">
        <v>2269</v>
      </c>
    </row>
    <row r="918" spans="2:51">
      <c r="B918" s="185">
        <v>2183</v>
      </c>
      <c r="C918" s="189">
        <v>61095</v>
      </c>
      <c r="D918" s="185" t="s">
        <v>989</v>
      </c>
      <c r="E918" s="185" t="s">
        <v>2003</v>
      </c>
      <c r="F918" s="185" t="s">
        <v>1837</v>
      </c>
      <c r="G918" s="185"/>
      <c r="H918" s="185"/>
      <c r="I918" s="188">
        <v>1</v>
      </c>
      <c r="J918" s="185" t="s">
        <v>1838</v>
      </c>
      <c r="K918" s="188">
        <v>2006</v>
      </c>
      <c r="L918" s="185" t="s">
        <v>1308</v>
      </c>
      <c r="M918" s="185" t="s">
        <v>1267</v>
      </c>
      <c r="N918" s="185" t="s">
        <v>2183</v>
      </c>
      <c r="O918" s="185" t="s">
        <v>2184</v>
      </c>
      <c r="P918" s="185" t="s">
        <v>2186</v>
      </c>
      <c r="Q918" s="185"/>
      <c r="R918" s="185"/>
      <c r="S918" s="186">
        <v>39755</v>
      </c>
      <c r="T918" s="186">
        <v>39755</v>
      </c>
      <c r="U918" s="185"/>
      <c r="V918" s="185">
        <v>700</v>
      </c>
      <c r="W918" s="185">
        <v>14040</v>
      </c>
      <c r="X918" s="187">
        <v>123500</v>
      </c>
      <c r="Y918" s="185">
        <v>14046</v>
      </c>
      <c r="Z918" s="187">
        <v>123500</v>
      </c>
      <c r="AA918" s="187">
        <v>0</v>
      </c>
      <c r="AB918" s="187">
        <v>0</v>
      </c>
      <c r="AC918" s="187">
        <v>0</v>
      </c>
      <c r="AD918" s="185">
        <v>51260</v>
      </c>
      <c r="AE918" s="187">
        <v>0</v>
      </c>
      <c r="AF918" s="187">
        <v>0</v>
      </c>
      <c r="AG918" s="187">
        <v>0</v>
      </c>
      <c r="AH918" s="185" t="s">
        <v>994</v>
      </c>
      <c r="AI918" s="185" t="s">
        <v>1050</v>
      </c>
      <c r="AJ918" s="185">
        <v>1046</v>
      </c>
      <c r="AK918" s="185" t="s">
        <v>45</v>
      </c>
      <c r="AL918" s="185" t="s">
        <v>2267</v>
      </c>
      <c r="AM918" s="185" t="s">
        <v>2269</v>
      </c>
    </row>
    <row r="919" spans="2:51">
      <c r="B919" s="185">
        <v>2183</v>
      </c>
      <c r="C919" s="189">
        <v>61094</v>
      </c>
      <c r="D919" s="185" t="s">
        <v>989</v>
      </c>
      <c r="E919" s="185" t="s">
        <v>2003</v>
      </c>
      <c r="F919" s="185" t="s">
        <v>1837</v>
      </c>
      <c r="G919" s="185"/>
      <c r="H919" s="185"/>
      <c r="I919" s="188">
        <v>1</v>
      </c>
      <c r="J919" s="185" t="s">
        <v>2179</v>
      </c>
      <c r="K919" s="188">
        <v>2006</v>
      </c>
      <c r="L919" s="185" t="s">
        <v>1308</v>
      </c>
      <c r="M919" s="185" t="s">
        <v>1267</v>
      </c>
      <c r="N919" s="185" t="s">
        <v>2183</v>
      </c>
      <c r="O919" s="185" t="s">
        <v>2184</v>
      </c>
      <c r="P919" s="185" t="s">
        <v>2186</v>
      </c>
      <c r="Q919" s="185"/>
      <c r="R919" s="185"/>
      <c r="S919" s="186">
        <v>39755</v>
      </c>
      <c r="T919" s="186">
        <v>39755</v>
      </c>
      <c r="U919" s="185"/>
      <c r="V919" s="185">
        <v>700</v>
      </c>
      <c r="W919" s="185">
        <v>14040</v>
      </c>
      <c r="X919" s="187">
        <v>123500</v>
      </c>
      <c r="Y919" s="185">
        <v>14046</v>
      </c>
      <c r="Z919" s="187">
        <v>123500</v>
      </c>
      <c r="AA919" s="187">
        <v>0</v>
      </c>
      <c r="AB919" s="187">
        <v>0</v>
      </c>
      <c r="AC919" s="187">
        <v>0</v>
      </c>
      <c r="AD919" s="185">
        <v>51260</v>
      </c>
      <c r="AE919" s="187">
        <v>0</v>
      </c>
      <c r="AF919" s="187">
        <v>0</v>
      </c>
      <c r="AG919" s="187">
        <v>0</v>
      </c>
      <c r="AH919" s="185" t="s">
        <v>994</v>
      </c>
      <c r="AI919" s="185" t="s">
        <v>1050</v>
      </c>
      <c r="AJ919" s="185">
        <v>1045</v>
      </c>
      <c r="AK919" s="185" t="s">
        <v>45</v>
      </c>
      <c r="AL919" s="185" t="s">
        <v>2267</v>
      </c>
      <c r="AM919" s="185" t="s">
        <v>2269</v>
      </c>
    </row>
    <row r="920" spans="2:51">
      <c r="B920" s="185">
        <v>2183</v>
      </c>
      <c r="C920" s="189">
        <v>61093</v>
      </c>
      <c r="D920" s="185" t="s">
        <v>989</v>
      </c>
      <c r="E920" s="185" t="s">
        <v>2003</v>
      </c>
      <c r="F920" s="185" t="s">
        <v>1837</v>
      </c>
      <c r="G920" s="185"/>
      <c r="H920" s="185"/>
      <c r="I920" s="188">
        <v>1</v>
      </c>
      <c r="J920" s="185" t="s">
        <v>1839</v>
      </c>
      <c r="K920" s="188">
        <v>2006</v>
      </c>
      <c r="L920" s="185" t="s">
        <v>1308</v>
      </c>
      <c r="M920" s="185" t="s">
        <v>1267</v>
      </c>
      <c r="N920" s="185" t="s">
        <v>2183</v>
      </c>
      <c r="O920" s="185" t="s">
        <v>2184</v>
      </c>
      <c r="P920" s="185" t="s">
        <v>2186</v>
      </c>
      <c r="Q920" s="185"/>
      <c r="R920" s="185"/>
      <c r="S920" s="186">
        <v>39755</v>
      </c>
      <c r="T920" s="186">
        <v>39755</v>
      </c>
      <c r="U920" s="185"/>
      <c r="V920" s="185">
        <v>700</v>
      </c>
      <c r="W920" s="185">
        <v>14040</v>
      </c>
      <c r="X920" s="187">
        <v>123500</v>
      </c>
      <c r="Y920" s="185">
        <v>14046</v>
      </c>
      <c r="Z920" s="187">
        <v>123500</v>
      </c>
      <c r="AA920" s="187">
        <v>0</v>
      </c>
      <c r="AB920" s="187">
        <v>0</v>
      </c>
      <c r="AC920" s="187">
        <v>0</v>
      </c>
      <c r="AD920" s="185">
        <v>51260</v>
      </c>
      <c r="AE920" s="187">
        <v>0</v>
      </c>
      <c r="AF920" s="187">
        <v>0</v>
      </c>
      <c r="AG920" s="187">
        <v>0</v>
      </c>
      <c r="AH920" s="185" t="s">
        <v>994</v>
      </c>
      <c r="AI920" s="185" t="s">
        <v>1050</v>
      </c>
      <c r="AJ920" s="185">
        <v>1042</v>
      </c>
      <c r="AK920" s="185" t="s">
        <v>45</v>
      </c>
      <c r="AL920" s="185" t="s">
        <v>2267</v>
      </c>
      <c r="AM920" s="185" t="s">
        <v>2269</v>
      </c>
    </row>
    <row r="921" spans="2:51">
      <c r="B921" s="185">
        <v>2183</v>
      </c>
      <c r="C921" s="189">
        <v>61091</v>
      </c>
      <c r="D921" s="185" t="s">
        <v>989</v>
      </c>
      <c r="E921" s="185" t="s">
        <v>2003</v>
      </c>
      <c r="F921" s="185" t="s">
        <v>1840</v>
      </c>
      <c r="G921" s="185"/>
      <c r="H921" s="185"/>
      <c r="I921" s="188">
        <v>1</v>
      </c>
      <c r="J921" s="185" t="s">
        <v>1841</v>
      </c>
      <c r="K921" s="188">
        <v>2006</v>
      </c>
      <c r="L921" s="185" t="s">
        <v>1842</v>
      </c>
      <c r="M921" s="185" t="s">
        <v>1186</v>
      </c>
      <c r="N921" s="185" t="s">
        <v>2183</v>
      </c>
      <c r="O921" s="185" t="s">
        <v>2184</v>
      </c>
      <c r="P921" s="185" t="s">
        <v>2185</v>
      </c>
      <c r="Q921" s="185"/>
      <c r="R921" s="185"/>
      <c r="S921" s="186">
        <v>39755</v>
      </c>
      <c r="T921" s="186">
        <v>39755</v>
      </c>
      <c r="U921" s="185"/>
      <c r="V921" s="185">
        <v>300</v>
      </c>
      <c r="W921" s="185">
        <v>14040</v>
      </c>
      <c r="X921" s="187">
        <v>13500</v>
      </c>
      <c r="Y921" s="185">
        <v>14046</v>
      </c>
      <c r="Z921" s="187">
        <v>13500</v>
      </c>
      <c r="AA921" s="187">
        <v>0</v>
      </c>
      <c r="AB921" s="187">
        <v>0</v>
      </c>
      <c r="AC921" s="187">
        <v>0</v>
      </c>
      <c r="AD921" s="185">
        <v>51260</v>
      </c>
      <c r="AE921" s="187">
        <v>0</v>
      </c>
      <c r="AF921" s="187">
        <v>0</v>
      </c>
      <c r="AG921" s="187">
        <v>0</v>
      </c>
      <c r="AH921" s="185" t="s">
        <v>994</v>
      </c>
      <c r="AI921" s="185" t="s">
        <v>1050</v>
      </c>
      <c r="AJ921" s="185">
        <v>6042</v>
      </c>
      <c r="AK921" s="185" t="s">
        <v>45</v>
      </c>
      <c r="AL921" s="185" t="s">
        <v>2267</v>
      </c>
      <c r="AM921" s="185" t="s">
        <v>2269</v>
      </c>
    </row>
    <row r="922" spans="2:51">
      <c r="B922" s="185">
        <v>2183</v>
      </c>
      <c r="C922" s="189">
        <v>61085</v>
      </c>
      <c r="D922" s="185" t="s">
        <v>989</v>
      </c>
      <c r="E922" s="185" t="s">
        <v>2003</v>
      </c>
      <c r="F922" s="185" t="s">
        <v>1843</v>
      </c>
      <c r="G922" s="185"/>
      <c r="H922" s="185"/>
      <c r="I922" s="188">
        <v>1</v>
      </c>
      <c r="J922" s="185" t="s">
        <v>1844</v>
      </c>
      <c r="K922" s="188">
        <v>2004</v>
      </c>
      <c r="L922" s="185" t="s">
        <v>1308</v>
      </c>
      <c r="M922" s="185" t="s">
        <v>1267</v>
      </c>
      <c r="N922" s="185" t="s">
        <v>2183</v>
      </c>
      <c r="O922" s="185" t="s">
        <v>2184</v>
      </c>
      <c r="P922" s="185" t="s">
        <v>2186</v>
      </c>
      <c r="Q922" s="185"/>
      <c r="R922" s="185"/>
      <c r="S922" s="186">
        <v>39755</v>
      </c>
      <c r="T922" s="186">
        <v>39755</v>
      </c>
      <c r="U922" s="185"/>
      <c r="V922" s="185">
        <v>500</v>
      </c>
      <c r="W922" s="185">
        <v>14040</v>
      </c>
      <c r="X922" s="187">
        <v>83500</v>
      </c>
      <c r="Y922" s="185">
        <v>14046</v>
      </c>
      <c r="Z922" s="187">
        <v>83500</v>
      </c>
      <c r="AA922" s="187">
        <v>0</v>
      </c>
      <c r="AB922" s="187">
        <v>0</v>
      </c>
      <c r="AC922" s="187">
        <v>0</v>
      </c>
      <c r="AD922" s="185">
        <v>51260</v>
      </c>
      <c r="AE922" s="187">
        <v>0</v>
      </c>
      <c r="AF922" s="187">
        <v>0</v>
      </c>
      <c r="AG922" s="187">
        <v>0</v>
      </c>
      <c r="AH922" s="185" t="s">
        <v>994</v>
      </c>
      <c r="AI922" s="185" t="s">
        <v>1050</v>
      </c>
      <c r="AJ922" s="185">
        <v>1041</v>
      </c>
      <c r="AK922" s="185" t="s">
        <v>45</v>
      </c>
      <c r="AL922" s="185" t="s">
        <v>2267</v>
      </c>
      <c r="AM922" s="185" t="s">
        <v>2269</v>
      </c>
    </row>
    <row r="923" spans="2:51">
      <c r="B923" s="185">
        <v>2183</v>
      </c>
      <c r="C923" s="189">
        <v>61042</v>
      </c>
      <c r="D923" s="185" t="s">
        <v>989</v>
      </c>
      <c r="E923" s="185" t="s">
        <v>2003</v>
      </c>
      <c r="F923" s="185" t="s">
        <v>1845</v>
      </c>
      <c r="G923" s="185"/>
      <c r="H923" s="185"/>
      <c r="I923" s="188">
        <v>1</v>
      </c>
      <c r="J923" s="185" t="s">
        <v>1846</v>
      </c>
      <c r="K923" s="188">
        <v>1991</v>
      </c>
      <c r="L923" s="185" t="s">
        <v>1847</v>
      </c>
      <c r="M923" s="185" t="s">
        <v>1186</v>
      </c>
      <c r="N923" s="185" t="s">
        <v>2183</v>
      </c>
      <c r="O923" s="185" t="s">
        <v>2184</v>
      </c>
      <c r="P923" s="185" t="s">
        <v>2185</v>
      </c>
      <c r="Q923" s="185"/>
      <c r="R923" s="185"/>
      <c r="S923" s="186">
        <v>39755</v>
      </c>
      <c r="T923" s="186">
        <v>39755</v>
      </c>
      <c r="U923" s="185"/>
      <c r="V923" s="185">
        <v>300</v>
      </c>
      <c r="W923" s="185">
        <v>14040</v>
      </c>
      <c r="X923" s="187">
        <v>2500</v>
      </c>
      <c r="Y923" s="185">
        <v>14046</v>
      </c>
      <c r="Z923" s="187">
        <v>2500</v>
      </c>
      <c r="AA923" s="187">
        <v>0</v>
      </c>
      <c r="AB923" s="187">
        <v>0</v>
      </c>
      <c r="AC923" s="187">
        <v>0</v>
      </c>
      <c r="AD923" s="185">
        <v>51260</v>
      </c>
      <c r="AE923" s="187">
        <v>0</v>
      </c>
      <c r="AF923" s="187">
        <v>0</v>
      </c>
      <c r="AG923" s="187">
        <v>0</v>
      </c>
      <c r="AH923" s="185" t="s">
        <v>994</v>
      </c>
      <c r="AI923" s="185" t="s">
        <v>1050</v>
      </c>
      <c r="AJ923" s="185">
        <v>9243</v>
      </c>
      <c r="AK923" s="185" t="s">
        <v>45</v>
      </c>
      <c r="AL923" s="185" t="s">
        <v>2267</v>
      </c>
      <c r="AM923" s="185" t="s">
        <v>2269</v>
      </c>
    </row>
    <row r="924" spans="2:51">
      <c r="B924" s="185">
        <v>2183</v>
      </c>
      <c r="C924" s="189">
        <v>61033</v>
      </c>
      <c r="D924" s="185" t="s">
        <v>989</v>
      </c>
      <c r="E924" s="185" t="s">
        <v>2003</v>
      </c>
      <c r="F924" s="185" t="s">
        <v>1848</v>
      </c>
      <c r="G924" s="185"/>
      <c r="H924" s="185"/>
      <c r="I924" s="188">
        <v>1</v>
      </c>
      <c r="J924" s="185" t="s">
        <v>1849</v>
      </c>
      <c r="K924" s="188">
        <v>1986</v>
      </c>
      <c r="L924" s="185" t="s">
        <v>1139</v>
      </c>
      <c r="M924" s="185" t="s">
        <v>1186</v>
      </c>
      <c r="N924" s="185" t="s">
        <v>2183</v>
      </c>
      <c r="O924" s="185" t="s">
        <v>2184</v>
      </c>
      <c r="P924" s="185" t="s">
        <v>1850</v>
      </c>
      <c r="Q924" s="185"/>
      <c r="R924" s="185"/>
      <c r="S924" s="186">
        <v>39755</v>
      </c>
      <c r="T924" s="186">
        <v>39755</v>
      </c>
      <c r="U924" s="185"/>
      <c r="V924" s="185">
        <v>300</v>
      </c>
      <c r="W924" s="185">
        <v>14040</v>
      </c>
      <c r="X924" s="187">
        <v>2500</v>
      </c>
      <c r="Y924" s="185">
        <v>14046</v>
      </c>
      <c r="Z924" s="187">
        <v>2500</v>
      </c>
      <c r="AA924" s="187">
        <v>0</v>
      </c>
      <c r="AB924" s="187">
        <v>0</v>
      </c>
      <c r="AC924" s="187">
        <v>0</v>
      </c>
      <c r="AD924" s="185">
        <v>51260</v>
      </c>
      <c r="AE924" s="187">
        <v>0</v>
      </c>
      <c r="AF924" s="187">
        <v>0</v>
      </c>
      <c r="AG924" s="187">
        <v>0</v>
      </c>
      <c r="AH924" s="185" t="s">
        <v>994</v>
      </c>
      <c r="AI924" s="185" t="s">
        <v>1050</v>
      </c>
      <c r="AJ924" s="185">
        <v>9206</v>
      </c>
      <c r="AK924" s="185" t="s">
        <v>45</v>
      </c>
      <c r="AL924" s="185" t="s">
        <v>2267</v>
      </c>
      <c r="AM924" s="185" t="s">
        <v>2269</v>
      </c>
    </row>
    <row r="925" spans="2:51">
      <c r="B925" s="185">
        <v>2183</v>
      </c>
      <c r="C925" s="189">
        <v>61019</v>
      </c>
      <c r="D925" s="185" t="s">
        <v>989</v>
      </c>
      <c r="E925" s="185" t="s">
        <v>2003</v>
      </c>
      <c r="F925" s="185" t="s">
        <v>1851</v>
      </c>
      <c r="G925" s="185"/>
      <c r="H925" s="185"/>
      <c r="I925" s="188">
        <v>1</v>
      </c>
      <c r="J925" s="185"/>
      <c r="K925" s="188">
        <v>0</v>
      </c>
      <c r="L925" s="185"/>
      <c r="M925" s="185"/>
      <c r="N925" s="185" t="s">
        <v>2182</v>
      </c>
      <c r="O925" s="185" t="s">
        <v>2182</v>
      </c>
      <c r="P925" s="185"/>
      <c r="Q925" s="185"/>
      <c r="R925" s="185"/>
      <c r="S925" s="186">
        <v>39755</v>
      </c>
      <c r="T925" s="186">
        <v>39755</v>
      </c>
      <c r="U925" s="185"/>
      <c r="V925" s="185">
        <v>0</v>
      </c>
      <c r="W925" s="185">
        <v>14000</v>
      </c>
      <c r="X925" s="187">
        <v>4312000</v>
      </c>
      <c r="Y925" s="185">
        <v>14016</v>
      </c>
      <c r="Z925" s="187">
        <v>0</v>
      </c>
      <c r="AA925" s="187">
        <v>0</v>
      </c>
      <c r="AB925" s="187">
        <v>4312000</v>
      </c>
      <c r="AC925" s="187">
        <v>0</v>
      </c>
      <c r="AD925" s="185">
        <v>57260</v>
      </c>
      <c r="AE925" s="187">
        <v>0</v>
      </c>
      <c r="AF925" s="187">
        <v>0</v>
      </c>
      <c r="AG925" s="187">
        <v>0</v>
      </c>
      <c r="AH925" s="185" t="s">
        <v>994</v>
      </c>
      <c r="AI925" s="185" t="s">
        <v>1050</v>
      </c>
      <c r="AJ925" s="185" t="s">
        <v>1296</v>
      </c>
      <c r="AK925" s="185" t="s">
        <v>45</v>
      </c>
      <c r="AL925" s="185" t="s">
        <v>2267</v>
      </c>
      <c r="AM925" s="185" t="s">
        <v>2268</v>
      </c>
    </row>
  </sheetData>
  <autoFilter ref="B16:AX925" xr:uid="{00000000-0001-0000-0100-000000000000}">
    <filterColumn colId="2">
      <filters>
        <filter val="P"/>
      </filters>
    </filterColumn>
  </autoFilter>
  <mergeCells count="4">
    <mergeCell ref="F2:H2"/>
    <mergeCell ref="C13:D13"/>
    <mergeCell ref="C14:D14"/>
    <mergeCell ref="C15:D15"/>
  </mergeCells>
  <dataValidations count="4">
    <dataValidation type="list" allowBlank="1" showInputMessage="1" showErrorMessage="1" sqref="G15" xr:uid="{43E54C6C-E91E-4690-B7D5-D16506EC9B6D}">
      <formula1>"No, Yes"</formula1>
    </dataValidation>
    <dataValidation type="list" allowBlank="1" showInputMessage="1" showErrorMessage="1" sqref="G13" xr:uid="{AE2117C3-6B1E-43DF-8220-51C585773619}">
      <formula1>"Capitalized"</formula1>
    </dataValidation>
    <dataValidation type="list" allowBlank="1" showInputMessage="1" showErrorMessage="1" sqref="G14" xr:uid="{28D4212A-A722-4739-B18A-E5050CFBE9F8}">
      <formula1>"P,C,All"</formula1>
    </dataValidation>
    <dataValidation type="list" allowBlank="1" showInputMessage="1" showErrorMessage="1" sqref="AM103 AL18:AL138" xr:uid="{81F3296F-F4D8-41BA-9BD2-4504CC30EE3C}">
      <formula1>$BA$17:$BA$37</formula1>
    </dataValidation>
  </dataValidations>
  <pageMargins left="0.7" right="0.7" top="0.75" bottom="0.75" header="0.3" footer="0.3"/>
  <pageSetup scale="91" fitToWidth="5" fitToHeight="2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codeName="Sheet2">
    <tabColor theme="7" tint="0.59999389629810485"/>
  </sheetPr>
  <dimension ref="A1:Y334"/>
  <sheetViews>
    <sheetView tabSelected="1" view="pageBreakPreview" zoomScale="60" zoomScaleNormal="100" workbookViewId="0">
      <selection activeCell="R41" sqref="R41"/>
    </sheetView>
  </sheetViews>
  <sheetFormatPr defaultColWidth="12.5703125" defaultRowHeight="12.75" outlineLevelRow="1"/>
  <cols>
    <col min="1" max="1" width="8.42578125" customWidth="1"/>
    <col min="2" max="2" width="14.42578125" style="5" customWidth="1"/>
    <col min="3" max="3" width="7.42578125" bestFit="1" customWidth="1"/>
    <col min="4" max="4" width="43.140625" customWidth="1"/>
    <col min="5" max="5" width="13.5703125" customWidth="1"/>
    <col min="6" max="6" width="4.28515625" bestFit="1" customWidth="1"/>
    <col min="7" max="7" width="8.140625" style="26" bestFit="1" customWidth="1"/>
    <col min="8" max="8" width="9.42578125" bestFit="1" customWidth="1"/>
    <col min="9" max="9" width="10.28515625" bestFit="1" customWidth="1"/>
    <col min="10" max="10" width="6" bestFit="1" customWidth="1"/>
    <col min="11" max="11" width="10.5703125" style="63" customWidth="1"/>
    <col min="12" max="12" width="13.42578125" style="25" bestFit="1" customWidth="1"/>
    <col min="13" max="13" width="12.85546875" style="25" bestFit="1" customWidth="1"/>
    <col min="14" max="14" width="11.85546875" style="25" customWidth="1"/>
    <col min="15" max="15" width="19.42578125" style="25" bestFit="1" customWidth="1"/>
    <col min="16" max="16" width="12.28515625" style="25" bestFit="1" customWidth="1"/>
    <col min="17" max="18" width="14.140625" style="25" bestFit="1" customWidth="1"/>
    <col min="19" max="19" width="14" style="25" bestFit="1" customWidth="1"/>
  </cols>
  <sheetData>
    <row r="1" spans="1:20">
      <c r="D1" s="2" t="s">
        <v>342</v>
      </c>
    </row>
    <row r="2" spans="1:20" ht="15">
      <c r="D2" s="2" t="s">
        <v>26</v>
      </c>
      <c r="H2" s="63"/>
      <c r="I2" s="63"/>
      <c r="M2" s="29"/>
      <c r="N2" s="139">
        <v>5</v>
      </c>
      <c r="O2" s="140" t="s">
        <v>1987</v>
      </c>
      <c r="P2" s="140"/>
      <c r="Q2" s="140"/>
    </row>
    <row r="3" spans="1:20" ht="15">
      <c r="D3" s="65">
        <f>'Summary 2183'!H8</f>
        <v>45412</v>
      </c>
      <c r="H3" s="63"/>
      <c r="I3" s="63"/>
      <c r="M3" s="63"/>
      <c r="N3" s="139">
        <v>4</v>
      </c>
      <c r="O3" s="140" t="s">
        <v>1986</v>
      </c>
      <c r="P3" s="140"/>
      <c r="Q3" s="140"/>
    </row>
    <row r="4" spans="1:20" ht="15">
      <c r="H4" s="63"/>
      <c r="I4" s="63"/>
      <c r="M4" s="63"/>
      <c r="N4" s="138">
        <v>2023</v>
      </c>
      <c r="O4" s="140" t="s">
        <v>742</v>
      </c>
      <c r="P4" s="140"/>
      <c r="Q4" s="140"/>
    </row>
    <row r="5" spans="1:20" ht="12" customHeight="1">
      <c r="H5" s="63"/>
      <c r="I5" s="63"/>
      <c r="M5" s="24"/>
      <c r="N5" s="138">
        <v>2024</v>
      </c>
      <c r="O5" s="140" t="s">
        <v>34</v>
      </c>
      <c r="P5" s="140"/>
      <c r="Q5" s="140"/>
    </row>
    <row r="6" spans="1:20" ht="12" customHeight="1">
      <c r="H6" s="63"/>
      <c r="I6" s="63"/>
      <c r="N6" s="137">
        <f>+N5+(N3/12)</f>
        <v>2024.3333333333333</v>
      </c>
      <c r="O6" s="140" t="s">
        <v>1985</v>
      </c>
      <c r="P6" s="140"/>
      <c r="Q6" s="140"/>
    </row>
    <row r="7" spans="1:20" s="14" customFormat="1" ht="15">
      <c r="B7" s="66"/>
      <c r="G7" s="67"/>
      <c r="J7" s="68"/>
      <c r="K7" s="68"/>
      <c r="L7" s="69"/>
      <c r="M7" s="69"/>
      <c r="N7" s="137">
        <f>+N4+(N2/12)</f>
        <v>2023.4166666666667</v>
      </c>
      <c r="O7" s="141" t="s">
        <v>1984</v>
      </c>
      <c r="P7" s="141"/>
      <c r="Q7" s="141"/>
      <c r="R7" s="69"/>
      <c r="S7" s="69"/>
    </row>
    <row r="8" spans="1:20" s="14" customFormat="1">
      <c r="B8" s="66"/>
      <c r="G8" s="67"/>
      <c r="K8" s="70"/>
      <c r="L8" s="69"/>
      <c r="M8" s="69"/>
      <c r="N8" s="69"/>
      <c r="O8" s="69"/>
      <c r="P8" s="69"/>
      <c r="Q8" s="69" t="s">
        <v>188</v>
      </c>
      <c r="R8" s="69" t="s">
        <v>44</v>
      </c>
      <c r="S8" s="69"/>
    </row>
    <row r="9" spans="1:20" s="14" customFormat="1">
      <c r="B9" s="66"/>
      <c r="C9" s="14" t="s">
        <v>45</v>
      </c>
      <c r="E9" s="14" t="s">
        <v>46</v>
      </c>
      <c r="G9" s="67" t="s">
        <v>47</v>
      </c>
      <c r="H9" s="14" t="s">
        <v>45</v>
      </c>
      <c r="J9" s="14" t="s">
        <v>48</v>
      </c>
      <c r="K9" s="70"/>
      <c r="L9" s="69" t="s">
        <v>45</v>
      </c>
      <c r="M9" s="69" t="s">
        <v>45</v>
      </c>
      <c r="N9" s="69"/>
      <c r="O9" s="69"/>
      <c r="P9" s="69" t="s">
        <v>42</v>
      </c>
      <c r="Q9" s="69" t="s">
        <v>251</v>
      </c>
      <c r="R9" s="69" t="s">
        <v>251</v>
      </c>
      <c r="S9" s="69" t="s">
        <v>55</v>
      </c>
    </row>
    <row r="10" spans="1:20" s="14" customFormat="1">
      <c r="B10" s="66"/>
      <c r="C10" s="14" t="s">
        <v>143</v>
      </c>
      <c r="E10" s="14" t="s">
        <v>57</v>
      </c>
      <c r="G10" s="67" t="s">
        <v>58</v>
      </c>
      <c r="H10" s="14" t="s">
        <v>100</v>
      </c>
      <c r="I10" s="14" t="s">
        <v>59</v>
      </c>
      <c r="J10" s="14" t="s">
        <v>60</v>
      </c>
      <c r="K10" s="70" t="s">
        <v>740</v>
      </c>
      <c r="L10" s="69" t="s">
        <v>49</v>
      </c>
      <c r="M10" s="69" t="s">
        <v>62</v>
      </c>
      <c r="N10" s="69" t="s">
        <v>63</v>
      </c>
      <c r="O10" s="69" t="s">
        <v>647</v>
      </c>
      <c r="P10" s="69" t="s">
        <v>65</v>
      </c>
      <c r="Q10" s="69" t="s">
        <v>252</v>
      </c>
      <c r="R10" s="69" t="s">
        <v>252</v>
      </c>
      <c r="S10" s="69" t="s">
        <v>6</v>
      </c>
    </row>
    <row r="11" spans="1:20" s="14" customFormat="1">
      <c r="A11" s="14" t="s">
        <v>71</v>
      </c>
      <c r="B11" s="66" t="s">
        <v>384</v>
      </c>
      <c r="C11" s="14" t="s">
        <v>72</v>
      </c>
      <c r="D11" s="14" t="s">
        <v>254</v>
      </c>
      <c r="E11" s="14" t="s">
        <v>48</v>
      </c>
      <c r="F11" s="14" t="s">
        <v>74</v>
      </c>
      <c r="G11" s="67" t="s">
        <v>51</v>
      </c>
      <c r="H11" s="14" t="s">
        <v>75</v>
      </c>
      <c r="I11" s="14" t="s">
        <v>76</v>
      </c>
      <c r="J11" s="14" t="s">
        <v>62</v>
      </c>
      <c r="K11" s="70" t="s">
        <v>741</v>
      </c>
      <c r="L11" s="69" t="s">
        <v>173</v>
      </c>
      <c r="M11" s="69" t="s">
        <v>173</v>
      </c>
      <c r="N11" s="69" t="s">
        <v>62</v>
      </c>
      <c r="O11" s="69" t="s">
        <v>62</v>
      </c>
      <c r="P11" s="69" t="s">
        <v>77</v>
      </c>
      <c r="Q11" s="71">
        <f>'Summary 2183'!F8</f>
        <v>45047</v>
      </c>
      <c r="R11" s="71">
        <f>+D3</f>
        <v>45412</v>
      </c>
      <c r="S11" s="71">
        <f>+D3</f>
        <v>45412</v>
      </c>
    </row>
    <row r="12" spans="1:20">
      <c r="D12" s="2" t="s">
        <v>250</v>
      </c>
    </row>
    <row r="13" spans="1:20">
      <c r="A13" t="s">
        <v>288</v>
      </c>
      <c r="C13">
        <v>4511</v>
      </c>
      <c r="D13" t="s">
        <v>182</v>
      </c>
      <c r="E13">
        <v>1996</v>
      </c>
      <c r="F13">
        <v>11</v>
      </c>
      <c r="G13" s="26">
        <v>0</v>
      </c>
      <c r="H13" t="s">
        <v>78</v>
      </c>
      <c r="I13">
        <v>7</v>
      </c>
      <c r="J13">
        <f>E13+I13</f>
        <v>2003</v>
      </c>
      <c r="K13" s="24">
        <f t="shared" ref="K13:K22" si="0">+J13+(F13/12)</f>
        <v>2003.9166666666667</v>
      </c>
      <c r="L13" s="29">
        <f>'Orig Trucks 2183'!P18</f>
        <v>8996</v>
      </c>
      <c r="M13" s="29">
        <f>L13-L13*G13</f>
        <v>8996</v>
      </c>
      <c r="N13" s="29">
        <f>M13/I13/12</f>
        <v>107.09523809523809</v>
      </c>
      <c r="O13" s="29">
        <f>+N13*12</f>
        <v>1285.1428571428571</v>
      </c>
      <c r="P13" s="29">
        <f>+IF($K13&lt;$N$7,0,IF($K13&gt;$N$6,$O13,((($K13-$N$7)*12)*$N13)))</f>
        <v>0</v>
      </c>
      <c r="Q13" s="29">
        <f>+IF($K13&lt;=$N$7,$M13,IF(($E13+($F13/12))&gt;=$N$7,0,((($M13-((($K13-$N$7)*12)*$N13))))))</f>
        <v>8996</v>
      </c>
      <c r="R13" s="29">
        <f>IF(K13&lt;$N$6,L13,Q13+P13)</f>
        <v>8996</v>
      </c>
      <c r="S13" s="29">
        <f>+L13-R13</f>
        <v>0</v>
      </c>
    </row>
    <row r="14" spans="1:20">
      <c r="A14" s="116"/>
      <c r="B14" s="116"/>
      <c r="C14" s="117">
        <v>4511</v>
      </c>
      <c r="D14" s="116" t="s">
        <v>650</v>
      </c>
      <c r="E14" s="116">
        <v>2019</v>
      </c>
      <c r="F14" s="116">
        <v>8</v>
      </c>
      <c r="G14" s="118">
        <v>0</v>
      </c>
      <c r="H14" s="116" t="s">
        <v>78</v>
      </c>
      <c r="I14" s="116">
        <v>3</v>
      </c>
      <c r="J14" s="116">
        <f>E14+I14</f>
        <v>2022</v>
      </c>
      <c r="K14" s="119">
        <f t="shared" si="0"/>
        <v>2022.6666666666667</v>
      </c>
      <c r="L14" s="120">
        <f>'Orig Trucks 2183'!N18-'Trucks 2183'!L13</f>
        <v>2249</v>
      </c>
      <c r="M14" s="120">
        <f>L14-(L14*G14)</f>
        <v>2249</v>
      </c>
      <c r="N14" s="120">
        <f>M14/I14/12</f>
        <v>62.472222222222221</v>
      </c>
      <c r="O14" s="120">
        <f>+N14*12</f>
        <v>749.66666666666663</v>
      </c>
      <c r="P14" s="120">
        <f t="shared" ref="P14:P77" si="1">+IF($K14&lt;$N$7,0,IF($K14&gt;$N$6,$O14,((($K14-$N$7)*12)*$N14)))</f>
        <v>0</v>
      </c>
      <c r="Q14" s="120">
        <f t="shared" ref="Q14:Q77" si="2">+IF($K14&lt;=$N$7,$M14,IF(($E14+($F14/12))&gt;=$N$7,0,((($M14-((($K14-$N$7)*12)*$N14))))))</f>
        <v>2249</v>
      </c>
      <c r="R14" s="120">
        <f t="shared" ref="R14:R24" si="3">IF(K14&lt;$N$6,L14,Q14+P14)</f>
        <v>2249</v>
      </c>
      <c r="S14" s="120">
        <f>+L14-R14</f>
        <v>0</v>
      </c>
      <c r="T14" s="46"/>
    </row>
    <row r="15" spans="1:20">
      <c r="A15">
        <v>114269</v>
      </c>
      <c r="B15" s="5" t="s">
        <v>283</v>
      </c>
      <c r="C15">
        <v>4518</v>
      </c>
      <c r="D15" t="s">
        <v>540</v>
      </c>
      <c r="E15">
        <v>2003</v>
      </c>
      <c r="F15">
        <v>12</v>
      </c>
      <c r="G15" s="26">
        <v>0</v>
      </c>
      <c r="H15" t="s">
        <v>78</v>
      </c>
      <c r="I15">
        <v>7</v>
      </c>
      <c r="J15">
        <f>E15+I15</f>
        <v>2010</v>
      </c>
      <c r="K15" s="24">
        <f>+J15+(F15/12)</f>
        <v>2011</v>
      </c>
      <c r="L15" s="29">
        <v>0</v>
      </c>
      <c r="M15" s="29">
        <f>L15-L15*G15</f>
        <v>0</v>
      </c>
      <c r="N15" s="29">
        <f>M15/I15/12</f>
        <v>0</v>
      </c>
      <c r="O15" s="29">
        <f>+N15*12</f>
        <v>0</v>
      </c>
      <c r="P15" s="29">
        <f t="shared" si="1"/>
        <v>0</v>
      </c>
      <c r="Q15" s="29">
        <f t="shared" si="2"/>
        <v>0</v>
      </c>
      <c r="R15" s="29">
        <f t="shared" si="3"/>
        <v>0</v>
      </c>
      <c r="S15" s="29">
        <f>+L15-R15</f>
        <v>0</v>
      </c>
    </row>
    <row r="16" spans="1:20">
      <c r="A16" s="116"/>
      <c r="B16" s="116"/>
      <c r="C16" s="117">
        <v>4518</v>
      </c>
      <c r="D16" s="116" t="s">
        <v>701</v>
      </c>
      <c r="E16" s="116">
        <v>2019</v>
      </c>
      <c r="F16" s="116">
        <v>8</v>
      </c>
      <c r="G16" s="118">
        <v>0</v>
      </c>
      <c r="H16" s="116" t="s">
        <v>78</v>
      </c>
      <c r="I16" s="116">
        <v>3</v>
      </c>
      <c r="J16" s="116">
        <f>E16+I16</f>
        <v>2022</v>
      </c>
      <c r="K16" s="119">
        <f>+J16+(F16/12)</f>
        <v>2022.6666666666667</v>
      </c>
      <c r="L16" s="120">
        <v>0</v>
      </c>
      <c r="M16" s="120">
        <f>L16-(L16*G16)</f>
        <v>0</v>
      </c>
      <c r="N16" s="120">
        <f>M16/I16/12</f>
        <v>0</v>
      </c>
      <c r="O16" s="120">
        <f>+N16*12</f>
        <v>0</v>
      </c>
      <c r="P16" s="120">
        <f t="shared" si="1"/>
        <v>0</v>
      </c>
      <c r="Q16" s="120">
        <f t="shared" si="2"/>
        <v>0</v>
      </c>
      <c r="R16" s="120">
        <f t="shared" si="3"/>
        <v>0</v>
      </c>
      <c r="S16" s="120">
        <f>+L16-R16</f>
        <v>0</v>
      </c>
    </row>
    <row r="17" spans="1:22">
      <c r="A17" t="s">
        <v>285</v>
      </c>
      <c r="B17" s="5">
        <v>61108</v>
      </c>
      <c r="C17">
        <v>1054</v>
      </c>
      <c r="D17" t="s">
        <v>150</v>
      </c>
      <c r="E17">
        <v>2007</v>
      </c>
      <c r="F17">
        <v>4</v>
      </c>
      <c r="G17" s="26">
        <v>0</v>
      </c>
      <c r="H17" t="s">
        <v>78</v>
      </c>
      <c r="I17">
        <v>7</v>
      </c>
      <c r="J17">
        <f t="shared" ref="J17:J22" si="4">E17+I17</f>
        <v>2014</v>
      </c>
      <c r="K17" s="24">
        <f t="shared" si="0"/>
        <v>2014.3333333333333</v>
      </c>
      <c r="L17" s="29">
        <f>'Orig Trucks 2183'!P39</f>
        <v>101567.75200000001</v>
      </c>
      <c r="M17" s="29">
        <f>L17-L17*G17</f>
        <v>101567.75200000001</v>
      </c>
      <c r="N17" s="29">
        <f t="shared" ref="N17:N22" si="5">M17/I17/12</f>
        <v>1209.139904761905</v>
      </c>
      <c r="O17" s="29">
        <f t="shared" ref="O17:O22" si="6">+N17*12</f>
        <v>14509.678857142859</v>
      </c>
      <c r="P17" s="29">
        <f t="shared" si="1"/>
        <v>0</v>
      </c>
      <c r="Q17" s="29">
        <f t="shared" si="2"/>
        <v>101567.75200000001</v>
      </c>
      <c r="R17" s="29">
        <f t="shared" si="3"/>
        <v>101567.75200000001</v>
      </c>
      <c r="S17" s="29">
        <f t="shared" ref="S17:S22" si="7">+L17-R17</f>
        <v>0</v>
      </c>
    </row>
    <row r="18" spans="1:22">
      <c r="A18" s="116"/>
      <c r="B18" s="116"/>
      <c r="C18" s="117">
        <v>1054</v>
      </c>
      <c r="D18" s="116" t="s">
        <v>661</v>
      </c>
      <c r="E18" s="116">
        <v>2019</v>
      </c>
      <c r="F18" s="116">
        <v>8</v>
      </c>
      <c r="G18" s="118">
        <v>0</v>
      </c>
      <c r="H18" s="116" t="s">
        <v>78</v>
      </c>
      <c r="I18" s="116">
        <v>3</v>
      </c>
      <c r="J18" s="116">
        <f t="shared" si="4"/>
        <v>2022</v>
      </c>
      <c r="K18" s="119">
        <f t="shared" si="0"/>
        <v>2022.6666666666667</v>
      </c>
      <c r="L18" s="120">
        <f>'Orig Trucks 2183'!N39-'Trucks 2183'!L17</f>
        <v>25391.937999999995</v>
      </c>
      <c r="M18" s="120">
        <f>L18-(L18*G18)</f>
        <v>25391.937999999995</v>
      </c>
      <c r="N18" s="120">
        <f t="shared" si="5"/>
        <v>705.33161111111087</v>
      </c>
      <c r="O18" s="120">
        <f t="shared" si="6"/>
        <v>8463.9793333333309</v>
      </c>
      <c r="P18" s="120">
        <f t="shared" si="1"/>
        <v>0</v>
      </c>
      <c r="Q18" s="120">
        <f t="shared" si="2"/>
        <v>25391.937999999995</v>
      </c>
      <c r="R18" s="120">
        <f t="shared" si="3"/>
        <v>25391.937999999995</v>
      </c>
      <c r="S18" s="120">
        <f t="shared" si="7"/>
        <v>0</v>
      </c>
    </row>
    <row r="19" spans="1:22">
      <c r="A19" t="s">
        <v>285</v>
      </c>
      <c r="B19" s="5">
        <v>61110</v>
      </c>
      <c r="C19">
        <v>1062</v>
      </c>
      <c r="D19" t="s">
        <v>150</v>
      </c>
      <c r="E19">
        <v>2007</v>
      </c>
      <c r="F19">
        <v>5</v>
      </c>
      <c r="G19" s="26">
        <v>0</v>
      </c>
      <c r="H19" t="s">
        <v>78</v>
      </c>
      <c r="I19">
        <v>7</v>
      </c>
      <c r="J19">
        <f t="shared" si="4"/>
        <v>2014</v>
      </c>
      <c r="K19" s="24">
        <f t="shared" si="0"/>
        <v>2014.4166666666667</v>
      </c>
      <c r="L19" s="29">
        <f>'Orig Trucks 2183'!P41</f>
        <v>101874.976</v>
      </c>
      <c r="M19" s="29">
        <f>L19-L19*G19</f>
        <v>101874.976</v>
      </c>
      <c r="N19" s="29">
        <f t="shared" si="5"/>
        <v>1212.7973333333332</v>
      </c>
      <c r="O19" s="29">
        <f t="shared" si="6"/>
        <v>14553.567999999999</v>
      </c>
      <c r="P19" s="29">
        <f t="shared" si="1"/>
        <v>0</v>
      </c>
      <c r="Q19" s="29">
        <f t="shared" si="2"/>
        <v>101874.976</v>
      </c>
      <c r="R19" s="29">
        <f t="shared" si="3"/>
        <v>101874.976</v>
      </c>
      <c r="S19" s="29">
        <f t="shared" si="7"/>
        <v>0</v>
      </c>
    </row>
    <row r="20" spans="1:22">
      <c r="A20" s="116"/>
      <c r="B20" s="116"/>
      <c r="C20" s="117">
        <v>1062</v>
      </c>
      <c r="D20" s="116" t="s">
        <v>663</v>
      </c>
      <c r="E20" s="116">
        <v>2019</v>
      </c>
      <c r="F20" s="116">
        <v>8</v>
      </c>
      <c r="G20" s="118">
        <v>0</v>
      </c>
      <c r="H20" s="116" t="s">
        <v>78</v>
      </c>
      <c r="I20" s="116">
        <v>3</v>
      </c>
      <c r="J20" s="116">
        <f t="shared" si="4"/>
        <v>2022</v>
      </c>
      <c r="K20" s="119">
        <f t="shared" si="0"/>
        <v>2022.6666666666667</v>
      </c>
      <c r="L20" s="120">
        <f>'Orig Trucks 2183'!N41-'Trucks 2183'!L19</f>
        <v>25468.744000000006</v>
      </c>
      <c r="M20" s="120">
        <f>L20-(L20*G20)</f>
        <v>25468.744000000006</v>
      </c>
      <c r="N20" s="120">
        <f t="shared" si="5"/>
        <v>707.46511111111124</v>
      </c>
      <c r="O20" s="120">
        <f t="shared" si="6"/>
        <v>8489.5813333333354</v>
      </c>
      <c r="P20" s="120">
        <f t="shared" si="1"/>
        <v>0</v>
      </c>
      <c r="Q20" s="120">
        <f t="shared" si="2"/>
        <v>25468.744000000006</v>
      </c>
      <c r="R20" s="120">
        <f t="shared" si="3"/>
        <v>25468.744000000006</v>
      </c>
      <c r="S20" s="120">
        <f t="shared" si="7"/>
        <v>0</v>
      </c>
      <c r="V20" s="87"/>
    </row>
    <row r="21" spans="1:22">
      <c r="A21" t="s">
        <v>285</v>
      </c>
      <c r="B21" s="5">
        <v>61111</v>
      </c>
      <c r="C21">
        <v>1067</v>
      </c>
      <c r="D21" t="s">
        <v>150</v>
      </c>
      <c r="E21">
        <v>2007</v>
      </c>
      <c r="F21">
        <v>5</v>
      </c>
      <c r="G21" s="26">
        <v>0</v>
      </c>
      <c r="H21" t="s">
        <v>78</v>
      </c>
      <c r="I21">
        <v>7</v>
      </c>
      <c r="J21">
        <f t="shared" si="4"/>
        <v>2014</v>
      </c>
      <c r="K21" s="24">
        <f t="shared" si="0"/>
        <v>2014.4166666666667</v>
      </c>
      <c r="L21" s="29">
        <f>'Orig Trucks 2183'!P42</f>
        <v>101874.976</v>
      </c>
      <c r="M21" s="29">
        <f>L21-L21*G21</f>
        <v>101874.976</v>
      </c>
      <c r="N21" s="29">
        <f t="shared" si="5"/>
        <v>1212.7973333333332</v>
      </c>
      <c r="O21" s="29">
        <f t="shared" si="6"/>
        <v>14553.567999999999</v>
      </c>
      <c r="P21" s="29">
        <f t="shared" si="1"/>
        <v>0</v>
      </c>
      <c r="Q21" s="29">
        <f t="shared" si="2"/>
        <v>101874.976</v>
      </c>
      <c r="R21" s="29">
        <f t="shared" si="3"/>
        <v>101874.976</v>
      </c>
      <c r="S21" s="29">
        <f t="shared" si="7"/>
        <v>0</v>
      </c>
    </row>
    <row r="22" spans="1:22">
      <c r="A22" s="116"/>
      <c r="B22" s="116"/>
      <c r="C22" s="117">
        <v>1067</v>
      </c>
      <c r="D22" s="116" t="s">
        <v>662</v>
      </c>
      <c r="E22" s="116">
        <v>2019</v>
      </c>
      <c r="F22" s="116">
        <v>8</v>
      </c>
      <c r="G22" s="118">
        <v>0</v>
      </c>
      <c r="H22" s="116" t="s">
        <v>78</v>
      </c>
      <c r="I22" s="116">
        <v>3</v>
      </c>
      <c r="J22" s="116">
        <f t="shared" si="4"/>
        <v>2022</v>
      </c>
      <c r="K22" s="119">
        <f t="shared" si="0"/>
        <v>2022.6666666666667</v>
      </c>
      <c r="L22" s="120">
        <f>'Orig Trucks 2183'!N42-'Trucks 2183'!L21</f>
        <v>25468.744000000006</v>
      </c>
      <c r="M22" s="120">
        <f>L22-(L22*G22)</f>
        <v>25468.744000000006</v>
      </c>
      <c r="N22" s="120">
        <f t="shared" si="5"/>
        <v>707.46511111111124</v>
      </c>
      <c r="O22" s="120">
        <f t="shared" si="6"/>
        <v>8489.5813333333354</v>
      </c>
      <c r="P22" s="120">
        <f t="shared" si="1"/>
        <v>0</v>
      </c>
      <c r="Q22" s="120">
        <f t="shared" si="2"/>
        <v>25468.744000000006</v>
      </c>
      <c r="R22" s="120">
        <f t="shared" si="3"/>
        <v>25468.744000000006</v>
      </c>
      <c r="S22" s="120">
        <f t="shared" si="7"/>
        <v>0</v>
      </c>
    </row>
    <row r="23" spans="1:22">
      <c r="A23" t="s">
        <v>311</v>
      </c>
      <c r="C23">
        <v>67258</v>
      </c>
      <c r="D23" t="s">
        <v>324</v>
      </c>
      <c r="E23">
        <v>2009</v>
      </c>
      <c r="F23">
        <v>6</v>
      </c>
      <c r="G23" s="26">
        <v>0</v>
      </c>
      <c r="H23" t="s">
        <v>78</v>
      </c>
      <c r="I23">
        <v>5</v>
      </c>
      <c r="J23">
        <f t="shared" ref="J23:J37" si="8">E23+I23</f>
        <v>2014</v>
      </c>
      <c r="K23" s="24">
        <f t="shared" ref="K23:K46" si="9">+J23+(F23/12)</f>
        <v>2014.5</v>
      </c>
      <c r="L23" s="29">
        <f>'Orig Trucks 2183'!P48</f>
        <v>28151.168899999997</v>
      </c>
      <c r="M23" s="29">
        <f>L23-L23*G23</f>
        <v>28151.168899999997</v>
      </c>
      <c r="N23" s="29">
        <f t="shared" ref="N23:N37" si="10">M23/I23/12</f>
        <v>469.18614833333328</v>
      </c>
      <c r="O23" s="29">
        <f t="shared" ref="O23:O37" si="11">+N23*12</f>
        <v>5630.2337799999996</v>
      </c>
      <c r="P23" s="29">
        <f t="shared" si="1"/>
        <v>0</v>
      </c>
      <c r="Q23" s="29">
        <f t="shared" si="2"/>
        <v>28151.168899999997</v>
      </c>
      <c r="R23" s="29">
        <f t="shared" si="3"/>
        <v>28151.168899999997</v>
      </c>
      <c r="S23" s="29">
        <f t="shared" ref="S23:S37" si="12">+L23-R23</f>
        <v>0</v>
      </c>
    </row>
    <row r="24" spans="1:22">
      <c r="A24" s="116"/>
      <c r="B24" s="117"/>
      <c r="C24" s="117">
        <v>67258</v>
      </c>
      <c r="D24" s="116" t="s">
        <v>668</v>
      </c>
      <c r="E24" s="116">
        <v>2019</v>
      </c>
      <c r="F24" s="116">
        <v>8</v>
      </c>
      <c r="G24" s="118">
        <v>0</v>
      </c>
      <c r="H24" s="116" t="s">
        <v>78</v>
      </c>
      <c r="I24" s="116">
        <v>3</v>
      </c>
      <c r="J24" s="116">
        <f t="shared" si="8"/>
        <v>2022</v>
      </c>
      <c r="K24" s="119">
        <f t="shared" si="9"/>
        <v>2022.6666666666667</v>
      </c>
      <c r="L24" s="120">
        <f>'Orig Trucks 2183'!N48-'Trucks 2183'!L23</f>
        <v>13865.501100000001</v>
      </c>
      <c r="M24" s="120">
        <f>L24-(L24*G24)</f>
        <v>13865.501100000001</v>
      </c>
      <c r="N24" s="120">
        <f t="shared" si="10"/>
        <v>385.15280833333333</v>
      </c>
      <c r="O24" s="120">
        <f t="shared" si="11"/>
        <v>4621.8337000000001</v>
      </c>
      <c r="P24" s="120">
        <f t="shared" si="1"/>
        <v>0</v>
      </c>
      <c r="Q24" s="120">
        <f t="shared" si="2"/>
        <v>13865.501100000001</v>
      </c>
      <c r="R24" s="120">
        <f t="shared" si="3"/>
        <v>13865.501100000001</v>
      </c>
      <c r="S24" s="120">
        <f t="shared" si="12"/>
        <v>0</v>
      </c>
    </row>
    <row r="25" spans="1:22">
      <c r="A25" t="s">
        <v>288</v>
      </c>
      <c r="C25">
        <v>4511</v>
      </c>
      <c r="D25" t="s">
        <v>328</v>
      </c>
      <c r="E25">
        <v>2009</v>
      </c>
      <c r="F25">
        <v>6</v>
      </c>
      <c r="G25" s="26">
        <v>0</v>
      </c>
      <c r="H25" t="s">
        <v>78</v>
      </c>
      <c r="I25">
        <v>3</v>
      </c>
      <c r="J25">
        <f t="shared" si="8"/>
        <v>2012</v>
      </c>
      <c r="K25" s="24">
        <f t="shared" si="9"/>
        <v>2012.5</v>
      </c>
      <c r="L25" s="29">
        <v>3096.41</v>
      </c>
      <c r="M25" s="29">
        <f>L25-L25*G25</f>
        <v>3096.41</v>
      </c>
      <c r="N25" s="29">
        <f t="shared" si="10"/>
        <v>86.011388888888874</v>
      </c>
      <c r="O25" s="29">
        <f t="shared" si="11"/>
        <v>1032.1366666666665</v>
      </c>
      <c r="P25" s="29">
        <f t="shared" si="1"/>
        <v>0</v>
      </c>
      <c r="Q25" s="29">
        <f t="shared" si="2"/>
        <v>3096.41</v>
      </c>
      <c r="R25" s="29">
        <f t="shared" ref="R25:R26" si="13">IF(K25&lt;$N$6,L25,Q25+P25)</f>
        <v>3096.41</v>
      </c>
      <c r="S25" s="29">
        <f t="shared" si="12"/>
        <v>0</v>
      </c>
    </row>
    <row r="26" spans="1:22">
      <c r="A26" t="s">
        <v>311</v>
      </c>
      <c r="C26">
        <v>68611</v>
      </c>
      <c r="D26" t="s">
        <v>325</v>
      </c>
      <c r="E26">
        <v>2009</v>
      </c>
      <c r="F26">
        <v>7</v>
      </c>
      <c r="G26" s="26">
        <v>0</v>
      </c>
      <c r="H26" t="s">
        <v>78</v>
      </c>
      <c r="I26">
        <v>5</v>
      </c>
      <c r="J26">
        <f t="shared" si="8"/>
        <v>2014</v>
      </c>
      <c r="K26" s="24">
        <f t="shared" si="9"/>
        <v>2014.5833333333333</v>
      </c>
      <c r="L26" s="29">
        <f>+'Orig Trucks 2183'!P51</f>
        <v>-726.95</v>
      </c>
      <c r="M26" s="29">
        <f>L26-L26*G26</f>
        <v>-726.95</v>
      </c>
      <c r="N26" s="29">
        <f t="shared" si="10"/>
        <v>-12.115833333333335</v>
      </c>
      <c r="O26" s="29">
        <f t="shared" si="11"/>
        <v>-145.39000000000001</v>
      </c>
      <c r="P26" s="29">
        <f t="shared" si="1"/>
        <v>0</v>
      </c>
      <c r="Q26" s="29">
        <f t="shared" si="2"/>
        <v>-726.95</v>
      </c>
      <c r="R26" s="29">
        <f t="shared" si="13"/>
        <v>-726.95</v>
      </c>
      <c r="S26" s="29">
        <f t="shared" si="12"/>
        <v>0</v>
      </c>
    </row>
    <row r="27" spans="1:22">
      <c r="A27" s="116"/>
      <c r="B27" s="116"/>
      <c r="C27" s="117">
        <v>68611</v>
      </c>
      <c r="D27" s="116" t="s">
        <v>669</v>
      </c>
      <c r="E27" s="116">
        <v>2019</v>
      </c>
      <c r="F27" s="116">
        <v>8</v>
      </c>
      <c r="G27" s="118">
        <v>0</v>
      </c>
      <c r="H27" s="116" t="s">
        <v>78</v>
      </c>
      <c r="I27" s="116">
        <v>3</v>
      </c>
      <c r="J27" s="116">
        <f t="shared" si="8"/>
        <v>2022</v>
      </c>
      <c r="K27" s="119">
        <f t="shared" si="9"/>
        <v>2022.6666666666667</v>
      </c>
      <c r="L27" s="120">
        <f>+'Orig Trucks 2183'!N51-L26</f>
        <v>-358.04999999999995</v>
      </c>
      <c r="M27" s="120">
        <f>L27-(L27*G27)</f>
        <v>-358.04999999999995</v>
      </c>
      <c r="N27" s="120">
        <f t="shared" si="10"/>
        <v>-9.9458333333333311</v>
      </c>
      <c r="O27" s="120">
        <f t="shared" si="11"/>
        <v>-119.34999999999997</v>
      </c>
      <c r="P27" s="120">
        <f t="shared" si="1"/>
        <v>0</v>
      </c>
      <c r="Q27" s="120">
        <f t="shared" si="2"/>
        <v>-358.04999999999995</v>
      </c>
      <c r="R27" s="120">
        <f>IF(K27&lt;$N$6,L27,Q27+P27)</f>
        <v>-358.04999999999995</v>
      </c>
      <c r="S27" s="120">
        <f t="shared" si="12"/>
        <v>0</v>
      </c>
    </row>
    <row r="28" spans="1:22">
      <c r="A28" t="s">
        <v>312</v>
      </c>
      <c r="B28" s="5">
        <v>75159</v>
      </c>
      <c r="D28" t="s">
        <v>388</v>
      </c>
      <c r="E28">
        <v>2010</v>
      </c>
      <c r="F28">
        <v>3</v>
      </c>
      <c r="G28" s="26">
        <v>0</v>
      </c>
      <c r="H28" t="s">
        <v>78</v>
      </c>
      <c r="I28">
        <v>5</v>
      </c>
      <c r="J28">
        <f t="shared" si="8"/>
        <v>2015</v>
      </c>
      <c r="K28" s="24">
        <f t="shared" si="9"/>
        <v>2015.25</v>
      </c>
      <c r="L28" s="29">
        <f>'Orig Trucks 2183'!P52</f>
        <v>7491.645199999999</v>
      </c>
      <c r="M28" s="29">
        <f>L28-L28*G28</f>
        <v>7491.645199999999</v>
      </c>
      <c r="N28" s="29">
        <f t="shared" si="10"/>
        <v>124.86075333333332</v>
      </c>
      <c r="O28" s="29">
        <f t="shared" si="11"/>
        <v>1498.3290399999998</v>
      </c>
      <c r="P28" s="29">
        <f t="shared" si="1"/>
        <v>0</v>
      </c>
      <c r="Q28" s="29">
        <f t="shared" si="2"/>
        <v>7491.645199999999</v>
      </c>
      <c r="R28" s="29">
        <f t="shared" ref="R28:R30" si="14">IF(K28&lt;$N$6,L28,Q28+P28)</f>
        <v>7491.645199999999</v>
      </c>
      <c r="S28" s="29">
        <f t="shared" si="12"/>
        <v>0</v>
      </c>
    </row>
    <row r="29" spans="1:22">
      <c r="D29" t="s">
        <v>710</v>
      </c>
      <c r="E29" s="62">
        <v>2019</v>
      </c>
      <c r="F29" s="62">
        <v>8</v>
      </c>
      <c r="G29" s="26">
        <v>0</v>
      </c>
      <c r="H29" t="s">
        <v>78</v>
      </c>
      <c r="I29">
        <v>5</v>
      </c>
      <c r="J29">
        <f t="shared" si="8"/>
        <v>2024</v>
      </c>
      <c r="K29" s="24">
        <f t="shared" si="9"/>
        <v>2024.6666666666667</v>
      </c>
      <c r="L29" s="29">
        <f>'Orig Trucks 2183'!N52-'Trucks 2183'!L28</f>
        <v>3689.9148000000005</v>
      </c>
      <c r="M29" s="29">
        <f>L29-(L29*G29)</f>
        <v>3689.9148000000005</v>
      </c>
      <c r="N29" s="29">
        <f t="shared" si="10"/>
        <v>61.498580000000004</v>
      </c>
      <c r="O29" s="29">
        <f t="shared" si="11"/>
        <v>737.98296000000005</v>
      </c>
      <c r="P29" s="29">
        <f t="shared" si="1"/>
        <v>737.98296000000005</v>
      </c>
      <c r="Q29" s="29">
        <f t="shared" si="2"/>
        <v>2767.4361000000004</v>
      </c>
      <c r="R29" s="29">
        <f t="shared" si="14"/>
        <v>3505.4190600000002</v>
      </c>
      <c r="S29" s="29">
        <f t="shared" si="12"/>
        <v>184.4957400000003</v>
      </c>
    </row>
    <row r="30" spans="1:22">
      <c r="A30" t="s">
        <v>286</v>
      </c>
      <c r="B30" s="5">
        <v>77760</v>
      </c>
      <c r="C30">
        <v>2035</v>
      </c>
      <c r="D30" t="s">
        <v>385</v>
      </c>
      <c r="E30">
        <v>2010</v>
      </c>
      <c r="F30">
        <v>10</v>
      </c>
      <c r="G30" s="26">
        <v>0</v>
      </c>
      <c r="H30" t="s">
        <v>78</v>
      </c>
      <c r="I30">
        <v>7</v>
      </c>
      <c r="J30">
        <f t="shared" si="8"/>
        <v>2017</v>
      </c>
      <c r="K30" s="24">
        <f t="shared" si="9"/>
        <v>2017.8333333333333</v>
      </c>
      <c r="L30" s="29">
        <f>'Orig Trucks 2183'!P53</f>
        <v>185665.2</v>
      </c>
      <c r="M30" s="29">
        <f>L30-L30*G30</f>
        <v>185665.2</v>
      </c>
      <c r="N30" s="29">
        <f t="shared" si="10"/>
        <v>2210.3000000000002</v>
      </c>
      <c r="O30" s="29">
        <f t="shared" si="11"/>
        <v>26523.600000000002</v>
      </c>
      <c r="P30" s="29">
        <f t="shared" si="1"/>
        <v>0</v>
      </c>
      <c r="Q30" s="29">
        <f t="shared" si="2"/>
        <v>185665.2</v>
      </c>
      <c r="R30" s="29">
        <f t="shared" si="14"/>
        <v>185665.2</v>
      </c>
      <c r="S30" s="29">
        <f t="shared" si="12"/>
        <v>0</v>
      </c>
    </row>
    <row r="31" spans="1:22">
      <c r="A31" s="116"/>
      <c r="B31" s="116"/>
      <c r="C31" s="117">
        <v>2035</v>
      </c>
      <c r="D31" s="116" t="s">
        <v>670</v>
      </c>
      <c r="E31" s="116">
        <v>2019</v>
      </c>
      <c r="F31" s="116">
        <v>8</v>
      </c>
      <c r="G31" s="118">
        <v>0</v>
      </c>
      <c r="H31" s="116" t="s">
        <v>78</v>
      </c>
      <c r="I31" s="116">
        <v>3</v>
      </c>
      <c r="J31" s="116">
        <f t="shared" si="8"/>
        <v>2022</v>
      </c>
      <c r="K31" s="119">
        <f t="shared" si="9"/>
        <v>2022.6666666666667</v>
      </c>
      <c r="L31" s="120">
        <f>'Orig Trucks 2183'!N53-'Trucks 2183'!L30</f>
        <v>46416.299999999988</v>
      </c>
      <c r="M31" s="120">
        <f>L31-(L31*G31)</f>
        <v>46416.299999999988</v>
      </c>
      <c r="N31" s="120">
        <f t="shared" si="10"/>
        <v>1289.3416666666665</v>
      </c>
      <c r="O31" s="120">
        <f t="shared" si="11"/>
        <v>15472.099999999999</v>
      </c>
      <c r="P31" s="120">
        <f t="shared" si="1"/>
        <v>0</v>
      </c>
      <c r="Q31" s="120">
        <f t="shared" si="2"/>
        <v>46416.299999999988</v>
      </c>
      <c r="R31" s="120">
        <f>IF(K31&lt;$N$6,L31,Q31+P31)</f>
        <v>46416.299999999988</v>
      </c>
      <c r="S31" s="120">
        <f t="shared" si="12"/>
        <v>0</v>
      </c>
    </row>
    <row r="32" spans="1:22">
      <c r="B32" s="5">
        <v>88721</v>
      </c>
      <c r="D32" t="s">
        <v>436</v>
      </c>
      <c r="E32">
        <v>2011</v>
      </c>
      <c r="F32">
        <v>12</v>
      </c>
      <c r="G32" s="26">
        <v>0</v>
      </c>
      <c r="H32" t="s">
        <v>78</v>
      </c>
      <c r="I32">
        <v>5</v>
      </c>
      <c r="J32">
        <f t="shared" si="8"/>
        <v>2016</v>
      </c>
      <c r="K32" s="24">
        <f t="shared" si="9"/>
        <v>2017</v>
      </c>
      <c r="L32" s="29">
        <f>487.65*32</f>
        <v>15604.8</v>
      </c>
      <c r="M32" s="29">
        <f>L32-L32*G32</f>
        <v>15604.8</v>
      </c>
      <c r="N32" s="29">
        <f t="shared" si="10"/>
        <v>260.08</v>
      </c>
      <c r="O32" s="29">
        <f t="shared" si="11"/>
        <v>3120.96</v>
      </c>
      <c r="P32" s="29">
        <f t="shared" si="1"/>
        <v>0</v>
      </c>
      <c r="Q32" s="29">
        <f t="shared" si="2"/>
        <v>15604.8</v>
      </c>
      <c r="R32" s="29">
        <f t="shared" ref="R32:R33" si="15">IF(K32&lt;$N$6,L32,Q32+P32)</f>
        <v>15604.8</v>
      </c>
      <c r="S32" s="29">
        <f t="shared" si="12"/>
        <v>0</v>
      </c>
    </row>
    <row r="33" spans="1:22">
      <c r="B33" s="5">
        <v>89484</v>
      </c>
      <c r="C33">
        <v>2036</v>
      </c>
      <c r="D33" t="s">
        <v>447</v>
      </c>
      <c r="E33">
        <v>2011</v>
      </c>
      <c r="F33">
        <v>12</v>
      </c>
      <c r="G33" s="26">
        <v>0</v>
      </c>
      <c r="H33" t="s">
        <v>78</v>
      </c>
      <c r="I33">
        <v>7</v>
      </c>
      <c r="J33">
        <f t="shared" si="8"/>
        <v>2018</v>
      </c>
      <c r="K33" s="24">
        <f t="shared" si="9"/>
        <v>2019</v>
      </c>
      <c r="L33" s="29">
        <f>'Orig Trucks 2183'!P56</f>
        <v>196384.44</v>
      </c>
      <c r="M33" s="29">
        <f>L33-L33*G33</f>
        <v>196384.44</v>
      </c>
      <c r="N33" s="29">
        <f t="shared" si="10"/>
        <v>2337.9100000000003</v>
      </c>
      <c r="O33" s="29">
        <f t="shared" si="11"/>
        <v>28054.920000000006</v>
      </c>
      <c r="P33" s="29">
        <f t="shared" si="1"/>
        <v>0</v>
      </c>
      <c r="Q33" s="29">
        <f t="shared" si="2"/>
        <v>196384.44</v>
      </c>
      <c r="R33" s="29">
        <f t="shared" si="15"/>
        <v>196384.44</v>
      </c>
      <c r="S33" s="29">
        <f t="shared" si="12"/>
        <v>0</v>
      </c>
      <c r="V33" s="87"/>
    </row>
    <row r="34" spans="1:22">
      <c r="A34" s="116"/>
      <c r="B34" s="116"/>
      <c r="C34" s="117">
        <v>2036</v>
      </c>
      <c r="D34" s="116" t="s">
        <v>672</v>
      </c>
      <c r="E34" s="116">
        <v>2019</v>
      </c>
      <c r="F34" s="116">
        <v>8</v>
      </c>
      <c r="G34" s="118">
        <v>0</v>
      </c>
      <c r="H34" s="116" t="s">
        <v>78</v>
      </c>
      <c r="I34" s="116">
        <v>3</v>
      </c>
      <c r="J34" s="116">
        <f t="shared" si="8"/>
        <v>2022</v>
      </c>
      <c r="K34" s="119">
        <f t="shared" si="9"/>
        <v>2022.6666666666667</v>
      </c>
      <c r="L34" s="120">
        <f>'Orig Trucks 2183'!N56-'Trucks 2183'!L33</f>
        <v>49096.109999999986</v>
      </c>
      <c r="M34" s="120">
        <f>L34-(L34*G34)</f>
        <v>49096.109999999986</v>
      </c>
      <c r="N34" s="120">
        <f t="shared" si="10"/>
        <v>1363.780833333333</v>
      </c>
      <c r="O34" s="120">
        <f t="shared" si="11"/>
        <v>16365.369999999995</v>
      </c>
      <c r="P34" s="120">
        <f t="shared" si="1"/>
        <v>0</v>
      </c>
      <c r="Q34" s="120">
        <f t="shared" si="2"/>
        <v>49096.109999999986</v>
      </c>
      <c r="R34" s="120">
        <f>IF(K34&lt;$N$6,L34,Q34+P34)</f>
        <v>49096.109999999986</v>
      </c>
      <c r="S34" s="120">
        <f t="shared" si="12"/>
        <v>0</v>
      </c>
      <c r="V34" s="87"/>
    </row>
    <row r="35" spans="1:22">
      <c r="A35" t="s">
        <v>288</v>
      </c>
      <c r="B35" s="5" t="s">
        <v>443</v>
      </c>
      <c r="C35">
        <v>4511</v>
      </c>
      <c r="D35" t="s">
        <v>444</v>
      </c>
      <c r="E35">
        <v>2012</v>
      </c>
      <c r="F35">
        <v>2</v>
      </c>
      <c r="G35" s="26">
        <v>0</v>
      </c>
      <c r="H35" t="s">
        <v>78</v>
      </c>
      <c r="I35">
        <v>3</v>
      </c>
      <c r="J35">
        <f t="shared" si="8"/>
        <v>2015</v>
      </c>
      <c r="K35" s="24">
        <f t="shared" si="9"/>
        <v>2015.1666666666667</v>
      </c>
      <c r="L35" s="29">
        <f>12472.57-4700.16+4164.8</f>
        <v>11937.21</v>
      </c>
      <c r="M35" s="29">
        <f t="shared" ref="M35:M46" si="16">L35-L35*G35</f>
        <v>11937.21</v>
      </c>
      <c r="N35" s="29">
        <f t="shared" si="10"/>
        <v>331.58916666666664</v>
      </c>
      <c r="O35" s="29">
        <f t="shared" si="11"/>
        <v>3979.0699999999997</v>
      </c>
      <c r="P35" s="29">
        <f t="shared" si="1"/>
        <v>0</v>
      </c>
      <c r="Q35" s="29">
        <f t="shared" si="2"/>
        <v>11937.21</v>
      </c>
      <c r="R35" s="29">
        <f t="shared" ref="R35:R63" si="17">IF(K35&lt;$N$6,L35,Q35+P35)</f>
        <v>11937.21</v>
      </c>
      <c r="S35" s="29">
        <f t="shared" si="12"/>
        <v>0</v>
      </c>
      <c r="V35" s="46"/>
    </row>
    <row r="36" spans="1:22">
      <c r="A36" t="s">
        <v>462</v>
      </c>
      <c r="B36" s="5">
        <v>117321</v>
      </c>
      <c r="C36">
        <v>3639</v>
      </c>
      <c r="D36" t="s">
        <v>526</v>
      </c>
      <c r="E36">
        <v>2014</v>
      </c>
      <c r="F36">
        <v>11</v>
      </c>
      <c r="G36" s="26">
        <v>0</v>
      </c>
      <c r="H36" t="s">
        <v>78</v>
      </c>
      <c r="I36">
        <v>10</v>
      </c>
      <c r="J36">
        <f t="shared" si="8"/>
        <v>2024</v>
      </c>
      <c r="K36" s="24">
        <f t="shared" si="9"/>
        <v>2024.9166666666667</v>
      </c>
      <c r="L36" s="29">
        <v>330416.48</v>
      </c>
      <c r="M36" s="29">
        <f t="shared" si="16"/>
        <v>330416.48</v>
      </c>
      <c r="N36" s="29">
        <f t="shared" si="10"/>
        <v>2753.4706666666666</v>
      </c>
      <c r="O36" s="29">
        <f t="shared" si="11"/>
        <v>33041.648000000001</v>
      </c>
      <c r="P36" s="29">
        <f t="shared" si="1"/>
        <v>33041.648000000001</v>
      </c>
      <c r="Q36" s="29">
        <f t="shared" si="2"/>
        <v>280854.00799999997</v>
      </c>
      <c r="R36" s="29">
        <f t="shared" si="17"/>
        <v>313895.65599999996</v>
      </c>
      <c r="S36" s="29">
        <f t="shared" si="12"/>
        <v>16520.824000000022</v>
      </c>
      <c r="V36" s="87"/>
    </row>
    <row r="37" spans="1:22">
      <c r="A37" t="s">
        <v>462</v>
      </c>
      <c r="B37" s="5">
        <v>117322</v>
      </c>
      <c r="C37">
        <v>3640</v>
      </c>
      <c r="D37" t="s">
        <v>526</v>
      </c>
      <c r="E37">
        <v>2014</v>
      </c>
      <c r="F37">
        <v>11</v>
      </c>
      <c r="G37" s="26">
        <v>0</v>
      </c>
      <c r="H37" t="s">
        <v>78</v>
      </c>
      <c r="I37">
        <v>10</v>
      </c>
      <c r="J37">
        <f t="shared" si="8"/>
        <v>2024</v>
      </c>
      <c r="K37" s="24">
        <f t="shared" si="9"/>
        <v>2024.9166666666667</v>
      </c>
      <c r="L37" s="29">
        <v>330302.59000000003</v>
      </c>
      <c r="M37" s="29">
        <f t="shared" si="16"/>
        <v>330302.59000000003</v>
      </c>
      <c r="N37" s="29">
        <f t="shared" si="10"/>
        <v>2752.5215833333336</v>
      </c>
      <c r="O37" s="29">
        <f t="shared" si="11"/>
        <v>33030.259000000005</v>
      </c>
      <c r="P37" s="29">
        <f t="shared" si="1"/>
        <v>33030.259000000005</v>
      </c>
      <c r="Q37" s="29">
        <f t="shared" si="2"/>
        <v>280757.20150000002</v>
      </c>
      <c r="R37" s="29">
        <f t="shared" si="17"/>
        <v>313787.46050000004</v>
      </c>
      <c r="S37" s="29">
        <f t="shared" si="12"/>
        <v>16515.129499999981</v>
      </c>
    </row>
    <row r="38" spans="1:22">
      <c r="B38" s="5">
        <v>128673</v>
      </c>
      <c r="C38">
        <v>1073</v>
      </c>
      <c r="D38" t="s">
        <v>583</v>
      </c>
      <c r="E38">
        <v>2015</v>
      </c>
      <c r="F38">
        <v>12</v>
      </c>
      <c r="G38" s="26">
        <v>0</v>
      </c>
      <c r="H38" t="s">
        <v>78</v>
      </c>
      <c r="I38">
        <v>10</v>
      </c>
      <c r="J38">
        <f>E38+I38</f>
        <v>2025</v>
      </c>
      <c r="K38" s="24">
        <f>+J38+(F38/12)</f>
        <v>2026</v>
      </c>
      <c r="L38" s="29">
        <v>291925.26</v>
      </c>
      <c r="M38" s="29">
        <f>L38-L38*G38</f>
        <v>291925.26</v>
      </c>
      <c r="N38" s="29">
        <f>M38/I38/12</f>
        <v>2432.7105000000001</v>
      </c>
      <c r="O38" s="29">
        <f t="shared" ref="O38:O46" si="18">+N38*12</f>
        <v>29192.526000000002</v>
      </c>
      <c r="P38" s="29">
        <f t="shared" si="1"/>
        <v>29192.526000000002</v>
      </c>
      <c r="Q38" s="29">
        <f t="shared" si="2"/>
        <v>216511.23450000223</v>
      </c>
      <c r="R38" s="29">
        <f t="shared" si="17"/>
        <v>245703.76050000224</v>
      </c>
      <c r="S38" s="29">
        <f>+L38-R38</f>
        <v>46221.499499997764</v>
      </c>
    </row>
    <row r="39" spans="1:22">
      <c r="B39" s="5" t="s">
        <v>593</v>
      </c>
      <c r="D39" t="s">
        <v>588</v>
      </c>
      <c r="E39">
        <v>2016</v>
      </c>
      <c r="F39">
        <v>4</v>
      </c>
      <c r="G39" s="26">
        <v>0</v>
      </c>
      <c r="H39" t="s">
        <v>78</v>
      </c>
      <c r="I39">
        <v>3</v>
      </c>
      <c r="J39">
        <f t="shared" ref="J39:J46" si="19">E39+I39</f>
        <v>2019</v>
      </c>
      <c r="K39" s="24">
        <f t="shared" si="9"/>
        <v>2019.3333333333333</v>
      </c>
      <c r="L39" s="29">
        <f>((14612.94+16641.82+675)/75)*46</f>
        <v>19583.586133333334</v>
      </c>
      <c r="M39" s="29">
        <f t="shared" si="16"/>
        <v>19583.586133333334</v>
      </c>
      <c r="N39" s="29">
        <f t="shared" ref="N39:N46" si="20">M39/I39/12</f>
        <v>543.98850370370371</v>
      </c>
      <c r="O39" s="29">
        <f t="shared" si="18"/>
        <v>6527.8620444444441</v>
      </c>
      <c r="P39" s="29">
        <f t="shared" si="1"/>
        <v>0</v>
      </c>
      <c r="Q39" s="29">
        <f t="shared" si="2"/>
        <v>19583.586133333334</v>
      </c>
      <c r="R39" s="29">
        <f t="shared" si="17"/>
        <v>19583.586133333334</v>
      </c>
      <c r="S39" s="29">
        <f t="shared" ref="S39:S46" si="21">+L39-R39</f>
        <v>0</v>
      </c>
    </row>
    <row r="40" spans="1:22">
      <c r="B40" s="5">
        <v>171241</v>
      </c>
      <c r="C40">
        <v>2046</v>
      </c>
      <c r="D40" t="s">
        <v>602</v>
      </c>
      <c r="E40">
        <v>2016</v>
      </c>
      <c r="F40">
        <v>11</v>
      </c>
      <c r="G40" s="26">
        <v>0</v>
      </c>
      <c r="H40" t="s">
        <v>78</v>
      </c>
      <c r="I40">
        <v>10</v>
      </c>
      <c r="J40">
        <f t="shared" si="19"/>
        <v>2026</v>
      </c>
      <c r="K40" s="24">
        <f t="shared" si="9"/>
        <v>2026.9166666666667</v>
      </c>
      <c r="L40" s="29">
        <v>318387.46000000002</v>
      </c>
      <c r="M40" s="29">
        <f t="shared" si="16"/>
        <v>318387.46000000002</v>
      </c>
      <c r="N40" s="29">
        <f t="shared" si="20"/>
        <v>2653.2288333333336</v>
      </c>
      <c r="O40" s="29">
        <f t="shared" si="18"/>
        <v>31838.746000000003</v>
      </c>
      <c r="P40" s="29">
        <f t="shared" si="1"/>
        <v>31838.746000000003</v>
      </c>
      <c r="Q40" s="29">
        <f t="shared" si="2"/>
        <v>206951.84900000002</v>
      </c>
      <c r="R40" s="29">
        <f t="shared" si="17"/>
        <v>238790.59500000003</v>
      </c>
      <c r="S40" s="29">
        <f t="shared" si="21"/>
        <v>79596.864999999991</v>
      </c>
    </row>
    <row r="41" spans="1:22">
      <c r="B41" s="5">
        <v>18550</v>
      </c>
      <c r="D41" t="s">
        <v>632</v>
      </c>
      <c r="E41">
        <v>2017</v>
      </c>
      <c r="F41">
        <v>8</v>
      </c>
      <c r="G41" s="26">
        <v>0</v>
      </c>
      <c r="H41" s="47" t="s">
        <v>78</v>
      </c>
      <c r="I41">
        <v>3</v>
      </c>
      <c r="J41">
        <f t="shared" si="19"/>
        <v>2020</v>
      </c>
      <c r="K41" s="24">
        <f t="shared" si="9"/>
        <v>2020.6666666666667</v>
      </c>
      <c r="L41" s="29">
        <v>1244.8</v>
      </c>
      <c r="M41" s="29">
        <f t="shared" si="16"/>
        <v>1244.8</v>
      </c>
      <c r="N41" s="29">
        <f>M41/I41/12</f>
        <v>34.577777777777776</v>
      </c>
      <c r="O41" s="29">
        <f t="shared" si="18"/>
        <v>414.93333333333328</v>
      </c>
      <c r="P41" s="29">
        <f t="shared" si="1"/>
        <v>0</v>
      </c>
      <c r="Q41" s="29">
        <f t="shared" si="2"/>
        <v>1244.8</v>
      </c>
      <c r="R41" s="29">
        <f t="shared" si="17"/>
        <v>1244.8</v>
      </c>
      <c r="S41" s="29">
        <f>+L41-R41</f>
        <v>0</v>
      </c>
    </row>
    <row r="42" spans="1:22">
      <c r="B42" s="5">
        <v>187607</v>
      </c>
      <c r="C42">
        <v>3664</v>
      </c>
      <c r="D42" t="s">
        <v>719</v>
      </c>
      <c r="E42">
        <v>2017</v>
      </c>
      <c r="F42">
        <v>10</v>
      </c>
      <c r="G42" s="26">
        <v>0</v>
      </c>
      <c r="H42" t="s">
        <v>78</v>
      </c>
      <c r="I42">
        <v>10</v>
      </c>
      <c r="J42">
        <f t="shared" si="19"/>
        <v>2027</v>
      </c>
      <c r="K42" s="24">
        <f t="shared" si="9"/>
        <v>2027.8333333333333</v>
      </c>
      <c r="L42" s="29">
        <v>336704.5</v>
      </c>
      <c r="M42" s="29">
        <f t="shared" si="16"/>
        <v>336704.5</v>
      </c>
      <c r="N42" s="29">
        <f t="shared" si="20"/>
        <v>2805.8708333333329</v>
      </c>
      <c r="O42" s="29">
        <f t="shared" si="18"/>
        <v>33670.449999999997</v>
      </c>
      <c r="P42" s="29">
        <f t="shared" si="1"/>
        <v>33670.449999999997</v>
      </c>
      <c r="Q42" s="29">
        <f t="shared" si="2"/>
        <v>187993.34583333845</v>
      </c>
      <c r="R42" s="29">
        <f t="shared" si="17"/>
        <v>221663.79583333846</v>
      </c>
      <c r="S42" s="29">
        <f t="shared" si="21"/>
        <v>115040.70416666154</v>
      </c>
    </row>
    <row r="43" spans="1:22">
      <c r="B43" s="5">
        <v>187606</v>
      </c>
      <c r="C43">
        <v>3663</v>
      </c>
      <c r="D43" t="s">
        <v>719</v>
      </c>
      <c r="E43">
        <v>2017</v>
      </c>
      <c r="F43">
        <v>10</v>
      </c>
      <c r="G43" s="26">
        <v>0</v>
      </c>
      <c r="H43" t="s">
        <v>78</v>
      </c>
      <c r="I43">
        <v>10</v>
      </c>
      <c r="J43">
        <f t="shared" si="19"/>
        <v>2027</v>
      </c>
      <c r="K43" s="24">
        <f t="shared" si="9"/>
        <v>2027.8333333333333</v>
      </c>
      <c r="L43" s="29">
        <v>337878.55</v>
      </c>
      <c r="M43" s="29">
        <f t="shared" si="16"/>
        <v>337878.55</v>
      </c>
      <c r="N43" s="29">
        <f t="shared" si="20"/>
        <v>2815.654583333333</v>
      </c>
      <c r="O43" s="29">
        <f t="shared" si="18"/>
        <v>33787.854999999996</v>
      </c>
      <c r="P43" s="29">
        <f t="shared" si="1"/>
        <v>33787.854999999996</v>
      </c>
      <c r="Q43" s="29">
        <f t="shared" si="2"/>
        <v>188648.85708333846</v>
      </c>
      <c r="R43" s="29">
        <f t="shared" si="17"/>
        <v>222436.71208333847</v>
      </c>
      <c r="S43" s="29">
        <f t="shared" si="21"/>
        <v>115441.83791666152</v>
      </c>
    </row>
    <row r="44" spans="1:22">
      <c r="B44" s="5">
        <v>187605</v>
      </c>
      <c r="C44">
        <v>3662</v>
      </c>
      <c r="D44" t="s">
        <v>719</v>
      </c>
      <c r="E44">
        <v>2017</v>
      </c>
      <c r="F44">
        <v>10</v>
      </c>
      <c r="G44" s="26">
        <v>0</v>
      </c>
      <c r="H44" t="s">
        <v>78</v>
      </c>
      <c r="I44">
        <v>10</v>
      </c>
      <c r="J44">
        <f t="shared" si="19"/>
        <v>2027</v>
      </c>
      <c r="K44" s="24">
        <f t="shared" si="9"/>
        <v>2027.8333333333333</v>
      </c>
      <c r="L44" s="29">
        <v>337983.11</v>
      </c>
      <c r="M44" s="29">
        <f t="shared" si="16"/>
        <v>337983.11</v>
      </c>
      <c r="N44" s="29">
        <f t="shared" si="20"/>
        <v>2816.5259166666669</v>
      </c>
      <c r="O44" s="29">
        <f t="shared" si="18"/>
        <v>33798.311000000002</v>
      </c>
      <c r="P44" s="29">
        <f t="shared" si="1"/>
        <v>33798.311000000002</v>
      </c>
      <c r="Q44" s="29">
        <f t="shared" si="2"/>
        <v>188707.23641667177</v>
      </c>
      <c r="R44" s="29">
        <f t="shared" si="17"/>
        <v>222505.54741667176</v>
      </c>
      <c r="S44" s="29">
        <f t="shared" si="21"/>
        <v>115477.56258332822</v>
      </c>
    </row>
    <row r="45" spans="1:22">
      <c r="B45" s="5" t="s">
        <v>712</v>
      </c>
      <c r="C45">
        <v>3670</v>
      </c>
      <c r="D45" t="s">
        <v>711</v>
      </c>
      <c r="E45">
        <v>2018</v>
      </c>
      <c r="F45">
        <v>1</v>
      </c>
      <c r="G45" s="26">
        <v>0</v>
      </c>
      <c r="H45" t="s">
        <v>78</v>
      </c>
      <c r="I45">
        <v>10</v>
      </c>
      <c r="J45">
        <f t="shared" si="19"/>
        <v>2028</v>
      </c>
      <c r="K45" s="24">
        <f t="shared" si="9"/>
        <v>2028.0833333333333</v>
      </c>
      <c r="L45" s="29">
        <v>1003.93</v>
      </c>
      <c r="M45" s="29">
        <f t="shared" si="16"/>
        <v>1003.93</v>
      </c>
      <c r="N45" s="29">
        <f t="shared" si="20"/>
        <v>8.366083333333334</v>
      </c>
      <c r="O45" s="29">
        <f t="shared" si="18"/>
        <v>100.393</v>
      </c>
      <c r="P45" s="29">
        <f t="shared" si="1"/>
        <v>100.393</v>
      </c>
      <c r="Q45" s="29">
        <f t="shared" si="2"/>
        <v>535.4293333333485</v>
      </c>
      <c r="R45" s="29">
        <f t="shared" si="17"/>
        <v>635.82233333334852</v>
      </c>
      <c r="S45" s="29">
        <f t="shared" si="21"/>
        <v>368.10766666665143</v>
      </c>
    </row>
    <row r="46" spans="1:22">
      <c r="B46" s="5">
        <v>191688</v>
      </c>
      <c r="C46">
        <v>3670</v>
      </c>
      <c r="D46" t="s">
        <v>713</v>
      </c>
      <c r="E46">
        <v>2018</v>
      </c>
      <c r="F46">
        <v>1</v>
      </c>
      <c r="G46" s="26">
        <v>0</v>
      </c>
      <c r="H46" t="s">
        <v>78</v>
      </c>
      <c r="I46">
        <v>10</v>
      </c>
      <c r="J46">
        <f t="shared" si="19"/>
        <v>2028</v>
      </c>
      <c r="K46" s="24">
        <f t="shared" si="9"/>
        <v>2028.0833333333333</v>
      </c>
      <c r="L46" s="29">
        <v>336750.81</v>
      </c>
      <c r="M46" s="29">
        <f t="shared" si="16"/>
        <v>336750.81</v>
      </c>
      <c r="N46" s="29">
        <f t="shared" si="20"/>
        <v>2806.25675</v>
      </c>
      <c r="O46" s="29">
        <f t="shared" si="18"/>
        <v>33675.080999999998</v>
      </c>
      <c r="P46" s="29">
        <f t="shared" si="1"/>
        <v>33675.080999999998</v>
      </c>
      <c r="Q46" s="29">
        <f t="shared" si="2"/>
        <v>179600.43200000509</v>
      </c>
      <c r="R46" s="29">
        <f t="shared" si="17"/>
        <v>213275.5130000051</v>
      </c>
      <c r="S46" s="29">
        <f t="shared" si="21"/>
        <v>123475.2969999949</v>
      </c>
    </row>
    <row r="47" spans="1:22">
      <c r="B47" s="5" t="s">
        <v>771</v>
      </c>
      <c r="C47">
        <v>3671</v>
      </c>
      <c r="D47" t="s">
        <v>723</v>
      </c>
      <c r="E47">
        <v>2018</v>
      </c>
      <c r="F47">
        <v>4</v>
      </c>
      <c r="G47" s="26">
        <v>0</v>
      </c>
      <c r="H47" t="s">
        <v>78</v>
      </c>
      <c r="I47">
        <v>10</v>
      </c>
      <c r="J47">
        <f t="shared" ref="J47:J65" si="22">E47+I47</f>
        <v>2028</v>
      </c>
      <c r="K47" s="24">
        <f t="shared" ref="K47:K65" si="23">+J47+(F47/12)</f>
        <v>2028.3333333333333</v>
      </c>
      <c r="L47" s="29">
        <f>339677.75+336+1003.93+677.33</f>
        <v>341695.01</v>
      </c>
      <c r="M47" s="29">
        <f t="shared" ref="M47:M63" si="24">L47-L47*G47</f>
        <v>341695.01</v>
      </c>
      <c r="N47" s="29">
        <f t="shared" ref="N47:N63" si="25">M47/I47/12</f>
        <v>2847.4584166666668</v>
      </c>
      <c r="O47" s="29">
        <f t="shared" ref="O47:O63" si="26">+N47*12</f>
        <v>34169.501000000004</v>
      </c>
      <c r="P47" s="29">
        <f t="shared" si="1"/>
        <v>34169.501000000004</v>
      </c>
      <c r="Q47" s="29">
        <f t="shared" si="2"/>
        <v>173694.96341667185</v>
      </c>
      <c r="R47" s="29">
        <f t="shared" si="17"/>
        <v>207864.46441667184</v>
      </c>
      <c r="S47" s="29">
        <f t="shared" ref="S47:S63" si="27">+L47-R47</f>
        <v>133830.54558332817</v>
      </c>
    </row>
    <row r="48" spans="1:22">
      <c r="B48" s="5" t="s">
        <v>772</v>
      </c>
      <c r="C48">
        <v>3671</v>
      </c>
      <c r="D48" t="s">
        <v>773</v>
      </c>
      <c r="E48">
        <v>2018</v>
      </c>
      <c r="F48">
        <v>4</v>
      </c>
      <c r="G48" s="26">
        <v>0</v>
      </c>
      <c r="H48" t="s">
        <v>78</v>
      </c>
      <c r="I48">
        <v>5</v>
      </c>
      <c r="J48">
        <f t="shared" si="22"/>
        <v>2023</v>
      </c>
      <c r="K48" s="24">
        <f t="shared" si="23"/>
        <v>2023.3333333333333</v>
      </c>
      <c r="L48" s="29">
        <f>722.88+518.38</f>
        <v>1241.26</v>
      </c>
      <c r="M48" s="29">
        <f t="shared" si="24"/>
        <v>1241.26</v>
      </c>
      <c r="N48" s="29">
        <f t="shared" si="25"/>
        <v>20.687666666666669</v>
      </c>
      <c r="O48" s="29">
        <f t="shared" si="26"/>
        <v>248.25200000000001</v>
      </c>
      <c r="P48" s="29">
        <f t="shared" si="1"/>
        <v>0</v>
      </c>
      <c r="Q48" s="29">
        <f t="shared" si="2"/>
        <v>1241.26</v>
      </c>
      <c r="R48" s="29">
        <f t="shared" si="17"/>
        <v>1241.26</v>
      </c>
      <c r="S48" s="29">
        <f t="shared" si="27"/>
        <v>0</v>
      </c>
    </row>
    <row r="49" spans="1:19">
      <c r="B49" s="5" t="s">
        <v>774</v>
      </c>
      <c r="C49">
        <v>3673</v>
      </c>
      <c r="D49" t="s">
        <v>723</v>
      </c>
      <c r="E49">
        <v>2018</v>
      </c>
      <c r="F49">
        <v>6</v>
      </c>
      <c r="G49" s="26">
        <v>0</v>
      </c>
      <c r="H49" t="s">
        <v>78</v>
      </c>
      <c r="I49">
        <v>10</v>
      </c>
      <c r="J49">
        <f t="shared" si="22"/>
        <v>2028</v>
      </c>
      <c r="K49" s="24">
        <f t="shared" si="23"/>
        <v>2028.5</v>
      </c>
      <c r="L49" s="29">
        <f>339421.75+950.67+1003.93</f>
        <v>341376.35</v>
      </c>
      <c r="M49" s="29">
        <f t="shared" si="24"/>
        <v>341376.35</v>
      </c>
      <c r="N49" s="29">
        <f t="shared" si="25"/>
        <v>2844.8029166666661</v>
      </c>
      <c r="O49" s="29">
        <f t="shared" si="26"/>
        <v>34137.634999999995</v>
      </c>
      <c r="P49" s="29">
        <f t="shared" si="1"/>
        <v>34137.634999999995</v>
      </c>
      <c r="Q49" s="29">
        <f t="shared" si="2"/>
        <v>167843.37208333594</v>
      </c>
      <c r="R49" s="29">
        <f t="shared" si="17"/>
        <v>201981.00708333595</v>
      </c>
      <c r="S49" s="29">
        <f t="shared" si="27"/>
        <v>139395.34291666403</v>
      </c>
    </row>
    <row r="50" spans="1:19">
      <c r="B50" s="5" t="s">
        <v>730</v>
      </c>
      <c r="C50">
        <v>3673</v>
      </c>
      <c r="D50" t="s">
        <v>731</v>
      </c>
      <c r="E50">
        <v>2018</v>
      </c>
      <c r="F50">
        <v>6</v>
      </c>
      <c r="G50" s="26">
        <v>0</v>
      </c>
      <c r="H50" t="s">
        <v>78</v>
      </c>
      <c r="I50">
        <v>5</v>
      </c>
      <c r="J50">
        <f t="shared" si="22"/>
        <v>2023</v>
      </c>
      <c r="K50" s="24">
        <f t="shared" si="23"/>
        <v>2023.5</v>
      </c>
      <c r="L50" s="29">
        <v>722.88</v>
      </c>
      <c r="M50" s="29">
        <f t="shared" si="24"/>
        <v>722.88</v>
      </c>
      <c r="N50" s="29">
        <f t="shared" si="25"/>
        <v>12.048</v>
      </c>
      <c r="O50" s="29">
        <f t="shared" si="26"/>
        <v>144.57599999999999</v>
      </c>
      <c r="P50" s="29">
        <f t="shared" si="1"/>
        <v>12.047999999989042</v>
      </c>
      <c r="Q50" s="29">
        <f t="shared" si="2"/>
        <v>710.83200000001091</v>
      </c>
      <c r="R50" s="29">
        <f t="shared" si="17"/>
        <v>722.88</v>
      </c>
      <c r="S50" s="29">
        <f t="shared" si="27"/>
        <v>0</v>
      </c>
    </row>
    <row r="51" spans="1:19">
      <c r="B51" s="5" t="s">
        <v>759</v>
      </c>
      <c r="C51">
        <v>3672</v>
      </c>
      <c r="D51" t="s">
        <v>723</v>
      </c>
      <c r="E51">
        <v>2018</v>
      </c>
      <c r="F51">
        <v>8</v>
      </c>
      <c r="G51" s="26">
        <v>0</v>
      </c>
      <c r="H51" t="s">
        <v>78</v>
      </c>
      <c r="I51">
        <v>10</v>
      </c>
      <c r="J51">
        <f t="shared" si="22"/>
        <v>2028</v>
      </c>
      <c r="K51" s="24">
        <f t="shared" si="23"/>
        <v>2028.6666666666667</v>
      </c>
      <c r="L51" s="29">
        <f>339421.75+1274.53</f>
        <v>340696.28</v>
      </c>
      <c r="M51" s="29">
        <f t="shared" si="24"/>
        <v>340696.28</v>
      </c>
      <c r="N51" s="29">
        <f t="shared" si="25"/>
        <v>2839.135666666667</v>
      </c>
      <c r="O51" s="29">
        <f t="shared" si="26"/>
        <v>34069.628000000004</v>
      </c>
      <c r="P51" s="29">
        <f t="shared" si="1"/>
        <v>34069.628000000004</v>
      </c>
      <c r="Q51" s="29">
        <f t="shared" si="2"/>
        <v>161830.73300000001</v>
      </c>
      <c r="R51" s="29">
        <f t="shared" si="17"/>
        <v>195900.361</v>
      </c>
      <c r="S51" s="29">
        <f t="shared" si="27"/>
        <v>144795.91900000002</v>
      </c>
    </row>
    <row r="52" spans="1:19">
      <c r="B52" s="5" t="s">
        <v>761</v>
      </c>
      <c r="C52">
        <v>3672</v>
      </c>
      <c r="D52" t="s">
        <v>760</v>
      </c>
      <c r="E52">
        <v>2018</v>
      </c>
      <c r="F52">
        <v>8</v>
      </c>
      <c r="G52" s="26">
        <v>0</v>
      </c>
      <c r="H52" t="s">
        <v>78</v>
      </c>
      <c r="I52">
        <v>5</v>
      </c>
      <c r="J52">
        <f t="shared" si="22"/>
        <v>2023</v>
      </c>
      <c r="K52" s="24">
        <f t="shared" si="23"/>
        <v>2023.6666666666667</v>
      </c>
      <c r="L52" s="29">
        <f>731.05+519.47</f>
        <v>1250.52</v>
      </c>
      <c r="M52" s="29">
        <f t="shared" si="24"/>
        <v>1250.52</v>
      </c>
      <c r="N52" s="29">
        <f t="shared" si="25"/>
        <v>20.841999999999999</v>
      </c>
      <c r="O52" s="29">
        <f t="shared" si="26"/>
        <v>250.10399999999998</v>
      </c>
      <c r="P52" s="29">
        <f t="shared" si="1"/>
        <v>62.525999999999996</v>
      </c>
      <c r="Q52" s="29">
        <f t="shared" si="2"/>
        <v>1187.9939999999999</v>
      </c>
      <c r="R52" s="29">
        <f t="shared" si="17"/>
        <v>1250.52</v>
      </c>
      <c r="S52" s="29">
        <f t="shared" si="27"/>
        <v>0</v>
      </c>
    </row>
    <row r="53" spans="1:19">
      <c r="B53" s="5" t="s">
        <v>732</v>
      </c>
      <c r="C53">
        <v>3672</v>
      </c>
      <c r="D53" t="s">
        <v>733</v>
      </c>
      <c r="E53">
        <v>2018</v>
      </c>
      <c r="F53">
        <v>8</v>
      </c>
      <c r="G53" s="26">
        <v>0</v>
      </c>
      <c r="H53" t="s">
        <v>78</v>
      </c>
      <c r="I53">
        <v>10</v>
      </c>
      <c r="J53">
        <f t="shared" si="22"/>
        <v>2028</v>
      </c>
      <c r="K53" s="24">
        <f t="shared" si="23"/>
        <v>2028.6666666666667</v>
      </c>
      <c r="L53" s="29">
        <v>336</v>
      </c>
      <c r="M53" s="29">
        <f t="shared" si="24"/>
        <v>336</v>
      </c>
      <c r="N53" s="29">
        <f t="shared" si="25"/>
        <v>2.8000000000000003</v>
      </c>
      <c r="O53" s="29">
        <f t="shared" si="26"/>
        <v>33.6</v>
      </c>
      <c r="P53" s="29">
        <f t="shared" si="1"/>
        <v>33.6</v>
      </c>
      <c r="Q53" s="29">
        <f t="shared" si="2"/>
        <v>159.6</v>
      </c>
      <c r="R53" s="29">
        <f t="shared" si="17"/>
        <v>193.2</v>
      </c>
      <c r="S53" s="29">
        <f t="shared" si="27"/>
        <v>142.80000000000001</v>
      </c>
    </row>
    <row r="54" spans="1:19">
      <c r="B54" s="5" t="s">
        <v>768</v>
      </c>
      <c r="C54">
        <v>3686</v>
      </c>
      <c r="D54" t="s">
        <v>723</v>
      </c>
      <c r="E54">
        <v>2018</v>
      </c>
      <c r="F54">
        <v>9</v>
      </c>
      <c r="G54" s="26">
        <v>0</v>
      </c>
      <c r="H54" t="s">
        <v>78</v>
      </c>
      <c r="I54">
        <v>10</v>
      </c>
      <c r="J54">
        <f t="shared" si="22"/>
        <v>2028</v>
      </c>
      <c r="K54" s="24">
        <f t="shared" si="23"/>
        <v>2028.75</v>
      </c>
      <c r="L54" s="29">
        <f>339421.75+243+993+952.88</f>
        <v>341610.63</v>
      </c>
      <c r="M54" s="29">
        <f t="shared" si="24"/>
        <v>341610.63</v>
      </c>
      <c r="N54" s="29">
        <f t="shared" si="25"/>
        <v>2846.7552500000002</v>
      </c>
      <c r="O54" s="29">
        <f t="shared" si="26"/>
        <v>34161.063000000002</v>
      </c>
      <c r="P54" s="29">
        <f t="shared" si="1"/>
        <v>34161.063000000002</v>
      </c>
      <c r="Q54" s="29">
        <f t="shared" si="2"/>
        <v>159418.29400000258</v>
      </c>
      <c r="R54" s="29">
        <f t="shared" si="17"/>
        <v>193579.35700000258</v>
      </c>
      <c r="S54" s="29">
        <f t="shared" si="27"/>
        <v>148031.27299999743</v>
      </c>
    </row>
    <row r="55" spans="1:19">
      <c r="B55" s="5" t="s">
        <v>777</v>
      </c>
      <c r="C55">
        <v>3685</v>
      </c>
      <c r="D55" t="s">
        <v>723</v>
      </c>
      <c r="E55">
        <v>2018</v>
      </c>
      <c r="F55">
        <v>9</v>
      </c>
      <c r="G55" s="26">
        <v>0</v>
      </c>
      <c r="H55" t="s">
        <v>78</v>
      </c>
      <c r="I55">
        <v>10</v>
      </c>
      <c r="J55">
        <f t="shared" si="22"/>
        <v>2028</v>
      </c>
      <c r="K55" s="24">
        <f t="shared" si="23"/>
        <v>2028.75</v>
      </c>
      <c r="L55" s="29">
        <f>338957.39+952.88+371.67</f>
        <v>340281.94</v>
      </c>
      <c r="M55" s="29">
        <f t="shared" si="24"/>
        <v>340281.94</v>
      </c>
      <c r="N55" s="29">
        <f t="shared" si="25"/>
        <v>2835.6828333333337</v>
      </c>
      <c r="O55" s="29">
        <f t="shared" si="26"/>
        <v>34028.194000000003</v>
      </c>
      <c r="P55" s="29">
        <f t="shared" si="1"/>
        <v>34028.194000000003</v>
      </c>
      <c r="Q55" s="29">
        <f t="shared" si="2"/>
        <v>158798.23866666923</v>
      </c>
      <c r="R55" s="29">
        <f t="shared" si="17"/>
        <v>192826.43266666925</v>
      </c>
      <c r="S55" s="29">
        <f t="shared" si="27"/>
        <v>147455.50733333075</v>
      </c>
    </row>
    <row r="56" spans="1:19">
      <c r="B56" s="5" t="s">
        <v>778</v>
      </c>
      <c r="C56">
        <v>3685</v>
      </c>
      <c r="D56" t="s">
        <v>731</v>
      </c>
      <c r="E56">
        <v>2018</v>
      </c>
      <c r="F56">
        <v>9</v>
      </c>
      <c r="G56" s="26">
        <v>0</v>
      </c>
      <c r="H56" t="s">
        <v>78</v>
      </c>
      <c r="I56">
        <v>5</v>
      </c>
      <c r="J56">
        <f t="shared" si="22"/>
        <v>2023</v>
      </c>
      <c r="K56" s="24">
        <f t="shared" si="23"/>
        <v>2023.75</v>
      </c>
      <c r="L56" s="29">
        <f>796.28+519.47</f>
        <v>1315.75</v>
      </c>
      <c r="M56" s="29">
        <f t="shared" si="24"/>
        <v>1315.75</v>
      </c>
      <c r="N56" s="29">
        <f t="shared" si="25"/>
        <v>21.929166666666664</v>
      </c>
      <c r="O56" s="29">
        <f t="shared" si="26"/>
        <v>263.14999999999998</v>
      </c>
      <c r="P56" s="29">
        <f t="shared" si="1"/>
        <v>87.716666666646717</v>
      </c>
      <c r="Q56" s="29">
        <f t="shared" si="2"/>
        <v>1228.0333333333533</v>
      </c>
      <c r="R56" s="29">
        <f t="shared" si="17"/>
        <v>1315.75</v>
      </c>
      <c r="S56" s="29">
        <f t="shared" si="27"/>
        <v>0</v>
      </c>
    </row>
    <row r="57" spans="1:19">
      <c r="B57" s="5" t="s">
        <v>775</v>
      </c>
      <c r="C57">
        <v>2050</v>
      </c>
      <c r="D57" t="s">
        <v>724</v>
      </c>
      <c r="E57">
        <v>2018</v>
      </c>
      <c r="F57">
        <v>9</v>
      </c>
      <c r="G57" s="26">
        <v>0</v>
      </c>
      <c r="H57" t="s">
        <v>78</v>
      </c>
      <c r="I57">
        <v>10</v>
      </c>
      <c r="J57">
        <f t="shared" si="22"/>
        <v>2028</v>
      </c>
      <c r="K57" s="24">
        <f t="shared" si="23"/>
        <v>2028.75</v>
      </c>
      <c r="L57" s="29">
        <f>317781.56+920.21+1295.25</f>
        <v>319997.02</v>
      </c>
      <c r="M57" s="29">
        <f t="shared" si="24"/>
        <v>319997.02</v>
      </c>
      <c r="N57" s="29">
        <f t="shared" si="25"/>
        <v>2666.6418333333336</v>
      </c>
      <c r="O57" s="29">
        <f t="shared" si="26"/>
        <v>31999.702000000005</v>
      </c>
      <c r="P57" s="29">
        <f t="shared" si="1"/>
        <v>31999.702000000005</v>
      </c>
      <c r="Q57" s="29">
        <f t="shared" si="2"/>
        <v>149331.94266666909</v>
      </c>
      <c r="R57" s="29">
        <f t="shared" si="17"/>
        <v>181331.64466666908</v>
      </c>
      <c r="S57" s="29">
        <f t="shared" si="27"/>
        <v>138665.37533333094</v>
      </c>
    </row>
    <row r="58" spans="1:19">
      <c r="B58" s="5" t="s">
        <v>776</v>
      </c>
      <c r="C58">
        <v>2050</v>
      </c>
      <c r="D58" t="s">
        <v>765</v>
      </c>
      <c r="E58">
        <v>2018</v>
      </c>
      <c r="F58">
        <v>9</v>
      </c>
      <c r="G58" s="26">
        <v>0</v>
      </c>
      <c r="H58" t="s">
        <v>78</v>
      </c>
      <c r="I58">
        <v>5</v>
      </c>
      <c r="J58">
        <f t="shared" si="22"/>
        <v>2023</v>
      </c>
      <c r="K58" s="24">
        <f t="shared" si="23"/>
        <v>2023.75</v>
      </c>
      <c r="L58" s="29">
        <f>796.28+519.47</f>
        <v>1315.75</v>
      </c>
      <c r="M58" s="29">
        <f t="shared" si="24"/>
        <v>1315.75</v>
      </c>
      <c r="N58" s="29">
        <f t="shared" si="25"/>
        <v>21.929166666666664</v>
      </c>
      <c r="O58" s="29">
        <f t="shared" si="26"/>
        <v>263.14999999999998</v>
      </c>
      <c r="P58" s="29">
        <f t="shared" si="1"/>
        <v>87.716666666646717</v>
      </c>
      <c r="Q58" s="29">
        <f t="shared" si="2"/>
        <v>1228.0333333333533</v>
      </c>
      <c r="R58" s="29">
        <f t="shared" si="17"/>
        <v>1315.75</v>
      </c>
      <c r="S58" s="29">
        <f t="shared" si="27"/>
        <v>0</v>
      </c>
    </row>
    <row r="59" spans="1:19">
      <c r="B59" s="5" t="s">
        <v>769</v>
      </c>
      <c r="C59">
        <v>3686</v>
      </c>
      <c r="D59" t="s">
        <v>765</v>
      </c>
      <c r="E59">
        <v>2018</v>
      </c>
      <c r="F59">
        <v>11</v>
      </c>
      <c r="G59" s="26">
        <v>0</v>
      </c>
      <c r="H59" t="s">
        <v>78</v>
      </c>
      <c r="I59">
        <v>5</v>
      </c>
      <c r="J59">
        <f t="shared" si="22"/>
        <v>2023</v>
      </c>
      <c r="K59" s="24">
        <f t="shared" si="23"/>
        <v>2023.9166666666667</v>
      </c>
      <c r="L59" s="29">
        <f>796.28+519.47</f>
        <v>1315.75</v>
      </c>
      <c r="M59" s="29">
        <f t="shared" si="24"/>
        <v>1315.75</v>
      </c>
      <c r="N59" s="29">
        <f t="shared" si="25"/>
        <v>21.929166666666664</v>
      </c>
      <c r="O59" s="29">
        <f t="shared" si="26"/>
        <v>263.14999999999998</v>
      </c>
      <c r="P59" s="29">
        <f t="shared" si="1"/>
        <v>131.57499999999999</v>
      </c>
      <c r="Q59" s="29">
        <f t="shared" si="2"/>
        <v>1184.175</v>
      </c>
      <c r="R59" s="29">
        <f t="shared" si="17"/>
        <v>1315.75</v>
      </c>
      <c r="S59" s="29">
        <f t="shared" si="27"/>
        <v>0</v>
      </c>
    </row>
    <row r="60" spans="1:19">
      <c r="B60" s="5" t="s">
        <v>766</v>
      </c>
      <c r="C60">
        <v>2051</v>
      </c>
      <c r="D60" t="s">
        <v>756</v>
      </c>
      <c r="E60">
        <v>2018</v>
      </c>
      <c r="F60">
        <v>8</v>
      </c>
      <c r="G60" s="26">
        <v>0</v>
      </c>
      <c r="H60" t="s">
        <v>78</v>
      </c>
      <c r="I60">
        <v>10</v>
      </c>
      <c r="J60">
        <f t="shared" si="22"/>
        <v>2028</v>
      </c>
      <c r="K60" s="24">
        <f t="shared" si="23"/>
        <v>2028.6666666666667</v>
      </c>
      <c r="L60" s="29">
        <f>319310.68+1236+892.98</f>
        <v>321439.65999999997</v>
      </c>
      <c r="M60" s="29">
        <f t="shared" si="24"/>
        <v>321439.65999999997</v>
      </c>
      <c r="N60" s="29">
        <f t="shared" si="25"/>
        <v>2678.6638333333331</v>
      </c>
      <c r="O60" s="29">
        <f t="shared" si="26"/>
        <v>32143.965999999997</v>
      </c>
      <c r="P60" s="29">
        <f t="shared" si="1"/>
        <v>32143.965999999997</v>
      </c>
      <c r="Q60" s="29">
        <f t="shared" si="2"/>
        <v>152683.83849999998</v>
      </c>
      <c r="R60" s="29">
        <f t="shared" si="17"/>
        <v>184827.80449999997</v>
      </c>
      <c r="S60" s="29">
        <f t="shared" si="27"/>
        <v>136611.85550000001</v>
      </c>
    </row>
    <row r="61" spans="1:19">
      <c r="B61" s="5" t="s">
        <v>767</v>
      </c>
      <c r="C61">
        <v>2051</v>
      </c>
      <c r="D61" t="s">
        <v>765</v>
      </c>
      <c r="E61">
        <v>2018</v>
      </c>
      <c r="F61">
        <v>10</v>
      </c>
      <c r="G61" s="26">
        <v>0</v>
      </c>
      <c r="H61" t="s">
        <v>78</v>
      </c>
      <c r="I61">
        <v>5</v>
      </c>
      <c r="J61">
        <f t="shared" si="22"/>
        <v>2023</v>
      </c>
      <c r="K61" s="24">
        <f t="shared" si="23"/>
        <v>2023.8333333333333</v>
      </c>
      <c r="L61" s="29">
        <f>796.28+519.47</f>
        <v>1315.75</v>
      </c>
      <c r="M61" s="29">
        <f t="shared" si="24"/>
        <v>1315.75</v>
      </c>
      <c r="N61" s="29">
        <f t="shared" si="25"/>
        <v>21.929166666666664</v>
      </c>
      <c r="O61" s="29">
        <f t="shared" si="26"/>
        <v>263.14999999999998</v>
      </c>
      <c r="P61" s="29">
        <f t="shared" si="1"/>
        <v>109.64583333329342</v>
      </c>
      <c r="Q61" s="29">
        <f t="shared" si="2"/>
        <v>1206.1041666667065</v>
      </c>
      <c r="R61" s="29">
        <f t="shared" si="17"/>
        <v>1315.75</v>
      </c>
      <c r="S61" s="29">
        <f t="shared" si="27"/>
        <v>0</v>
      </c>
    </row>
    <row r="62" spans="1:19">
      <c r="B62" s="5" t="s">
        <v>763</v>
      </c>
      <c r="C62">
        <v>3687</v>
      </c>
      <c r="D62" t="s">
        <v>762</v>
      </c>
      <c r="E62">
        <v>2018</v>
      </c>
      <c r="F62">
        <v>11</v>
      </c>
      <c r="G62" s="26">
        <v>0</v>
      </c>
      <c r="H62" t="s">
        <v>78</v>
      </c>
      <c r="I62">
        <v>10</v>
      </c>
      <c r="J62">
        <f t="shared" si="22"/>
        <v>2028</v>
      </c>
      <c r="K62" s="24">
        <f t="shared" si="23"/>
        <v>2028.9166666666667</v>
      </c>
      <c r="L62" s="29">
        <f>340374.63+1155.33</f>
        <v>341529.96</v>
      </c>
      <c r="M62" s="29">
        <f t="shared" si="24"/>
        <v>341529.96</v>
      </c>
      <c r="N62" s="29">
        <f t="shared" si="25"/>
        <v>2846.0830000000001</v>
      </c>
      <c r="O62" s="29">
        <f t="shared" si="26"/>
        <v>34152.995999999999</v>
      </c>
      <c r="P62" s="29">
        <f t="shared" si="1"/>
        <v>34152.995999999999</v>
      </c>
      <c r="Q62" s="29">
        <f t="shared" si="2"/>
        <v>153688.48200000002</v>
      </c>
      <c r="R62" s="29">
        <f t="shared" si="17"/>
        <v>187841.478</v>
      </c>
      <c r="S62" s="29">
        <f t="shared" si="27"/>
        <v>153688.48200000002</v>
      </c>
    </row>
    <row r="63" spans="1:19">
      <c r="B63" s="5" t="s">
        <v>764</v>
      </c>
      <c r="C63">
        <v>3687</v>
      </c>
      <c r="D63" t="s">
        <v>765</v>
      </c>
      <c r="E63">
        <v>2018</v>
      </c>
      <c r="F63">
        <v>11</v>
      </c>
      <c r="G63" s="26">
        <v>0</v>
      </c>
      <c r="H63" t="s">
        <v>78</v>
      </c>
      <c r="I63">
        <v>5</v>
      </c>
      <c r="J63">
        <f t="shared" si="22"/>
        <v>2023</v>
      </c>
      <c r="K63" s="24">
        <f t="shared" si="23"/>
        <v>2023.9166666666667</v>
      </c>
      <c r="L63" s="29">
        <f>796.28+519.47</f>
        <v>1315.75</v>
      </c>
      <c r="M63" s="29">
        <f t="shared" si="24"/>
        <v>1315.75</v>
      </c>
      <c r="N63" s="29">
        <f t="shared" si="25"/>
        <v>21.929166666666664</v>
      </c>
      <c r="O63" s="29">
        <f t="shared" si="26"/>
        <v>263.14999999999998</v>
      </c>
      <c r="P63" s="29">
        <f t="shared" si="1"/>
        <v>131.57499999999999</v>
      </c>
      <c r="Q63" s="29">
        <f t="shared" si="2"/>
        <v>1184.175</v>
      </c>
      <c r="R63" s="29">
        <f t="shared" si="17"/>
        <v>1315.75</v>
      </c>
      <c r="S63" s="29">
        <f t="shared" si="27"/>
        <v>0</v>
      </c>
    </row>
    <row r="64" spans="1:19" s="62" customFormat="1">
      <c r="A64" s="116"/>
      <c r="B64" s="117"/>
      <c r="C64" s="116"/>
      <c r="D64" s="116" t="s">
        <v>791</v>
      </c>
      <c r="E64" s="116">
        <v>2019</v>
      </c>
      <c r="F64" s="116">
        <v>8</v>
      </c>
      <c r="G64" s="118">
        <v>0</v>
      </c>
      <c r="H64" s="116" t="s">
        <v>78</v>
      </c>
      <c r="I64" s="116">
        <v>3</v>
      </c>
      <c r="J64" s="116">
        <f t="shared" si="22"/>
        <v>2022</v>
      </c>
      <c r="K64" s="119">
        <f t="shared" si="23"/>
        <v>2022.6666666666667</v>
      </c>
      <c r="L64" s="120">
        <f>M214+M231+M239+M264+M272+M243+M246+M248</f>
        <v>124142.7066</v>
      </c>
      <c r="M64" s="120">
        <f>L64-L64*G64</f>
        <v>124142.7066</v>
      </c>
      <c r="N64" s="120">
        <f>M64/I64/12</f>
        <v>3448.4085166666669</v>
      </c>
      <c r="O64" s="120">
        <f>+N64*12</f>
        <v>41380.902200000004</v>
      </c>
      <c r="P64" s="120">
        <f t="shared" si="1"/>
        <v>0</v>
      </c>
      <c r="Q64" s="120">
        <f t="shared" si="2"/>
        <v>124142.7066</v>
      </c>
      <c r="R64" s="120">
        <f>IF(K64&lt;$N$6,L64,Q64+P64)</f>
        <v>124142.7066</v>
      </c>
      <c r="S64" s="120">
        <v>0</v>
      </c>
    </row>
    <row r="65" spans="2:19" s="47" customFormat="1" ht="15">
      <c r="B65" s="56">
        <v>218237</v>
      </c>
      <c r="C65" s="51">
        <v>3689</v>
      </c>
      <c r="D65" s="57" t="s">
        <v>829</v>
      </c>
      <c r="E65" s="47">
        <v>2019</v>
      </c>
      <c r="F65" s="47">
        <v>6</v>
      </c>
      <c r="G65" s="32">
        <v>0</v>
      </c>
      <c r="H65" s="47" t="s">
        <v>78</v>
      </c>
      <c r="I65" s="47">
        <v>10</v>
      </c>
      <c r="J65" s="47">
        <f t="shared" si="22"/>
        <v>2029</v>
      </c>
      <c r="K65" s="53">
        <f t="shared" si="23"/>
        <v>2029.5</v>
      </c>
      <c r="L65" s="58">
        <f>361280.63+456.88</f>
        <v>361737.51</v>
      </c>
      <c r="M65" s="54">
        <f t="shared" ref="M65:M72" si="28">L65-L65*G65</f>
        <v>361737.51</v>
      </c>
      <c r="N65" s="54">
        <f t="shared" ref="N65:N72" si="29">M65/I65/12</f>
        <v>3014.4792500000003</v>
      </c>
      <c r="O65" s="54">
        <f t="shared" ref="O65:O72" si="30">+N65*12</f>
        <v>36173.751000000004</v>
      </c>
      <c r="P65" s="54">
        <f t="shared" si="1"/>
        <v>36173.751000000004</v>
      </c>
      <c r="Q65" s="54">
        <f t="shared" si="2"/>
        <v>141680.52475000272</v>
      </c>
      <c r="R65" s="29">
        <f t="shared" ref="R65:R79" si="31">IF(K65&lt;$N$6,L65,Q65+P65)</f>
        <v>177854.27575000271</v>
      </c>
      <c r="S65" s="54">
        <f t="shared" ref="S65:S72" si="32">+L65-R65</f>
        <v>183883.2342499973</v>
      </c>
    </row>
    <row r="66" spans="2:19" s="47" customFormat="1" ht="15">
      <c r="B66" s="56">
        <v>218238</v>
      </c>
      <c r="C66" s="51">
        <v>3690</v>
      </c>
      <c r="D66" s="57" t="s">
        <v>829</v>
      </c>
      <c r="E66" s="47">
        <v>2019</v>
      </c>
      <c r="F66" s="47">
        <v>6</v>
      </c>
      <c r="G66" s="32">
        <v>0</v>
      </c>
      <c r="H66" s="47" t="s">
        <v>78</v>
      </c>
      <c r="I66" s="47">
        <v>10</v>
      </c>
      <c r="J66" s="47">
        <f t="shared" ref="J66:J72" si="33">E66+I66</f>
        <v>2029</v>
      </c>
      <c r="K66" s="53">
        <f t="shared" ref="K66:K72" si="34">+J66+(F66/12)</f>
        <v>2029.5</v>
      </c>
      <c r="L66" s="58">
        <f>362237.01+791.55+456.88</f>
        <v>363485.44</v>
      </c>
      <c r="M66" s="54">
        <f t="shared" si="28"/>
        <v>363485.44</v>
      </c>
      <c r="N66" s="54">
        <f t="shared" si="29"/>
        <v>3029.0453333333335</v>
      </c>
      <c r="O66" s="54">
        <f t="shared" si="30"/>
        <v>36348.544000000002</v>
      </c>
      <c r="P66" s="54">
        <f t="shared" si="1"/>
        <v>36348.544000000002</v>
      </c>
      <c r="Q66" s="54">
        <f t="shared" si="2"/>
        <v>142365.1306666694</v>
      </c>
      <c r="R66" s="29">
        <f t="shared" si="31"/>
        <v>178713.67466666939</v>
      </c>
      <c r="S66" s="54">
        <f t="shared" si="32"/>
        <v>184771.76533333061</v>
      </c>
    </row>
    <row r="67" spans="2:19" s="47" customFormat="1" ht="15">
      <c r="B67" s="59">
        <v>219760</v>
      </c>
      <c r="C67" s="47">
        <v>3694</v>
      </c>
      <c r="D67" s="60" t="s">
        <v>832</v>
      </c>
      <c r="E67" s="47">
        <v>2019</v>
      </c>
      <c r="F67" s="47">
        <v>11</v>
      </c>
      <c r="G67" s="32">
        <v>0</v>
      </c>
      <c r="H67" s="47" t="s">
        <v>78</v>
      </c>
      <c r="I67" s="47">
        <v>10</v>
      </c>
      <c r="J67" s="47">
        <f t="shared" si="33"/>
        <v>2029</v>
      </c>
      <c r="K67" s="53">
        <f t="shared" si="34"/>
        <v>2029.9166666666667</v>
      </c>
      <c r="L67" s="54">
        <f>184752.88+175977.73+791.55+633.95+868.94</f>
        <v>363025.05</v>
      </c>
      <c r="M67" s="54">
        <f t="shared" si="28"/>
        <v>363025.05</v>
      </c>
      <c r="N67" s="54">
        <f t="shared" si="29"/>
        <v>3025.2087499999998</v>
      </c>
      <c r="O67" s="54">
        <f t="shared" si="30"/>
        <v>36302.504999999997</v>
      </c>
      <c r="P67" s="54">
        <f t="shared" si="1"/>
        <v>36302.504999999997</v>
      </c>
      <c r="Q67" s="54">
        <f t="shared" si="2"/>
        <v>127058.76750000002</v>
      </c>
      <c r="R67" s="29">
        <f t="shared" si="31"/>
        <v>163361.27250000002</v>
      </c>
      <c r="S67" s="54">
        <f t="shared" si="32"/>
        <v>199663.77749999997</v>
      </c>
    </row>
    <row r="68" spans="2:19" s="47" customFormat="1" ht="15">
      <c r="B68" s="55">
        <v>219761</v>
      </c>
      <c r="C68" s="47">
        <v>3692</v>
      </c>
      <c r="D68" s="60" t="s">
        <v>832</v>
      </c>
      <c r="E68" s="47">
        <v>2019</v>
      </c>
      <c r="F68" s="47">
        <v>11</v>
      </c>
      <c r="G68" s="32">
        <v>0</v>
      </c>
      <c r="H68" s="47" t="s">
        <v>78</v>
      </c>
      <c r="I68" s="47">
        <v>10</v>
      </c>
      <c r="J68" s="47">
        <f t="shared" si="33"/>
        <v>2029</v>
      </c>
      <c r="K68" s="53">
        <f t="shared" si="34"/>
        <v>2029.9166666666667</v>
      </c>
      <c r="L68" s="54">
        <f>184752.88+175977.73+956.38+1011.16+68.01</f>
        <v>362766.16</v>
      </c>
      <c r="M68" s="54">
        <f t="shared" si="28"/>
        <v>362766.16</v>
      </c>
      <c r="N68" s="54">
        <f t="shared" si="29"/>
        <v>3023.0513333333329</v>
      </c>
      <c r="O68" s="54">
        <f t="shared" si="30"/>
        <v>36276.615999999995</v>
      </c>
      <c r="P68" s="54">
        <f t="shared" si="1"/>
        <v>36276.615999999995</v>
      </c>
      <c r="Q68" s="54">
        <f t="shared" si="2"/>
        <v>126968.15600000002</v>
      </c>
      <c r="R68" s="29">
        <f t="shared" si="31"/>
        <v>163244.772</v>
      </c>
      <c r="S68" s="54">
        <f t="shared" si="32"/>
        <v>199521.38799999998</v>
      </c>
    </row>
    <row r="69" spans="2:19" s="47" customFormat="1" ht="15">
      <c r="B69" s="55">
        <v>221755</v>
      </c>
      <c r="C69" s="47">
        <v>3691</v>
      </c>
      <c r="D69" s="60" t="s">
        <v>832</v>
      </c>
      <c r="E69" s="47">
        <v>2019</v>
      </c>
      <c r="F69" s="47">
        <v>11</v>
      </c>
      <c r="G69" s="32">
        <v>0</v>
      </c>
      <c r="H69" s="47" t="s">
        <v>78</v>
      </c>
      <c r="I69" s="47">
        <v>10</v>
      </c>
      <c r="J69" s="47">
        <f t="shared" si="33"/>
        <v>2029</v>
      </c>
      <c r="K69" s="53">
        <f t="shared" si="34"/>
        <v>2029.9166666666667</v>
      </c>
      <c r="L69" s="54">
        <f>361686.99+791.55+868.94+633.95+1079.17</f>
        <v>365060.6</v>
      </c>
      <c r="M69" s="54">
        <f t="shared" si="28"/>
        <v>365060.6</v>
      </c>
      <c r="N69" s="54">
        <f t="shared" si="29"/>
        <v>3042.1716666666666</v>
      </c>
      <c r="O69" s="54">
        <f t="shared" si="30"/>
        <v>36506.06</v>
      </c>
      <c r="P69" s="54">
        <f t="shared" si="1"/>
        <v>36506.06</v>
      </c>
      <c r="Q69" s="54">
        <f t="shared" si="2"/>
        <v>127771.20999999999</v>
      </c>
      <c r="R69" s="29">
        <f t="shared" si="31"/>
        <v>164277.26999999999</v>
      </c>
      <c r="S69" s="54">
        <f t="shared" si="32"/>
        <v>200783.33</v>
      </c>
    </row>
    <row r="70" spans="2:19" s="47" customFormat="1" ht="15">
      <c r="B70" s="55">
        <v>223829</v>
      </c>
      <c r="C70" s="47">
        <v>3693</v>
      </c>
      <c r="D70" s="60" t="s">
        <v>832</v>
      </c>
      <c r="E70" s="47">
        <v>2019</v>
      </c>
      <c r="F70" s="47">
        <v>11</v>
      </c>
      <c r="G70" s="32">
        <v>0</v>
      </c>
      <c r="H70" s="47" t="s">
        <v>78</v>
      </c>
      <c r="I70" s="47">
        <v>10</v>
      </c>
      <c r="J70" s="47">
        <f t="shared" si="33"/>
        <v>2029</v>
      </c>
      <c r="K70" s="53">
        <f t="shared" si="34"/>
        <v>2029.9166666666667</v>
      </c>
      <c r="L70" s="54">
        <f>360730.61+956.38</f>
        <v>361686.99</v>
      </c>
      <c r="M70" s="54">
        <f t="shared" si="28"/>
        <v>361686.99</v>
      </c>
      <c r="N70" s="54">
        <f t="shared" si="29"/>
        <v>3014.05825</v>
      </c>
      <c r="O70" s="54">
        <f t="shared" si="30"/>
        <v>36168.699000000001</v>
      </c>
      <c r="P70" s="54">
        <f t="shared" si="1"/>
        <v>36168.699000000001</v>
      </c>
      <c r="Q70" s="54">
        <f t="shared" si="2"/>
        <v>126590.44649999999</v>
      </c>
      <c r="R70" s="29">
        <f t="shared" si="31"/>
        <v>162759.14549999998</v>
      </c>
      <c r="S70" s="54">
        <f t="shared" si="32"/>
        <v>198927.84450000001</v>
      </c>
    </row>
    <row r="71" spans="2:19" s="47" customFormat="1" ht="15">
      <c r="B71" s="55">
        <v>223830</v>
      </c>
      <c r="C71" s="47">
        <v>2056</v>
      </c>
      <c r="D71" s="60" t="s">
        <v>834</v>
      </c>
      <c r="E71" s="47">
        <v>2019</v>
      </c>
      <c r="F71" s="47">
        <v>11</v>
      </c>
      <c r="G71" s="32">
        <v>0</v>
      </c>
      <c r="H71" s="47" t="s">
        <v>78</v>
      </c>
      <c r="I71" s="47">
        <v>10</v>
      </c>
      <c r="J71" s="47">
        <f t="shared" si="33"/>
        <v>2029</v>
      </c>
      <c r="K71" s="53">
        <f t="shared" si="34"/>
        <v>2029.9166666666667</v>
      </c>
      <c r="L71" s="54">
        <f>339497.26+633.95+808.82</f>
        <v>340940.03</v>
      </c>
      <c r="M71" s="54">
        <f t="shared" si="28"/>
        <v>340940.03</v>
      </c>
      <c r="N71" s="54">
        <f t="shared" si="29"/>
        <v>2841.166916666667</v>
      </c>
      <c r="O71" s="54">
        <f t="shared" si="30"/>
        <v>34094.003000000004</v>
      </c>
      <c r="P71" s="54">
        <f t="shared" si="1"/>
        <v>34094.003000000004</v>
      </c>
      <c r="Q71" s="54">
        <f t="shared" si="2"/>
        <v>119329.0105</v>
      </c>
      <c r="R71" s="29">
        <f t="shared" si="31"/>
        <v>153423.0135</v>
      </c>
      <c r="S71" s="54">
        <f t="shared" si="32"/>
        <v>187517.01650000003</v>
      </c>
    </row>
    <row r="72" spans="2:19" s="47" customFormat="1" ht="15">
      <c r="B72" s="55">
        <v>225450</v>
      </c>
      <c r="C72" s="47">
        <v>3695</v>
      </c>
      <c r="D72" s="60" t="s">
        <v>832</v>
      </c>
      <c r="E72" s="47">
        <v>2019</v>
      </c>
      <c r="F72" s="47">
        <v>12</v>
      </c>
      <c r="G72" s="32">
        <v>0</v>
      </c>
      <c r="H72" s="47" t="s">
        <v>78</v>
      </c>
      <c r="I72" s="47">
        <v>10</v>
      </c>
      <c r="J72" s="47">
        <f t="shared" si="33"/>
        <v>2029</v>
      </c>
      <c r="K72" s="53">
        <f t="shared" si="34"/>
        <v>2030</v>
      </c>
      <c r="L72" s="54">
        <v>360730.61</v>
      </c>
      <c r="M72" s="54">
        <f t="shared" si="28"/>
        <v>360730.61</v>
      </c>
      <c r="N72" s="54">
        <f t="shared" si="29"/>
        <v>3006.0884166666669</v>
      </c>
      <c r="O72" s="54">
        <f t="shared" si="30"/>
        <v>36073.061000000002</v>
      </c>
      <c r="P72" s="54">
        <f t="shared" si="1"/>
        <v>36073.061000000002</v>
      </c>
      <c r="Q72" s="54">
        <f t="shared" si="2"/>
        <v>123249.62508333602</v>
      </c>
      <c r="R72" s="29">
        <f t="shared" si="31"/>
        <v>159322.68608333601</v>
      </c>
      <c r="S72" s="54">
        <f t="shared" si="32"/>
        <v>201407.92391666397</v>
      </c>
    </row>
    <row r="73" spans="2:19" s="47" customFormat="1" ht="15">
      <c r="B73" s="55">
        <v>241234</v>
      </c>
      <c r="C73" s="47">
        <v>3703</v>
      </c>
      <c r="D73" s="60" t="s">
        <v>832</v>
      </c>
      <c r="E73" s="47">
        <v>2020</v>
      </c>
      <c r="F73" s="47">
        <v>10</v>
      </c>
      <c r="G73" s="32">
        <v>0</v>
      </c>
      <c r="H73" s="47" t="s">
        <v>78</v>
      </c>
      <c r="I73" s="47">
        <v>10</v>
      </c>
      <c r="J73" s="47">
        <f t="shared" ref="J73:J79" si="35">E73+I73</f>
        <v>2030</v>
      </c>
      <c r="K73" s="53">
        <f t="shared" ref="K73:K79" si="36">+J73+(F73/12)</f>
        <v>2030.8333333333333</v>
      </c>
      <c r="L73" s="54">
        <v>368277.46</v>
      </c>
      <c r="M73" s="54">
        <f t="shared" ref="M73:M79" si="37">L73-L73*G73</f>
        <v>368277.46</v>
      </c>
      <c r="N73" s="54">
        <f t="shared" ref="N73:N79" si="38">M73/I73/12</f>
        <v>3068.9788333333331</v>
      </c>
      <c r="O73" s="54">
        <f t="shared" ref="O73:O79" si="39">+N73*12</f>
        <v>36827.745999999999</v>
      </c>
      <c r="P73" s="54">
        <f t="shared" si="1"/>
        <v>36827.745999999999</v>
      </c>
      <c r="Q73" s="54">
        <f t="shared" si="2"/>
        <v>95138.343833338935</v>
      </c>
      <c r="R73" s="29">
        <f t="shared" si="31"/>
        <v>131966.08983333892</v>
      </c>
      <c r="S73" s="54">
        <f t="shared" ref="S73:S79" si="40">+L73-R73</f>
        <v>236311.3701666611</v>
      </c>
    </row>
    <row r="74" spans="2:19" s="47" customFormat="1" ht="15">
      <c r="B74" s="55" t="s">
        <v>883</v>
      </c>
      <c r="C74" s="47">
        <v>3703</v>
      </c>
      <c r="D74" s="60" t="s">
        <v>884</v>
      </c>
      <c r="E74" s="47">
        <v>2020</v>
      </c>
      <c r="F74" s="47">
        <v>11</v>
      </c>
      <c r="G74" s="32">
        <v>0</v>
      </c>
      <c r="H74" s="47" t="s">
        <v>78</v>
      </c>
      <c r="I74" s="47">
        <v>10</v>
      </c>
      <c r="J74" s="47">
        <f t="shared" si="35"/>
        <v>2030</v>
      </c>
      <c r="K74" s="53">
        <f t="shared" si="36"/>
        <v>2030.9166666666667</v>
      </c>
      <c r="L74" s="54">
        <v>957.25</v>
      </c>
      <c r="M74" s="54">
        <f t="shared" si="37"/>
        <v>957.25</v>
      </c>
      <c r="N74" s="54">
        <f t="shared" si="38"/>
        <v>7.9770833333333329</v>
      </c>
      <c r="O74" s="54">
        <f t="shared" si="39"/>
        <v>95.724999999999994</v>
      </c>
      <c r="P74" s="54">
        <f t="shared" si="1"/>
        <v>95.724999999999994</v>
      </c>
      <c r="Q74" s="54">
        <f t="shared" si="2"/>
        <v>239.3125</v>
      </c>
      <c r="R74" s="29">
        <f t="shared" si="31"/>
        <v>335.03750000000002</v>
      </c>
      <c r="S74" s="54">
        <f t="shared" si="40"/>
        <v>622.21249999999998</v>
      </c>
    </row>
    <row r="75" spans="2:19" s="47" customFormat="1" ht="15">
      <c r="B75" s="55" t="s">
        <v>885</v>
      </c>
      <c r="C75" s="47">
        <v>3703</v>
      </c>
      <c r="D75" s="60" t="s">
        <v>886</v>
      </c>
      <c r="E75" s="47">
        <v>2020</v>
      </c>
      <c r="F75" s="47">
        <v>11</v>
      </c>
      <c r="G75" s="32">
        <v>0</v>
      </c>
      <c r="H75" s="47" t="s">
        <v>78</v>
      </c>
      <c r="I75" s="47">
        <v>5</v>
      </c>
      <c r="J75" s="47">
        <f t="shared" si="35"/>
        <v>2025</v>
      </c>
      <c r="K75" s="53">
        <f t="shared" si="36"/>
        <v>2025.9166666666667</v>
      </c>
      <c r="L75" s="54">
        <v>584.21</v>
      </c>
      <c r="M75" s="54">
        <f t="shared" si="37"/>
        <v>584.21</v>
      </c>
      <c r="N75" s="54">
        <f t="shared" si="38"/>
        <v>9.736833333333335</v>
      </c>
      <c r="O75" s="54">
        <f t="shared" si="39"/>
        <v>116.84200000000001</v>
      </c>
      <c r="P75" s="54">
        <f t="shared" si="1"/>
        <v>116.84200000000001</v>
      </c>
      <c r="Q75" s="54">
        <f t="shared" si="2"/>
        <v>292.10499999999996</v>
      </c>
      <c r="R75" s="29">
        <f t="shared" si="31"/>
        <v>408.947</v>
      </c>
      <c r="S75" s="54">
        <f t="shared" si="40"/>
        <v>175.26300000000003</v>
      </c>
    </row>
    <row r="76" spans="2:19" s="47" customFormat="1" ht="15">
      <c r="B76" s="55" t="s">
        <v>887</v>
      </c>
      <c r="C76" s="47">
        <v>3703</v>
      </c>
      <c r="D76" s="60" t="s">
        <v>888</v>
      </c>
      <c r="E76" s="47">
        <v>2020</v>
      </c>
      <c r="F76" s="47">
        <v>11</v>
      </c>
      <c r="G76" s="32">
        <v>0</v>
      </c>
      <c r="H76" s="47" t="s">
        <v>78</v>
      </c>
      <c r="I76" s="47">
        <v>5</v>
      </c>
      <c r="J76" s="47">
        <f t="shared" si="35"/>
        <v>2025</v>
      </c>
      <c r="K76" s="53">
        <f t="shared" si="36"/>
        <v>2025.9166666666667</v>
      </c>
      <c r="L76" s="54">
        <v>667.34</v>
      </c>
      <c r="M76" s="54">
        <f t="shared" si="37"/>
        <v>667.34</v>
      </c>
      <c r="N76" s="54">
        <f t="shared" si="38"/>
        <v>11.122333333333335</v>
      </c>
      <c r="O76" s="54">
        <f t="shared" si="39"/>
        <v>133.46800000000002</v>
      </c>
      <c r="P76" s="54">
        <f t="shared" si="1"/>
        <v>133.46800000000002</v>
      </c>
      <c r="Q76" s="54">
        <f t="shared" si="2"/>
        <v>333.66999999999996</v>
      </c>
      <c r="R76" s="29">
        <f t="shared" si="31"/>
        <v>467.13799999999998</v>
      </c>
      <c r="S76" s="54">
        <f t="shared" si="40"/>
        <v>200.20200000000006</v>
      </c>
    </row>
    <row r="77" spans="2:19" s="47" customFormat="1" ht="15">
      <c r="B77" s="55">
        <v>243666</v>
      </c>
      <c r="C77" s="47">
        <v>1088</v>
      </c>
      <c r="D77" s="60" t="s">
        <v>899</v>
      </c>
      <c r="E77" s="47">
        <v>2020</v>
      </c>
      <c r="F77" s="47">
        <v>10</v>
      </c>
      <c r="G77" s="32">
        <v>0</v>
      </c>
      <c r="H77" s="47" t="s">
        <v>78</v>
      </c>
      <c r="I77" s="47">
        <v>10</v>
      </c>
      <c r="J77" s="47">
        <f t="shared" si="35"/>
        <v>2030</v>
      </c>
      <c r="K77" s="53">
        <f t="shared" si="36"/>
        <v>2030.8333333333333</v>
      </c>
      <c r="L77" s="54">
        <v>302791.59999999998</v>
      </c>
      <c r="M77" s="54">
        <f t="shared" si="37"/>
        <v>302791.59999999998</v>
      </c>
      <c r="N77" s="54">
        <f t="shared" si="38"/>
        <v>2523.2633333333329</v>
      </c>
      <c r="O77" s="54">
        <f t="shared" si="39"/>
        <v>30279.159999999996</v>
      </c>
      <c r="P77" s="54">
        <f t="shared" si="1"/>
        <v>30279.159999999996</v>
      </c>
      <c r="Q77" s="54">
        <f t="shared" si="2"/>
        <v>78221.163333337929</v>
      </c>
      <c r="R77" s="29">
        <f t="shared" si="31"/>
        <v>108500.32333333793</v>
      </c>
      <c r="S77" s="54">
        <f t="shared" si="40"/>
        <v>194291.27666666204</v>
      </c>
    </row>
    <row r="78" spans="2:19" s="47" customFormat="1" ht="15">
      <c r="B78" s="55" t="s">
        <v>901</v>
      </c>
      <c r="C78" s="47">
        <v>1088</v>
      </c>
      <c r="D78" s="60" t="s">
        <v>886</v>
      </c>
      <c r="E78" s="47">
        <v>2020</v>
      </c>
      <c r="F78" s="47">
        <v>12</v>
      </c>
      <c r="G78" s="32">
        <v>0</v>
      </c>
      <c r="H78" s="47" t="s">
        <v>78</v>
      </c>
      <c r="I78" s="47">
        <v>5</v>
      </c>
      <c r="J78" s="47">
        <f t="shared" si="35"/>
        <v>2025</v>
      </c>
      <c r="K78" s="53">
        <f t="shared" si="36"/>
        <v>2026</v>
      </c>
      <c r="L78" s="54">
        <v>588.59</v>
      </c>
      <c r="M78" s="54">
        <f t="shared" si="37"/>
        <v>588.59</v>
      </c>
      <c r="N78" s="54">
        <f t="shared" si="38"/>
        <v>9.8098333333333336</v>
      </c>
      <c r="O78" s="54">
        <f t="shared" si="39"/>
        <v>117.718</v>
      </c>
      <c r="P78" s="54">
        <f t="shared" ref="P78:P79" si="41">+IF($K78&lt;$N$7,0,IF($K78&gt;$N$6,$O78,((($K78-$N$7)*12)*$N78)))</f>
        <v>117.718</v>
      </c>
      <c r="Q78" s="54">
        <f t="shared" ref="Q78:Q79" si="42">+IF($K78&lt;=$N$7,$M78,IF(($E78+($F78/12))&gt;=$N$7,0,((($M78-((($K78-$N$7)*12)*$N78))))))</f>
        <v>284.48516666667564</v>
      </c>
      <c r="R78" s="29">
        <f t="shared" si="31"/>
        <v>402.20316666667566</v>
      </c>
      <c r="S78" s="54">
        <f t="shared" si="40"/>
        <v>186.38683333332438</v>
      </c>
    </row>
    <row r="79" spans="2:19" s="47" customFormat="1" ht="15">
      <c r="B79" s="55" t="s">
        <v>902</v>
      </c>
      <c r="C79" s="47">
        <v>1088</v>
      </c>
      <c r="D79" s="60" t="s">
        <v>903</v>
      </c>
      <c r="E79" s="47">
        <v>2020</v>
      </c>
      <c r="F79" s="47">
        <v>10</v>
      </c>
      <c r="G79" s="32">
        <v>0</v>
      </c>
      <c r="H79" s="47" t="s">
        <v>78</v>
      </c>
      <c r="I79" s="47">
        <v>5</v>
      </c>
      <c r="J79" s="47">
        <f t="shared" si="35"/>
        <v>2025</v>
      </c>
      <c r="K79" s="53">
        <f t="shared" si="36"/>
        <v>2025.8333333333333</v>
      </c>
      <c r="L79" s="54">
        <v>784.07</v>
      </c>
      <c r="M79" s="54">
        <f t="shared" si="37"/>
        <v>784.07</v>
      </c>
      <c r="N79" s="54">
        <f t="shared" si="38"/>
        <v>13.067833333333335</v>
      </c>
      <c r="O79" s="54">
        <f t="shared" si="39"/>
        <v>156.81400000000002</v>
      </c>
      <c r="P79" s="54">
        <f t="shared" si="41"/>
        <v>156.81400000000002</v>
      </c>
      <c r="Q79" s="54">
        <f t="shared" si="42"/>
        <v>405.10283333335713</v>
      </c>
      <c r="R79" s="29">
        <f t="shared" si="31"/>
        <v>561.91683333335709</v>
      </c>
      <c r="S79" s="54">
        <f t="shared" si="40"/>
        <v>222.15316666664296</v>
      </c>
    </row>
    <row r="80" spans="2:19">
      <c r="L80" s="29"/>
      <c r="M80" s="29"/>
      <c r="N80" s="29"/>
      <c r="O80" s="29"/>
      <c r="P80" s="29"/>
      <c r="Q80" s="29"/>
      <c r="R80" s="29"/>
      <c r="S80" s="29"/>
    </row>
    <row r="81" spans="1:19">
      <c r="C81" s="2">
        <v>32</v>
      </c>
      <c r="D81" s="2" t="s">
        <v>294</v>
      </c>
      <c r="L81" s="76">
        <f t="shared" ref="L81:R81" si="43">SUM(L13:L80)</f>
        <v>9972368.7827333324</v>
      </c>
      <c r="M81" s="76">
        <f t="shared" si="43"/>
        <v>9972368.7827333324</v>
      </c>
      <c r="N81" s="76">
        <f t="shared" si="43"/>
        <v>92904.267342116422</v>
      </c>
      <c r="O81" s="76">
        <f t="shared" si="43"/>
        <v>1114851.2081053974</v>
      </c>
      <c r="P81" s="76">
        <f t="shared" si="43"/>
        <v>888063.05212666676</v>
      </c>
      <c r="Q81" s="76">
        <f t="shared" si="43"/>
        <v>5324361.1625333903</v>
      </c>
      <c r="R81" s="76">
        <f t="shared" si="43"/>
        <v>6212424.214660055</v>
      </c>
      <c r="S81" s="76">
        <f>SUM(S13:S80)</f>
        <v>3759944.5680732769</v>
      </c>
    </row>
    <row r="82" spans="1:19">
      <c r="J82" s="55"/>
      <c r="K82" s="77"/>
      <c r="L82" s="29"/>
      <c r="M82" s="29"/>
      <c r="N82" s="29"/>
      <c r="O82" s="29"/>
      <c r="P82" s="29"/>
      <c r="Q82" s="29"/>
      <c r="R82" s="29"/>
      <c r="S82" s="29"/>
    </row>
    <row r="83" spans="1:19">
      <c r="J83" s="55"/>
      <c r="K83" s="77"/>
      <c r="L83" s="29"/>
      <c r="M83" s="29"/>
      <c r="N83" s="29"/>
      <c r="O83" s="29"/>
      <c r="P83" s="29"/>
      <c r="Q83" s="29"/>
      <c r="R83" s="29"/>
      <c r="S83" s="29"/>
    </row>
    <row r="84" spans="1:19">
      <c r="D84" s="2" t="s">
        <v>145</v>
      </c>
      <c r="L84" s="29"/>
      <c r="M84" s="29"/>
      <c r="N84" s="29"/>
      <c r="O84" s="29"/>
      <c r="P84" s="29"/>
      <c r="Q84" s="29"/>
      <c r="R84" s="29"/>
      <c r="S84" s="29"/>
    </row>
    <row r="85" spans="1:19">
      <c r="A85" t="s">
        <v>283</v>
      </c>
      <c r="C85">
        <v>4046</v>
      </c>
      <c r="D85" t="s">
        <v>165</v>
      </c>
      <c r="E85">
        <v>2005</v>
      </c>
      <c r="F85">
        <v>10</v>
      </c>
      <c r="G85" s="26">
        <v>0</v>
      </c>
      <c r="H85" t="s">
        <v>78</v>
      </c>
      <c r="I85">
        <v>7</v>
      </c>
      <c r="J85">
        <f t="shared" ref="J85:J112" si="44">E85+I85</f>
        <v>2012</v>
      </c>
      <c r="K85" s="24">
        <f t="shared" ref="K85:K112" si="45">+J85+(F85/12)</f>
        <v>2012.8333333333333</v>
      </c>
      <c r="L85" s="29">
        <f>'Orig Trucks 2183'!P85</f>
        <v>119503.72</v>
      </c>
      <c r="M85" s="29">
        <f>L85-L85*G85</f>
        <v>119503.72</v>
      </c>
      <c r="N85" s="29">
        <f t="shared" ref="N85:N111" si="46">M85/I85/12</f>
        <v>1422.6633333333332</v>
      </c>
      <c r="O85" s="29">
        <f t="shared" ref="O85:O110" si="47">+N85*12</f>
        <v>17071.96</v>
      </c>
      <c r="P85" s="29">
        <f t="shared" ref="P85:P122" si="48">+IF($K85&lt;$N$7,0,IF($K85&gt;$N$6,$O85,((($K85-$N$7)*12)*$N85)))</f>
        <v>0</v>
      </c>
      <c r="Q85" s="29">
        <f t="shared" ref="Q85:Q122" si="49">+IF($K85&lt;=$N$7,$M85,IF(($E85+($F85/12))&gt;=$N$7,0,((($M85-((($K85-$N$7)*12)*$N85))))))</f>
        <v>119503.72</v>
      </c>
      <c r="R85" s="29">
        <f t="shared" ref="R85" si="50">IF(K85&lt;$N$6,L85,Q85+P85)</f>
        <v>119503.72</v>
      </c>
      <c r="S85" s="29">
        <f t="shared" ref="S85:S111" si="51">+L85-R85</f>
        <v>0</v>
      </c>
    </row>
    <row r="86" spans="1:19">
      <c r="A86" s="116"/>
      <c r="B86" s="116"/>
      <c r="C86" s="117">
        <v>4046</v>
      </c>
      <c r="D86" s="116" t="s">
        <v>676</v>
      </c>
      <c r="E86" s="116">
        <v>2019</v>
      </c>
      <c r="F86" s="116">
        <v>8</v>
      </c>
      <c r="G86" s="118">
        <v>0</v>
      </c>
      <c r="H86" s="116" t="s">
        <v>78</v>
      </c>
      <c r="I86" s="116">
        <v>3</v>
      </c>
      <c r="J86" s="116">
        <f t="shared" si="44"/>
        <v>2022</v>
      </c>
      <c r="K86" s="119">
        <f t="shared" si="45"/>
        <v>2022.6666666666667</v>
      </c>
      <c r="L86" s="120">
        <f>'Orig Trucks 2183'!N85-'Trucks 2183'!L85</f>
        <v>29875.929999999993</v>
      </c>
      <c r="M86" s="120">
        <f>L86-(L86*G86)</f>
        <v>29875.929999999993</v>
      </c>
      <c r="N86" s="120">
        <f t="shared" si="46"/>
        <v>829.88694444444434</v>
      </c>
      <c r="O86" s="120">
        <f>+N86*12</f>
        <v>9958.6433333333316</v>
      </c>
      <c r="P86" s="120">
        <f t="shared" si="48"/>
        <v>0</v>
      </c>
      <c r="Q86" s="120">
        <f t="shared" si="49"/>
        <v>29875.929999999993</v>
      </c>
      <c r="R86" s="120">
        <f>IF(K86&lt;$N$6,L86,Q86+P86)</f>
        <v>29875.929999999993</v>
      </c>
      <c r="S86" s="120">
        <f t="shared" si="51"/>
        <v>0</v>
      </c>
    </row>
    <row r="87" spans="1:19">
      <c r="A87" t="s">
        <v>283</v>
      </c>
      <c r="C87">
        <v>4047</v>
      </c>
      <c r="D87" t="s">
        <v>166</v>
      </c>
      <c r="E87">
        <v>2005</v>
      </c>
      <c r="F87">
        <v>11</v>
      </c>
      <c r="G87" s="26">
        <v>0</v>
      </c>
      <c r="H87" t="s">
        <v>78</v>
      </c>
      <c r="I87">
        <v>7</v>
      </c>
      <c r="J87">
        <f t="shared" si="44"/>
        <v>2012</v>
      </c>
      <c r="K87" s="24">
        <f t="shared" si="45"/>
        <v>2012.9166666666667</v>
      </c>
      <c r="L87" s="29">
        <f>'Orig Trucks 2183'!P86</f>
        <v>116925.36799999999</v>
      </c>
      <c r="M87" s="29">
        <f>L87-L87*G87</f>
        <v>116925.36799999999</v>
      </c>
      <c r="N87" s="29">
        <f t="shared" si="46"/>
        <v>1391.9686666666666</v>
      </c>
      <c r="O87" s="29">
        <f t="shared" si="47"/>
        <v>16703.624</v>
      </c>
      <c r="P87" s="29">
        <f t="shared" si="48"/>
        <v>0</v>
      </c>
      <c r="Q87" s="29">
        <f t="shared" si="49"/>
        <v>116925.36799999999</v>
      </c>
      <c r="R87" s="29">
        <f t="shared" ref="R87" si="52">IF(K87&lt;$N$6,L87,Q87+P87)</f>
        <v>116925.36799999999</v>
      </c>
      <c r="S87" s="29">
        <f t="shared" si="51"/>
        <v>0</v>
      </c>
    </row>
    <row r="88" spans="1:19">
      <c r="A88" s="116"/>
      <c r="B88" s="116"/>
      <c r="C88" s="117">
        <v>4047</v>
      </c>
      <c r="D88" s="116" t="s">
        <v>677</v>
      </c>
      <c r="E88" s="116">
        <v>2019</v>
      </c>
      <c r="F88" s="116">
        <v>8</v>
      </c>
      <c r="G88" s="118">
        <v>0</v>
      </c>
      <c r="H88" s="116" t="s">
        <v>78</v>
      </c>
      <c r="I88" s="116">
        <v>3</v>
      </c>
      <c r="J88" s="116">
        <f t="shared" si="44"/>
        <v>2022</v>
      </c>
      <c r="K88" s="119">
        <f t="shared" si="45"/>
        <v>2022.6666666666667</v>
      </c>
      <c r="L88" s="120">
        <f>'Orig Trucks 2183'!N86-'Trucks 2183'!L87</f>
        <v>29231.342000000004</v>
      </c>
      <c r="M88" s="120">
        <f>L88-(L88*G88)</f>
        <v>29231.342000000004</v>
      </c>
      <c r="N88" s="120">
        <f t="shared" si="46"/>
        <v>811.98172222222229</v>
      </c>
      <c r="O88" s="120">
        <f>+N88*12</f>
        <v>9743.7806666666675</v>
      </c>
      <c r="P88" s="120">
        <f t="shared" si="48"/>
        <v>0</v>
      </c>
      <c r="Q88" s="120">
        <f t="shared" si="49"/>
        <v>29231.342000000004</v>
      </c>
      <c r="R88" s="120">
        <f>IF(K88&lt;$N$6,L88,Q88+P88)</f>
        <v>29231.342000000004</v>
      </c>
      <c r="S88" s="120">
        <f t="shared" si="51"/>
        <v>0</v>
      </c>
    </row>
    <row r="89" spans="1:19">
      <c r="A89" t="s">
        <v>283</v>
      </c>
      <c r="C89">
        <v>4054</v>
      </c>
      <c r="D89" t="s">
        <v>167</v>
      </c>
      <c r="E89">
        <v>2006</v>
      </c>
      <c r="F89">
        <v>12</v>
      </c>
      <c r="G89" s="26">
        <v>0</v>
      </c>
      <c r="H89" t="s">
        <v>78</v>
      </c>
      <c r="I89">
        <v>7</v>
      </c>
      <c r="J89">
        <f t="shared" si="44"/>
        <v>2013</v>
      </c>
      <c r="K89" s="24">
        <f t="shared" si="45"/>
        <v>2014</v>
      </c>
      <c r="L89" s="29">
        <f>'Orig Trucks 2183'!P89</f>
        <v>121228.32800000001</v>
      </c>
      <c r="M89" s="29">
        <f>L89-L89*G89</f>
        <v>121228.32800000001</v>
      </c>
      <c r="N89" s="29">
        <f t="shared" si="46"/>
        <v>1443.1943809523809</v>
      </c>
      <c r="O89" s="29">
        <f t="shared" si="47"/>
        <v>17318.332571428571</v>
      </c>
      <c r="P89" s="29">
        <f t="shared" si="48"/>
        <v>0</v>
      </c>
      <c r="Q89" s="29">
        <f t="shared" si="49"/>
        <v>121228.32800000001</v>
      </c>
      <c r="R89" s="29">
        <f t="shared" ref="R89" si="53">IF(K89&lt;$N$6,L89,Q89+P89)</f>
        <v>121228.32800000001</v>
      </c>
      <c r="S89" s="29">
        <f t="shared" si="51"/>
        <v>0</v>
      </c>
    </row>
    <row r="90" spans="1:19">
      <c r="A90" s="116"/>
      <c r="B90" s="117"/>
      <c r="C90" s="117">
        <v>4054</v>
      </c>
      <c r="D90" s="116" t="s">
        <v>679</v>
      </c>
      <c r="E90" s="116">
        <v>2019</v>
      </c>
      <c r="F90" s="116">
        <v>8</v>
      </c>
      <c r="G90" s="118">
        <v>0</v>
      </c>
      <c r="H90" s="116" t="s">
        <v>78</v>
      </c>
      <c r="I90" s="116">
        <v>3</v>
      </c>
      <c r="J90" s="116">
        <f t="shared" si="44"/>
        <v>2022</v>
      </c>
      <c r="K90" s="119">
        <f t="shared" si="45"/>
        <v>2022.6666666666667</v>
      </c>
      <c r="L90" s="120">
        <f>'Orig Trucks 2183'!N89-'Trucks 2183'!L89</f>
        <v>30307.081999999995</v>
      </c>
      <c r="M90" s="120">
        <f>L90-(L90*G90)</f>
        <v>30307.081999999995</v>
      </c>
      <c r="N90" s="120">
        <f t="shared" si="46"/>
        <v>841.86338888888884</v>
      </c>
      <c r="O90" s="120">
        <f>+N90*12</f>
        <v>10102.360666666666</v>
      </c>
      <c r="P90" s="120">
        <f t="shared" si="48"/>
        <v>0</v>
      </c>
      <c r="Q90" s="120">
        <f t="shared" si="49"/>
        <v>30307.081999999995</v>
      </c>
      <c r="R90" s="120">
        <f>IF(K90&lt;$N$6,L90,Q90+P90)</f>
        <v>30307.081999999995</v>
      </c>
      <c r="S90" s="120">
        <f t="shared" si="51"/>
        <v>0</v>
      </c>
    </row>
    <row r="91" spans="1:19">
      <c r="A91" t="s">
        <v>283</v>
      </c>
      <c r="C91">
        <v>4054</v>
      </c>
      <c r="D91" t="s">
        <v>289</v>
      </c>
      <c r="E91">
        <v>2007</v>
      </c>
      <c r="F91">
        <v>1</v>
      </c>
      <c r="G91" s="26">
        <v>0</v>
      </c>
      <c r="H91" t="s">
        <v>78</v>
      </c>
      <c r="I91">
        <v>7</v>
      </c>
      <c r="J91">
        <f t="shared" si="44"/>
        <v>2014</v>
      </c>
      <c r="K91" s="24">
        <f t="shared" si="45"/>
        <v>2014.0833333333333</v>
      </c>
      <c r="L91" s="29">
        <f>'Orig Trucks 2183'!P90</f>
        <v>3133.3040000000001</v>
      </c>
      <c r="M91" s="29">
        <f>L91-L91*G91</f>
        <v>3133.3040000000001</v>
      </c>
      <c r="N91" s="29">
        <f t="shared" si="46"/>
        <v>37.301238095238098</v>
      </c>
      <c r="O91" s="29">
        <f t="shared" si="47"/>
        <v>447.6148571428572</v>
      </c>
      <c r="P91" s="29">
        <f t="shared" si="48"/>
        <v>0</v>
      </c>
      <c r="Q91" s="29">
        <f t="shared" si="49"/>
        <v>3133.3040000000001</v>
      </c>
      <c r="R91" s="29">
        <f t="shared" ref="R91" si="54">IF(K91&lt;$N$6,L91,Q91+P91)</f>
        <v>3133.3040000000001</v>
      </c>
      <c r="S91" s="29">
        <f t="shared" si="51"/>
        <v>0</v>
      </c>
    </row>
    <row r="92" spans="1:19">
      <c r="A92" s="116"/>
      <c r="B92" s="116"/>
      <c r="C92" s="117">
        <v>4054</v>
      </c>
      <c r="D92" s="116" t="s">
        <v>679</v>
      </c>
      <c r="E92" s="116">
        <v>2019</v>
      </c>
      <c r="F92" s="116">
        <v>8</v>
      </c>
      <c r="G92" s="118">
        <v>0</v>
      </c>
      <c r="H92" s="116" t="s">
        <v>78</v>
      </c>
      <c r="I92" s="116">
        <v>3</v>
      </c>
      <c r="J92" s="116">
        <f t="shared" si="44"/>
        <v>2022</v>
      </c>
      <c r="K92" s="119">
        <f t="shared" si="45"/>
        <v>2022.6666666666667</v>
      </c>
      <c r="L92" s="120">
        <f>'Orig Trucks 2183'!N90-'Trucks 2183'!L91</f>
        <v>783.32600000000002</v>
      </c>
      <c r="M92" s="120">
        <f>L92-(L92*G92)</f>
        <v>783.32600000000002</v>
      </c>
      <c r="N92" s="120">
        <f t="shared" si="46"/>
        <v>21.759055555555559</v>
      </c>
      <c r="O92" s="120">
        <f>+N92*12</f>
        <v>261.10866666666669</v>
      </c>
      <c r="P92" s="120">
        <f t="shared" si="48"/>
        <v>0</v>
      </c>
      <c r="Q92" s="120">
        <f t="shared" si="49"/>
        <v>783.32600000000002</v>
      </c>
      <c r="R92" s="120">
        <f>IF(K92&lt;$N$6,L92,Q92+P92)</f>
        <v>783.32600000000002</v>
      </c>
      <c r="S92" s="120">
        <f t="shared" si="51"/>
        <v>0</v>
      </c>
    </row>
    <row r="93" spans="1:19">
      <c r="A93" t="s">
        <v>283</v>
      </c>
      <c r="C93">
        <v>4061</v>
      </c>
      <c r="D93" t="s">
        <v>332</v>
      </c>
      <c r="E93">
        <v>2007</v>
      </c>
      <c r="F93">
        <v>9</v>
      </c>
      <c r="G93" s="26">
        <v>0</v>
      </c>
      <c r="H93" t="s">
        <v>78</v>
      </c>
      <c r="I93">
        <v>7</v>
      </c>
      <c r="J93">
        <f t="shared" si="44"/>
        <v>2014</v>
      </c>
      <c r="K93" s="24">
        <f t="shared" si="45"/>
        <v>2014.75</v>
      </c>
      <c r="L93" s="29">
        <f>'Orig Trucks 2183'!P91</f>
        <v>125728.91200000001</v>
      </c>
      <c r="M93" s="29">
        <f>L93-L93*G93</f>
        <v>125728.91200000001</v>
      </c>
      <c r="N93" s="29">
        <f t="shared" si="46"/>
        <v>1496.7727619047621</v>
      </c>
      <c r="O93" s="29">
        <f t="shared" si="47"/>
        <v>17961.273142857146</v>
      </c>
      <c r="P93" s="29">
        <f t="shared" si="48"/>
        <v>0</v>
      </c>
      <c r="Q93" s="29">
        <f t="shared" si="49"/>
        <v>125728.91200000001</v>
      </c>
      <c r="R93" s="29">
        <f t="shared" ref="R93" si="55">IF(K93&lt;$N$6,L93,Q93+P93)</f>
        <v>125728.91200000001</v>
      </c>
      <c r="S93" s="29">
        <f t="shared" si="51"/>
        <v>0</v>
      </c>
    </row>
    <row r="94" spans="1:19">
      <c r="A94" s="116"/>
      <c r="B94" s="116"/>
      <c r="C94" s="117">
        <v>4061</v>
      </c>
      <c r="D94" s="116" t="s">
        <v>680</v>
      </c>
      <c r="E94" s="116">
        <v>2019</v>
      </c>
      <c r="F94" s="116">
        <v>8</v>
      </c>
      <c r="G94" s="118">
        <v>0</v>
      </c>
      <c r="H94" s="116" t="s">
        <v>78</v>
      </c>
      <c r="I94" s="116">
        <v>3</v>
      </c>
      <c r="J94" s="116">
        <f t="shared" si="44"/>
        <v>2022</v>
      </c>
      <c r="K94" s="119">
        <f t="shared" si="45"/>
        <v>2022.6666666666667</v>
      </c>
      <c r="L94" s="120">
        <f>'Orig Trucks 2183'!N91-'Trucks 2183'!L93</f>
        <v>31432.228000000003</v>
      </c>
      <c r="M94" s="120">
        <f>L94-(L94*G94)</f>
        <v>31432.228000000003</v>
      </c>
      <c r="N94" s="120">
        <f t="shared" si="46"/>
        <v>873.11744444444457</v>
      </c>
      <c r="O94" s="120">
        <f>+N94*12</f>
        <v>10477.409333333335</v>
      </c>
      <c r="P94" s="120">
        <f t="shared" si="48"/>
        <v>0</v>
      </c>
      <c r="Q94" s="120">
        <f t="shared" si="49"/>
        <v>31432.228000000003</v>
      </c>
      <c r="R94" s="120">
        <f>IF(K94&lt;$N$6,L94,Q94+P94)</f>
        <v>31432.228000000003</v>
      </c>
      <c r="S94" s="120">
        <f t="shared" si="51"/>
        <v>0</v>
      </c>
    </row>
    <row r="95" spans="1:19">
      <c r="A95" t="s">
        <v>283</v>
      </c>
      <c r="B95" s="5">
        <v>114285</v>
      </c>
      <c r="C95">
        <v>4062</v>
      </c>
      <c r="D95" t="s">
        <v>551</v>
      </c>
      <c r="E95">
        <v>2007</v>
      </c>
      <c r="F95">
        <v>11</v>
      </c>
      <c r="G95" s="26">
        <v>0</v>
      </c>
      <c r="H95" t="s">
        <v>78</v>
      </c>
      <c r="I95">
        <v>7</v>
      </c>
      <c r="J95">
        <f t="shared" si="44"/>
        <v>2014</v>
      </c>
      <c r="K95" s="24">
        <f t="shared" si="45"/>
        <v>2014.9166666666667</v>
      </c>
      <c r="L95" s="29">
        <v>0</v>
      </c>
      <c r="M95" s="29">
        <f>L95-L95*G95</f>
        <v>0</v>
      </c>
      <c r="N95" s="29">
        <f t="shared" si="46"/>
        <v>0</v>
      </c>
      <c r="O95" s="29">
        <f t="shared" si="47"/>
        <v>0</v>
      </c>
      <c r="P95" s="29">
        <f t="shared" si="48"/>
        <v>0</v>
      </c>
      <c r="Q95" s="29">
        <f t="shared" si="49"/>
        <v>0</v>
      </c>
      <c r="R95" s="29">
        <f t="shared" ref="R95" si="56">IF(K95&lt;$N$6,L95,Q95+P95)</f>
        <v>0</v>
      </c>
      <c r="S95" s="29">
        <f t="shared" si="51"/>
        <v>0</v>
      </c>
    </row>
    <row r="96" spans="1:19">
      <c r="A96" s="116"/>
      <c r="B96" s="116"/>
      <c r="C96" s="117">
        <v>4062</v>
      </c>
      <c r="D96" s="116" t="s">
        <v>681</v>
      </c>
      <c r="E96" s="116">
        <v>2019</v>
      </c>
      <c r="F96" s="116">
        <v>8</v>
      </c>
      <c r="G96" s="118">
        <v>0</v>
      </c>
      <c r="H96" s="116" t="s">
        <v>78</v>
      </c>
      <c r="I96" s="116">
        <v>3</v>
      </c>
      <c r="J96" s="116">
        <f t="shared" si="44"/>
        <v>2022</v>
      </c>
      <c r="K96" s="119">
        <f t="shared" si="45"/>
        <v>2022.6666666666667</v>
      </c>
      <c r="L96" s="120">
        <v>0</v>
      </c>
      <c r="M96" s="120">
        <f>L96-(L96*G96)</f>
        <v>0</v>
      </c>
      <c r="N96" s="120">
        <f t="shared" si="46"/>
        <v>0</v>
      </c>
      <c r="O96" s="120">
        <f>+N96*12</f>
        <v>0</v>
      </c>
      <c r="P96" s="120">
        <f t="shared" si="48"/>
        <v>0</v>
      </c>
      <c r="Q96" s="120">
        <f t="shared" si="49"/>
        <v>0</v>
      </c>
      <c r="R96" s="120">
        <f t="shared" ref="R96" si="57">+IF(P96=0,Q96,Q96+P96)</f>
        <v>0</v>
      </c>
      <c r="S96" s="120">
        <f t="shared" si="51"/>
        <v>0</v>
      </c>
    </row>
    <row r="97" spans="1:19">
      <c r="A97" t="s">
        <v>283</v>
      </c>
      <c r="C97">
        <v>4068</v>
      </c>
      <c r="D97" t="s">
        <v>425</v>
      </c>
      <c r="E97">
        <v>2008</v>
      </c>
      <c r="F97">
        <v>10</v>
      </c>
      <c r="G97" s="26">
        <v>0</v>
      </c>
      <c r="H97" t="s">
        <v>78</v>
      </c>
      <c r="I97">
        <v>7</v>
      </c>
      <c r="J97">
        <f t="shared" si="44"/>
        <v>2015</v>
      </c>
      <c r="K97" s="24">
        <f t="shared" si="45"/>
        <v>2015.8333333333333</v>
      </c>
      <c r="L97" s="29">
        <f>'Orig Trucks 2183'!P93</f>
        <v>132388.56</v>
      </c>
      <c r="M97" s="29">
        <f>L97-L97*G97</f>
        <v>132388.56</v>
      </c>
      <c r="N97" s="29">
        <f t="shared" si="46"/>
        <v>1576.0542857142857</v>
      </c>
      <c r="O97" s="29">
        <f t="shared" si="47"/>
        <v>18912.651428571429</v>
      </c>
      <c r="P97" s="29">
        <f t="shared" si="48"/>
        <v>0</v>
      </c>
      <c r="Q97" s="29">
        <f t="shared" si="49"/>
        <v>132388.56</v>
      </c>
      <c r="R97" s="29">
        <f t="shared" ref="R97" si="58">IF(K97&lt;$N$6,L97,Q97+P97)</f>
        <v>132388.56</v>
      </c>
      <c r="S97" s="29">
        <f t="shared" si="51"/>
        <v>0</v>
      </c>
    </row>
    <row r="98" spans="1:19">
      <c r="A98" s="116"/>
      <c r="B98" s="117"/>
      <c r="C98" s="117">
        <v>4068</v>
      </c>
      <c r="D98" s="116" t="s">
        <v>682</v>
      </c>
      <c r="E98" s="116">
        <v>2019</v>
      </c>
      <c r="F98" s="116">
        <v>8</v>
      </c>
      <c r="G98" s="118">
        <v>0</v>
      </c>
      <c r="H98" s="116" t="s">
        <v>78</v>
      </c>
      <c r="I98" s="116">
        <v>3</v>
      </c>
      <c r="J98" s="116">
        <f t="shared" si="44"/>
        <v>2022</v>
      </c>
      <c r="K98" s="119">
        <f t="shared" si="45"/>
        <v>2022.6666666666667</v>
      </c>
      <c r="L98" s="120">
        <f>'Orig Trucks 2183'!N93-'Trucks 2183'!L97</f>
        <v>33097.140000000014</v>
      </c>
      <c r="M98" s="120">
        <f>L98-(L98*G98)</f>
        <v>33097.140000000014</v>
      </c>
      <c r="N98" s="120">
        <f t="shared" si="46"/>
        <v>919.36500000000035</v>
      </c>
      <c r="O98" s="120">
        <f>+N98*12</f>
        <v>11032.380000000005</v>
      </c>
      <c r="P98" s="120">
        <f t="shared" si="48"/>
        <v>0</v>
      </c>
      <c r="Q98" s="120">
        <f t="shared" si="49"/>
        <v>33097.140000000014</v>
      </c>
      <c r="R98" s="120">
        <f>IF(K98&lt;$N$6,L98,Q98+P98)</f>
        <v>33097.140000000014</v>
      </c>
      <c r="S98" s="120">
        <f t="shared" si="51"/>
        <v>0</v>
      </c>
    </row>
    <row r="99" spans="1:19">
      <c r="B99" s="5">
        <v>88721</v>
      </c>
      <c r="D99" t="s">
        <v>437</v>
      </c>
      <c r="E99">
        <v>2011</v>
      </c>
      <c r="F99">
        <v>12</v>
      </c>
      <c r="G99" s="26">
        <v>0</v>
      </c>
      <c r="H99" t="s">
        <v>78</v>
      </c>
      <c r="I99">
        <v>5</v>
      </c>
      <c r="J99">
        <f t="shared" si="44"/>
        <v>2016</v>
      </c>
      <c r="K99" s="24">
        <f t="shared" si="45"/>
        <v>2017</v>
      </c>
      <c r="L99" s="29">
        <f>487.65*11</f>
        <v>5364.15</v>
      </c>
      <c r="M99" s="29">
        <f t="shared" ref="M99:M111" si="59">L99-L99*G99</f>
        <v>5364.15</v>
      </c>
      <c r="N99" s="29">
        <f t="shared" si="46"/>
        <v>89.402499999999989</v>
      </c>
      <c r="O99" s="29">
        <f t="shared" si="47"/>
        <v>1072.83</v>
      </c>
      <c r="P99" s="29">
        <f t="shared" si="48"/>
        <v>0</v>
      </c>
      <c r="Q99" s="29">
        <f t="shared" si="49"/>
        <v>5364.15</v>
      </c>
      <c r="R99" s="29">
        <f t="shared" ref="R99:R111" si="60">IF(K99&lt;$N$6,L99,Q99+P99)</f>
        <v>5364.15</v>
      </c>
      <c r="S99" s="29">
        <f t="shared" si="51"/>
        <v>0</v>
      </c>
    </row>
    <row r="100" spans="1:19">
      <c r="B100" s="5">
        <v>114286</v>
      </c>
      <c r="C100">
        <v>4062</v>
      </c>
      <c r="D100" t="s">
        <v>552</v>
      </c>
      <c r="E100">
        <v>2013</v>
      </c>
      <c r="F100">
        <v>11</v>
      </c>
      <c r="G100" s="26">
        <v>0</v>
      </c>
      <c r="H100" t="s">
        <v>78</v>
      </c>
      <c r="I100">
        <v>3</v>
      </c>
      <c r="J100">
        <f t="shared" si="44"/>
        <v>2016</v>
      </c>
      <c r="K100" s="24">
        <f t="shared" si="45"/>
        <v>2016.9166666666667</v>
      </c>
      <c r="L100" s="29">
        <v>8837.86</v>
      </c>
      <c r="M100" s="29">
        <f t="shared" si="59"/>
        <v>8837.86</v>
      </c>
      <c r="N100" s="29">
        <f t="shared" si="46"/>
        <v>245.49611111111111</v>
      </c>
      <c r="O100" s="29">
        <f t="shared" si="47"/>
        <v>2945.9533333333334</v>
      </c>
      <c r="P100" s="29">
        <f t="shared" si="48"/>
        <v>0</v>
      </c>
      <c r="Q100" s="29">
        <f t="shared" si="49"/>
        <v>8837.86</v>
      </c>
      <c r="R100" s="29">
        <f t="shared" si="60"/>
        <v>8837.86</v>
      </c>
      <c r="S100" s="29">
        <f t="shared" si="51"/>
        <v>0</v>
      </c>
    </row>
    <row r="101" spans="1:19">
      <c r="B101" s="5">
        <v>109182</v>
      </c>
      <c r="C101">
        <v>4046</v>
      </c>
      <c r="D101" t="s">
        <v>494</v>
      </c>
      <c r="E101">
        <v>2013</v>
      </c>
      <c r="F101">
        <v>10</v>
      </c>
      <c r="G101" s="26">
        <v>0</v>
      </c>
      <c r="H101" t="s">
        <v>78</v>
      </c>
      <c r="I101">
        <v>3</v>
      </c>
      <c r="J101">
        <f t="shared" si="44"/>
        <v>2016</v>
      </c>
      <c r="K101" s="24">
        <f t="shared" si="45"/>
        <v>2016.8333333333333</v>
      </c>
      <c r="L101" s="29">
        <v>8837.86</v>
      </c>
      <c r="M101" s="29">
        <f t="shared" si="59"/>
        <v>8837.86</v>
      </c>
      <c r="N101" s="29">
        <f t="shared" si="46"/>
        <v>245.49611111111111</v>
      </c>
      <c r="O101" s="29">
        <f t="shared" si="47"/>
        <v>2945.9533333333334</v>
      </c>
      <c r="P101" s="29">
        <f t="shared" si="48"/>
        <v>0</v>
      </c>
      <c r="Q101" s="29">
        <f t="shared" si="49"/>
        <v>8837.86</v>
      </c>
      <c r="R101" s="29">
        <f t="shared" si="60"/>
        <v>8837.86</v>
      </c>
      <c r="S101" s="29">
        <f t="shared" si="51"/>
        <v>0</v>
      </c>
    </row>
    <row r="102" spans="1:19">
      <c r="B102" s="5">
        <v>109180</v>
      </c>
      <c r="C102">
        <v>4047</v>
      </c>
      <c r="D102" t="s">
        <v>495</v>
      </c>
      <c r="E102">
        <v>2013</v>
      </c>
      <c r="F102">
        <v>10</v>
      </c>
      <c r="G102" s="26">
        <v>0</v>
      </c>
      <c r="H102" t="s">
        <v>78</v>
      </c>
      <c r="I102">
        <v>3</v>
      </c>
      <c r="J102">
        <f t="shared" si="44"/>
        <v>2016</v>
      </c>
      <c r="K102" s="24">
        <f t="shared" si="45"/>
        <v>2016.8333333333333</v>
      </c>
      <c r="L102" s="29">
        <v>8837.86</v>
      </c>
      <c r="M102" s="29">
        <f t="shared" si="59"/>
        <v>8837.86</v>
      </c>
      <c r="N102" s="29">
        <f t="shared" si="46"/>
        <v>245.49611111111111</v>
      </c>
      <c r="O102" s="29">
        <f t="shared" si="47"/>
        <v>2945.9533333333334</v>
      </c>
      <c r="P102" s="29">
        <f t="shared" si="48"/>
        <v>0</v>
      </c>
      <c r="Q102" s="29">
        <f t="shared" si="49"/>
        <v>8837.86</v>
      </c>
      <c r="R102" s="29">
        <f t="shared" si="60"/>
        <v>8837.86</v>
      </c>
      <c r="S102" s="29">
        <f t="shared" si="51"/>
        <v>0</v>
      </c>
    </row>
    <row r="103" spans="1:19">
      <c r="B103" s="5">
        <v>109181</v>
      </c>
      <c r="C103">
        <v>4061</v>
      </c>
      <c r="D103" t="s">
        <v>496</v>
      </c>
      <c r="E103">
        <v>2013</v>
      </c>
      <c r="F103">
        <v>10</v>
      </c>
      <c r="G103" s="26">
        <v>0</v>
      </c>
      <c r="H103" t="s">
        <v>78</v>
      </c>
      <c r="I103">
        <v>3</v>
      </c>
      <c r="J103">
        <f t="shared" si="44"/>
        <v>2016</v>
      </c>
      <c r="K103" s="24">
        <f t="shared" si="45"/>
        <v>2016.8333333333333</v>
      </c>
      <c r="L103" s="29">
        <v>8837.86</v>
      </c>
      <c r="M103" s="29">
        <f t="shared" si="59"/>
        <v>8837.86</v>
      </c>
      <c r="N103" s="29">
        <f t="shared" si="46"/>
        <v>245.49611111111111</v>
      </c>
      <c r="O103" s="29">
        <f t="shared" si="47"/>
        <v>2945.9533333333334</v>
      </c>
      <c r="P103" s="29">
        <f t="shared" si="48"/>
        <v>0</v>
      </c>
      <c r="Q103" s="29">
        <f t="shared" si="49"/>
        <v>8837.86</v>
      </c>
      <c r="R103" s="29">
        <f t="shared" si="60"/>
        <v>8837.86</v>
      </c>
      <c r="S103" s="29">
        <f t="shared" si="51"/>
        <v>0</v>
      </c>
    </row>
    <row r="104" spans="1:19">
      <c r="B104" s="5">
        <v>108675</v>
      </c>
      <c r="C104">
        <v>4054</v>
      </c>
      <c r="D104" t="s">
        <v>498</v>
      </c>
      <c r="E104">
        <v>2013</v>
      </c>
      <c r="F104">
        <v>11</v>
      </c>
      <c r="G104" s="26">
        <v>0</v>
      </c>
      <c r="H104" t="s">
        <v>78</v>
      </c>
      <c r="I104">
        <v>3</v>
      </c>
      <c r="J104">
        <f t="shared" si="44"/>
        <v>2016</v>
      </c>
      <c r="K104" s="24">
        <f t="shared" si="45"/>
        <v>2016.9166666666667</v>
      </c>
      <c r="L104" s="29">
        <v>8837.86</v>
      </c>
      <c r="M104" s="29">
        <f t="shared" si="59"/>
        <v>8837.86</v>
      </c>
      <c r="N104" s="29">
        <f t="shared" si="46"/>
        <v>245.49611111111111</v>
      </c>
      <c r="O104" s="29">
        <f t="shared" si="47"/>
        <v>2945.9533333333334</v>
      </c>
      <c r="P104" s="29">
        <f t="shared" si="48"/>
        <v>0</v>
      </c>
      <c r="Q104" s="29">
        <f t="shared" si="49"/>
        <v>8837.86</v>
      </c>
      <c r="R104" s="29">
        <f t="shared" si="60"/>
        <v>8837.86</v>
      </c>
      <c r="S104" s="29">
        <f t="shared" si="51"/>
        <v>0</v>
      </c>
    </row>
    <row r="105" spans="1:19">
      <c r="B105" s="5">
        <v>108676</v>
      </c>
      <c r="C105">
        <v>4068</v>
      </c>
      <c r="D105" t="s">
        <v>497</v>
      </c>
      <c r="E105">
        <v>2013</v>
      </c>
      <c r="F105">
        <v>11</v>
      </c>
      <c r="G105" s="26">
        <v>0</v>
      </c>
      <c r="H105" t="s">
        <v>78</v>
      </c>
      <c r="I105">
        <v>3</v>
      </c>
      <c r="J105">
        <f t="shared" si="44"/>
        <v>2016</v>
      </c>
      <c r="K105" s="24">
        <f t="shared" si="45"/>
        <v>2016.9166666666667</v>
      </c>
      <c r="L105" s="29">
        <v>8837.86</v>
      </c>
      <c r="M105" s="29">
        <f t="shared" si="59"/>
        <v>8837.86</v>
      </c>
      <c r="N105" s="29">
        <f t="shared" si="46"/>
        <v>245.49611111111111</v>
      </c>
      <c r="O105" s="29">
        <f t="shared" si="47"/>
        <v>2945.9533333333334</v>
      </c>
      <c r="P105" s="29">
        <f t="shared" si="48"/>
        <v>0</v>
      </c>
      <c r="Q105" s="29">
        <f t="shared" si="49"/>
        <v>8837.86</v>
      </c>
      <c r="R105" s="29">
        <f t="shared" si="60"/>
        <v>8837.86</v>
      </c>
      <c r="S105" s="29">
        <f t="shared" si="51"/>
        <v>0</v>
      </c>
    </row>
    <row r="106" spans="1:19">
      <c r="B106" s="5">
        <v>122012</v>
      </c>
      <c r="C106">
        <v>4061</v>
      </c>
      <c r="D106" t="s">
        <v>571</v>
      </c>
      <c r="E106">
        <v>2015</v>
      </c>
      <c r="F106">
        <v>2</v>
      </c>
      <c r="G106" s="26">
        <v>0</v>
      </c>
      <c r="H106" t="s">
        <v>78</v>
      </c>
      <c r="I106">
        <v>3</v>
      </c>
      <c r="J106">
        <f t="shared" si="44"/>
        <v>2018</v>
      </c>
      <c r="K106" s="24">
        <f t="shared" si="45"/>
        <v>2018.1666666666667</v>
      </c>
      <c r="L106" s="29">
        <v>5574.98</v>
      </c>
      <c r="M106" s="29">
        <f t="shared" si="59"/>
        <v>5574.98</v>
      </c>
      <c r="N106" s="29">
        <f t="shared" si="46"/>
        <v>154.86055555555555</v>
      </c>
      <c r="O106" s="29">
        <f t="shared" si="47"/>
        <v>1858.3266666666666</v>
      </c>
      <c r="P106" s="29">
        <f t="shared" si="48"/>
        <v>0</v>
      </c>
      <c r="Q106" s="29">
        <f t="shared" si="49"/>
        <v>5574.98</v>
      </c>
      <c r="R106" s="29">
        <f t="shared" si="60"/>
        <v>5574.98</v>
      </c>
      <c r="S106" s="29">
        <f t="shared" si="51"/>
        <v>0</v>
      </c>
    </row>
    <row r="107" spans="1:19">
      <c r="B107" s="5" t="s">
        <v>593</v>
      </c>
      <c r="D107" t="s">
        <v>592</v>
      </c>
      <c r="E107">
        <v>2016</v>
      </c>
      <c r="F107">
        <v>4</v>
      </c>
      <c r="G107" s="26">
        <v>0</v>
      </c>
      <c r="H107" t="s">
        <v>78</v>
      </c>
      <c r="I107">
        <v>3</v>
      </c>
      <c r="J107">
        <f t="shared" si="44"/>
        <v>2019</v>
      </c>
      <c r="K107" s="24">
        <f t="shared" si="45"/>
        <v>2019.3333333333333</v>
      </c>
      <c r="L107" s="29">
        <f>((14612.94+16641.82+675)/75)*2</f>
        <v>851.46026666666671</v>
      </c>
      <c r="M107" s="29">
        <f t="shared" si="59"/>
        <v>851.46026666666671</v>
      </c>
      <c r="N107" s="29">
        <f t="shared" si="46"/>
        <v>23.651674074074077</v>
      </c>
      <c r="O107" s="29">
        <f t="shared" si="47"/>
        <v>283.8200888888889</v>
      </c>
      <c r="P107" s="29">
        <f t="shared" si="48"/>
        <v>0</v>
      </c>
      <c r="Q107" s="29">
        <f t="shared" si="49"/>
        <v>851.46026666666671</v>
      </c>
      <c r="R107" s="29">
        <f t="shared" si="60"/>
        <v>851.46026666666671</v>
      </c>
      <c r="S107" s="29">
        <f t="shared" si="51"/>
        <v>0</v>
      </c>
    </row>
    <row r="108" spans="1:19">
      <c r="B108" s="5">
        <v>169041</v>
      </c>
      <c r="C108">
        <v>4076</v>
      </c>
      <c r="D108" t="s">
        <v>597</v>
      </c>
      <c r="E108">
        <v>2016</v>
      </c>
      <c r="F108">
        <v>10</v>
      </c>
      <c r="G108" s="26">
        <v>0</v>
      </c>
      <c r="H108" t="s">
        <v>78</v>
      </c>
      <c r="I108">
        <v>10</v>
      </c>
      <c r="J108">
        <f t="shared" si="44"/>
        <v>2026</v>
      </c>
      <c r="K108" s="24">
        <f t="shared" si="45"/>
        <v>2026.8333333333333</v>
      </c>
      <c r="L108" s="29">
        <v>231607.35</v>
      </c>
      <c r="M108" s="29">
        <f t="shared" si="59"/>
        <v>231607.35</v>
      </c>
      <c r="N108" s="29">
        <f t="shared" si="46"/>
        <v>1930.06125</v>
      </c>
      <c r="O108" s="29">
        <f t="shared" si="47"/>
        <v>23160.735000000001</v>
      </c>
      <c r="P108" s="29">
        <f t="shared" si="48"/>
        <v>23160.735000000001</v>
      </c>
      <c r="Q108" s="29">
        <f t="shared" si="49"/>
        <v>152474.83875000352</v>
      </c>
      <c r="R108" s="29">
        <f t="shared" si="60"/>
        <v>175635.57375000353</v>
      </c>
      <c r="S108" s="29">
        <f t="shared" si="51"/>
        <v>55971.776249996474</v>
      </c>
    </row>
    <row r="109" spans="1:19">
      <c r="B109" s="5">
        <v>186157</v>
      </c>
      <c r="C109">
        <v>4046</v>
      </c>
      <c r="D109" t="s">
        <v>631</v>
      </c>
      <c r="E109">
        <v>2017</v>
      </c>
      <c r="F109">
        <v>9</v>
      </c>
      <c r="G109" s="26">
        <v>0</v>
      </c>
      <c r="H109" t="s">
        <v>78</v>
      </c>
      <c r="I109">
        <v>3</v>
      </c>
      <c r="J109">
        <f t="shared" si="44"/>
        <v>2020</v>
      </c>
      <c r="K109" s="24">
        <f t="shared" si="45"/>
        <v>2020.75</v>
      </c>
      <c r="L109" s="29">
        <v>59424.88</v>
      </c>
      <c r="M109" s="29">
        <f t="shared" si="59"/>
        <v>59424.88</v>
      </c>
      <c r="N109" s="29">
        <f t="shared" si="46"/>
        <v>1650.691111111111</v>
      </c>
      <c r="O109" s="29">
        <f t="shared" si="47"/>
        <v>19808.293333333331</v>
      </c>
      <c r="P109" s="29">
        <f t="shared" si="48"/>
        <v>0</v>
      </c>
      <c r="Q109" s="29">
        <f t="shared" si="49"/>
        <v>59424.88</v>
      </c>
      <c r="R109" s="29">
        <f t="shared" si="60"/>
        <v>59424.88</v>
      </c>
      <c r="S109" s="29">
        <f t="shared" si="51"/>
        <v>0</v>
      </c>
    </row>
    <row r="110" spans="1:19">
      <c r="B110" s="5">
        <v>186158</v>
      </c>
      <c r="C110">
        <v>4047</v>
      </c>
      <c r="D110" t="s">
        <v>631</v>
      </c>
      <c r="E110">
        <v>2017</v>
      </c>
      <c r="F110">
        <v>9</v>
      </c>
      <c r="G110" s="26">
        <v>0</v>
      </c>
      <c r="H110" t="s">
        <v>78</v>
      </c>
      <c r="I110">
        <v>3</v>
      </c>
      <c r="J110">
        <f t="shared" si="44"/>
        <v>2020</v>
      </c>
      <c r="K110" s="24">
        <f t="shared" si="45"/>
        <v>2020.75</v>
      </c>
      <c r="L110" s="29">
        <v>59424.88</v>
      </c>
      <c r="M110" s="29">
        <f t="shared" si="59"/>
        <v>59424.88</v>
      </c>
      <c r="N110" s="29">
        <f t="shared" si="46"/>
        <v>1650.691111111111</v>
      </c>
      <c r="O110" s="29">
        <f t="shared" si="47"/>
        <v>19808.293333333331</v>
      </c>
      <c r="P110" s="29">
        <f t="shared" si="48"/>
        <v>0</v>
      </c>
      <c r="Q110" s="29">
        <f t="shared" si="49"/>
        <v>59424.88</v>
      </c>
      <c r="R110" s="29">
        <f t="shared" si="60"/>
        <v>59424.88</v>
      </c>
      <c r="S110" s="29">
        <f t="shared" si="51"/>
        <v>0</v>
      </c>
    </row>
    <row r="111" spans="1:19">
      <c r="B111" s="5">
        <v>207237</v>
      </c>
      <c r="C111">
        <v>4082</v>
      </c>
      <c r="D111" t="s">
        <v>745</v>
      </c>
      <c r="E111">
        <v>2018</v>
      </c>
      <c r="F111">
        <v>12</v>
      </c>
      <c r="G111" s="26">
        <v>0</v>
      </c>
      <c r="H111" t="s">
        <v>78</v>
      </c>
      <c r="I111">
        <v>10</v>
      </c>
      <c r="J111">
        <f t="shared" si="44"/>
        <v>2028</v>
      </c>
      <c r="K111" s="24">
        <f t="shared" si="45"/>
        <v>2029</v>
      </c>
      <c r="L111" s="29">
        <v>250296.54</v>
      </c>
      <c r="M111" s="29">
        <f t="shared" si="59"/>
        <v>250296.54</v>
      </c>
      <c r="N111" s="29">
        <f t="shared" si="46"/>
        <v>2085.8045000000002</v>
      </c>
      <c r="O111" s="29">
        <f t="shared" ref="O111:O122" si="61">+N111*12</f>
        <v>25029.654000000002</v>
      </c>
      <c r="P111" s="29">
        <f t="shared" si="48"/>
        <v>25029.654000000002</v>
      </c>
      <c r="Q111" s="29">
        <f t="shared" si="49"/>
        <v>110547.63850000189</v>
      </c>
      <c r="R111" s="29">
        <f t="shared" si="60"/>
        <v>135577.2925000019</v>
      </c>
      <c r="S111" s="29">
        <f t="shared" si="51"/>
        <v>114719.24749999811</v>
      </c>
    </row>
    <row r="112" spans="1:19" s="62" customFormat="1">
      <c r="A112" s="116"/>
      <c r="B112" s="117"/>
      <c r="C112" s="116"/>
      <c r="D112" s="116" t="s">
        <v>791</v>
      </c>
      <c r="E112" s="116">
        <v>2019</v>
      </c>
      <c r="F112" s="116">
        <v>8</v>
      </c>
      <c r="G112" s="118">
        <v>0</v>
      </c>
      <c r="H112" s="116" t="s">
        <v>78</v>
      </c>
      <c r="I112" s="116">
        <v>3</v>
      </c>
      <c r="J112" s="116">
        <f t="shared" si="44"/>
        <v>2022</v>
      </c>
      <c r="K112" s="119">
        <f t="shared" si="45"/>
        <v>2022.6666666666667</v>
      </c>
      <c r="L112" s="120">
        <f>M227+M229+M234</f>
        <v>0</v>
      </c>
      <c r="M112" s="122">
        <f t="shared" ref="M112:M122" si="62">L112-L112*G112</f>
        <v>0</v>
      </c>
      <c r="N112" s="122">
        <f t="shared" ref="N112:N122" si="63">M112/I112/12</f>
        <v>0</v>
      </c>
      <c r="O112" s="122">
        <f t="shared" si="61"/>
        <v>0</v>
      </c>
      <c r="P112" s="122">
        <f t="shared" si="48"/>
        <v>0</v>
      </c>
      <c r="Q112" s="122">
        <f t="shared" si="49"/>
        <v>0</v>
      </c>
      <c r="R112" s="120">
        <f>IF(K112&lt;$N$6,L112,Q112+P112)</f>
        <v>0</v>
      </c>
      <c r="S112" s="120">
        <v>0</v>
      </c>
    </row>
    <row r="113" spans="1:19" s="47" customFormat="1">
      <c r="B113" s="5">
        <v>214065</v>
      </c>
      <c r="C113" s="47">
        <v>4083</v>
      </c>
      <c r="D113" s="47" t="s">
        <v>801</v>
      </c>
      <c r="E113" s="47">
        <v>2019</v>
      </c>
      <c r="F113" s="47">
        <v>5</v>
      </c>
      <c r="G113" s="32">
        <v>0</v>
      </c>
      <c r="H113" s="47" t="s">
        <v>78</v>
      </c>
      <c r="I113" s="47">
        <v>10</v>
      </c>
      <c r="J113" s="47">
        <f>E113+I113</f>
        <v>2029</v>
      </c>
      <c r="K113" s="53">
        <f>+J113+(F113/12)</f>
        <v>2029.4166666666667</v>
      </c>
      <c r="L113" s="54">
        <v>264454</v>
      </c>
      <c r="M113" s="54">
        <f t="shared" si="62"/>
        <v>264454</v>
      </c>
      <c r="N113" s="54">
        <f t="shared" si="63"/>
        <v>2203.7833333333333</v>
      </c>
      <c r="O113" s="54">
        <f t="shared" si="61"/>
        <v>26445.4</v>
      </c>
      <c r="P113" s="54">
        <f t="shared" si="48"/>
        <v>26445.4</v>
      </c>
      <c r="Q113" s="54">
        <f t="shared" si="49"/>
        <v>105781.6</v>
      </c>
      <c r="R113" s="29">
        <f t="shared" ref="R113:R122" si="64">IF(K113&lt;$N$6,L113,Q113+P113)</f>
        <v>132227</v>
      </c>
      <c r="S113" s="54">
        <f t="shared" ref="S113:S122" si="65">+L113-R113</f>
        <v>132227</v>
      </c>
    </row>
    <row r="114" spans="1:19" s="47" customFormat="1">
      <c r="B114" s="55" t="s">
        <v>816</v>
      </c>
      <c r="C114" s="47">
        <v>4068</v>
      </c>
      <c r="D114" s="47" t="s">
        <v>817</v>
      </c>
      <c r="E114" s="47">
        <v>2019</v>
      </c>
      <c r="F114" s="47">
        <v>7</v>
      </c>
      <c r="G114" s="32">
        <v>0</v>
      </c>
      <c r="H114" s="47" t="s">
        <v>78</v>
      </c>
      <c r="I114" s="47">
        <v>3</v>
      </c>
      <c r="J114" s="47">
        <f>E114+I114</f>
        <v>2022</v>
      </c>
      <c r="K114" s="53">
        <f>+J114+(F114/12)</f>
        <v>2022.5833333333333</v>
      </c>
      <c r="L114" s="54">
        <f>35401.68+2748.77</f>
        <v>38150.449999999997</v>
      </c>
      <c r="M114" s="54">
        <f t="shared" si="62"/>
        <v>38150.449999999997</v>
      </c>
      <c r="N114" s="54">
        <f t="shared" si="63"/>
        <v>1059.7347222222222</v>
      </c>
      <c r="O114" s="54">
        <f t="shared" si="61"/>
        <v>12716.816666666666</v>
      </c>
      <c r="P114" s="54">
        <f t="shared" si="48"/>
        <v>0</v>
      </c>
      <c r="Q114" s="54">
        <f t="shared" si="49"/>
        <v>38150.449999999997</v>
      </c>
      <c r="R114" s="29">
        <f t="shared" si="64"/>
        <v>38150.449999999997</v>
      </c>
      <c r="S114" s="54">
        <f t="shared" si="65"/>
        <v>0</v>
      </c>
    </row>
    <row r="115" spans="1:19" s="47" customFormat="1">
      <c r="B115" s="55">
        <v>219762</v>
      </c>
      <c r="C115" s="47">
        <v>4084</v>
      </c>
      <c r="D115" s="47" t="s">
        <v>833</v>
      </c>
      <c r="E115" s="47">
        <v>2019</v>
      </c>
      <c r="F115" s="47">
        <v>9</v>
      </c>
      <c r="G115" s="32">
        <v>0</v>
      </c>
      <c r="H115" s="47" t="s">
        <v>78</v>
      </c>
      <c r="I115" s="47">
        <v>10</v>
      </c>
      <c r="J115" s="47">
        <f>E115+I115</f>
        <v>2029</v>
      </c>
      <c r="K115" s="53">
        <f>+J115+(F115/12)</f>
        <v>2029.75</v>
      </c>
      <c r="L115" s="54">
        <f>255725.48+220.79+4598.5+791.55+633.95</f>
        <v>261970.27000000002</v>
      </c>
      <c r="M115" s="54">
        <f t="shared" si="62"/>
        <v>261970.27000000002</v>
      </c>
      <c r="N115" s="54">
        <f t="shared" si="63"/>
        <v>2183.0855833333335</v>
      </c>
      <c r="O115" s="54">
        <f t="shared" si="61"/>
        <v>26197.027000000002</v>
      </c>
      <c r="P115" s="54">
        <f t="shared" si="48"/>
        <v>26197.027000000002</v>
      </c>
      <c r="Q115" s="54">
        <f t="shared" si="49"/>
        <v>96055.765666668653</v>
      </c>
      <c r="R115" s="29">
        <f t="shared" si="64"/>
        <v>122252.79266666865</v>
      </c>
      <c r="S115" s="54">
        <f t="shared" si="65"/>
        <v>139717.47733333136</v>
      </c>
    </row>
    <row r="116" spans="1:19" s="47" customFormat="1">
      <c r="B116" s="55">
        <v>219763</v>
      </c>
      <c r="C116" s="47">
        <v>4085</v>
      </c>
      <c r="D116" s="47" t="s">
        <v>833</v>
      </c>
      <c r="E116" s="47">
        <v>2019</v>
      </c>
      <c r="F116" s="47">
        <v>11</v>
      </c>
      <c r="G116" s="32">
        <v>0</v>
      </c>
      <c r="H116" s="47" t="s">
        <v>78</v>
      </c>
      <c r="I116" s="47">
        <v>10</v>
      </c>
      <c r="J116" s="47">
        <f t="shared" ref="J116:J122" si="66">E116+I116</f>
        <v>2029</v>
      </c>
      <c r="K116" s="53">
        <f t="shared" ref="K116:K122" si="67">+J116+(F116/12)</f>
        <v>2029.9166666666667</v>
      </c>
      <c r="L116" s="54">
        <f>184414.76+71276.72+791.55+220.79+633.95+3988.84</f>
        <v>261326.61000000002</v>
      </c>
      <c r="M116" s="54">
        <f t="shared" si="62"/>
        <v>261326.61000000002</v>
      </c>
      <c r="N116" s="54">
        <f t="shared" si="63"/>
        <v>2177.7217500000002</v>
      </c>
      <c r="O116" s="54">
        <f t="shared" si="61"/>
        <v>26132.661</v>
      </c>
      <c r="P116" s="54">
        <f t="shared" si="48"/>
        <v>26132.661</v>
      </c>
      <c r="Q116" s="54">
        <f t="shared" si="49"/>
        <v>91464.313499999989</v>
      </c>
      <c r="R116" s="29">
        <f t="shared" si="64"/>
        <v>117596.97449999998</v>
      </c>
      <c r="S116" s="54">
        <f t="shared" si="65"/>
        <v>143729.63550000003</v>
      </c>
    </row>
    <row r="117" spans="1:19" s="47" customFormat="1">
      <c r="B117" s="55" t="s">
        <v>839</v>
      </c>
      <c r="C117" s="47">
        <v>4089</v>
      </c>
      <c r="D117" s="47" t="s">
        <v>838</v>
      </c>
      <c r="E117" s="47">
        <v>2020</v>
      </c>
      <c r="F117" s="47">
        <v>9</v>
      </c>
      <c r="G117" s="32">
        <v>0</v>
      </c>
      <c r="H117" s="47" t="s">
        <v>78</v>
      </c>
      <c r="I117" s="47">
        <v>10</v>
      </c>
      <c r="J117" s="47">
        <f t="shared" si="66"/>
        <v>2030</v>
      </c>
      <c r="K117" s="53">
        <f t="shared" si="67"/>
        <v>2030.75</v>
      </c>
      <c r="L117" s="54">
        <f>269291.76+427.45+1009.58</f>
        <v>270728.79000000004</v>
      </c>
      <c r="M117" s="54">
        <f t="shared" si="62"/>
        <v>270728.79000000004</v>
      </c>
      <c r="N117" s="54">
        <f t="shared" si="63"/>
        <v>2256.0732500000004</v>
      </c>
      <c r="O117" s="54">
        <f t="shared" si="61"/>
        <v>27072.879000000004</v>
      </c>
      <c r="P117" s="54">
        <f t="shared" si="48"/>
        <v>27072.879000000004</v>
      </c>
      <c r="Q117" s="54">
        <f t="shared" si="49"/>
        <v>72194.344000002049</v>
      </c>
      <c r="R117" s="29">
        <f t="shared" si="64"/>
        <v>99267.22300000205</v>
      </c>
      <c r="S117" s="54">
        <f t="shared" si="65"/>
        <v>171461.566999998</v>
      </c>
    </row>
    <row r="118" spans="1:19" s="47" customFormat="1" ht="15">
      <c r="B118" s="55">
        <v>236404</v>
      </c>
      <c r="C118" s="47">
        <v>4523</v>
      </c>
      <c r="D118" s="60" t="s">
        <v>840</v>
      </c>
      <c r="E118" s="47">
        <v>2020</v>
      </c>
      <c r="F118" s="47">
        <v>8</v>
      </c>
      <c r="G118" s="32">
        <v>0</v>
      </c>
      <c r="H118" s="47" t="s">
        <v>78</v>
      </c>
      <c r="I118" s="47">
        <v>10</v>
      </c>
      <c r="J118" s="47">
        <f>E118+I118</f>
        <v>2030</v>
      </c>
      <c r="K118" s="53">
        <f>+J118+(F118/12)</f>
        <v>2030.6666666666667</v>
      </c>
      <c r="L118" s="54">
        <v>154004.04</v>
      </c>
      <c r="M118" s="54">
        <f t="shared" si="62"/>
        <v>154004.04</v>
      </c>
      <c r="N118" s="54">
        <f t="shared" si="63"/>
        <v>1283.367</v>
      </c>
      <c r="O118" s="54">
        <f t="shared" si="61"/>
        <v>15400.403999999999</v>
      </c>
      <c r="P118" s="54">
        <f t="shared" si="48"/>
        <v>15400.403999999999</v>
      </c>
      <c r="Q118" s="54">
        <f t="shared" si="49"/>
        <v>42351.111000000004</v>
      </c>
      <c r="R118" s="29">
        <f t="shared" si="64"/>
        <v>57751.514999999999</v>
      </c>
      <c r="S118" s="54">
        <f t="shared" si="65"/>
        <v>96252.525000000009</v>
      </c>
    </row>
    <row r="119" spans="1:19" s="47" customFormat="1" ht="15">
      <c r="B119" s="55" t="s">
        <v>841</v>
      </c>
      <c r="C119" s="47">
        <v>4523</v>
      </c>
      <c r="D119" s="60" t="s">
        <v>842</v>
      </c>
      <c r="E119" s="47">
        <v>2020</v>
      </c>
      <c r="F119" s="47">
        <v>8</v>
      </c>
      <c r="G119" s="32">
        <v>0</v>
      </c>
      <c r="H119" s="47" t="s">
        <v>78</v>
      </c>
      <c r="I119" s="47">
        <v>5</v>
      </c>
      <c r="J119" s="47">
        <f>E119+I119</f>
        <v>2025</v>
      </c>
      <c r="K119" s="53">
        <f>+J119+(F119/12)</f>
        <v>2025.6666666666667</v>
      </c>
      <c r="L119" s="54">
        <v>342.97</v>
      </c>
      <c r="M119" s="54">
        <f t="shared" si="62"/>
        <v>342.97</v>
      </c>
      <c r="N119" s="54">
        <f t="shared" si="63"/>
        <v>5.7161666666666671</v>
      </c>
      <c r="O119" s="54">
        <f t="shared" si="61"/>
        <v>68.594000000000008</v>
      </c>
      <c r="P119" s="54">
        <f t="shared" si="48"/>
        <v>68.594000000000008</v>
      </c>
      <c r="Q119" s="54">
        <f t="shared" si="49"/>
        <v>188.63350000000003</v>
      </c>
      <c r="R119" s="29">
        <f t="shared" si="64"/>
        <v>257.22750000000002</v>
      </c>
      <c r="S119" s="54">
        <f t="shared" si="65"/>
        <v>85.742500000000007</v>
      </c>
    </row>
    <row r="120" spans="1:19" s="47" customFormat="1" ht="15">
      <c r="B120" s="55" t="s">
        <v>874</v>
      </c>
      <c r="C120" s="47">
        <v>4523</v>
      </c>
      <c r="D120" s="60" t="s">
        <v>875</v>
      </c>
      <c r="E120" s="47">
        <v>2020</v>
      </c>
      <c r="F120" s="47">
        <v>9</v>
      </c>
      <c r="G120" s="32">
        <v>0</v>
      </c>
      <c r="H120" s="47" t="s">
        <v>78</v>
      </c>
      <c r="I120" s="47">
        <v>10</v>
      </c>
      <c r="J120" s="47">
        <f>E120+I120</f>
        <v>2030</v>
      </c>
      <c r="K120" s="53">
        <f>+J120+(F120/12)</f>
        <v>2030.75</v>
      </c>
      <c r="L120" s="54">
        <v>268.02999999999997</v>
      </c>
      <c r="M120" s="54">
        <f t="shared" si="62"/>
        <v>268.02999999999997</v>
      </c>
      <c r="N120" s="54">
        <f t="shared" si="63"/>
        <v>2.2335833333333333</v>
      </c>
      <c r="O120" s="54">
        <f t="shared" si="61"/>
        <v>26.802999999999997</v>
      </c>
      <c r="P120" s="54">
        <f t="shared" si="48"/>
        <v>26.802999999999997</v>
      </c>
      <c r="Q120" s="54">
        <f t="shared" si="49"/>
        <v>71.474666666668668</v>
      </c>
      <c r="R120" s="29">
        <f t="shared" si="64"/>
        <v>98.277666666668665</v>
      </c>
      <c r="S120" s="54">
        <f t="shared" si="65"/>
        <v>169.75233333333131</v>
      </c>
    </row>
    <row r="121" spans="1:19" s="47" customFormat="1" ht="15">
      <c r="B121" s="55" t="s">
        <v>876</v>
      </c>
      <c r="C121" s="47">
        <v>4523</v>
      </c>
      <c r="D121" s="60" t="s">
        <v>877</v>
      </c>
      <c r="E121" s="47">
        <v>2020</v>
      </c>
      <c r="F121" s="47">
        <v>9</v>
      </c>
      <c r="G121" s="32">
        <v>0</v>
      </c>
      <c r="H121" s="47" t="s">
        <v>78</v>
      </c>
      <c r="I121" s="47">
        <v>10</v>
      </c>
      <c r="J121" s="47">
        <f>E121+I121</f>
        <v>2030</v>
      </c>
      <c r="K121" s="53">
        <f>+J121+(F121/12)</f>
        <v>2030.75</v>
      </c>
      <c r="L121" s="54">
        <v>537.99</v>
      </c>
      <c r="M121" s="54">
        <f t="shared" si="62"/>
        <v>537.99</v>
      </c>
      <c r="N121" s="54">
        <f t="shared" si="63"/>
        <v>4.48325</v>
      </c>
      <c r="O121" s="54">
        <f t="shared" si="61"/>
        <v>53.798999999999999</v>
      </c>
      <c r="P121" s="54">
        <f t="shared" si="48"/>
        <v>53.798999999999999</v>
      </c>
      <c r="Q121" s="54">
        <f t="shared" si="49"/>
        <v>143.46400000000409</v>
      </c>
      <c r="R121" s="29">
        <f t="shared" si="64"/>
        <v>197.2630000000041</v>
      </c>
      <c r="S121" s="54">
        <f t="shared" si="65"/>
        <v>340.72699999999588</v>
      </c>
    </row>
    <row r="122" spans="1:19" s="47" customFormat="1">
      <c r="B122" s="55" t="s">
        <v>873</v>
      </c>
      <c r="C122" s="47">
        <v>4089</v>
      </c>
      <c r="D122" s="47" t="s">
        <v>729</v>
      </c>
      <c r="E122" s="47">
        <v>2020</v>
      </c>
      <c r="F122" s="47">
        <v>8</v>
      </c>
      <c r="G122" s="32">
        <v>0</v>
      </c>
      <c r="H122" s="47" t="s">
        <v>78</v>
      </c>
      <c r="I122" s="47">
        <v>10</v>
      </c>
      <c r="J122" s="47">
        <f t="shared" si="66"/>
        <v>2030</v>
      </c>
      <c r="K122" s="53">
        <f t="shared" si="67"/>
        <v>2030.6666666666667</v>
      </c>
      <c r="L122" s="54">
        <v>220.99</v>
      </c>
      <c r="M122" s="54">
        <f t="shared" si="62"/>
        <v>220.99</v>
      </c>
      <c r="N122" s="54">
        <f t="shared" si="63"/>
        <v>1.8415833333333333</v>
      </c>
      <c r="O122" s="54">
        <f t="shared" si="61"/>
        <v>22.099</v>
      </c>
      <c r="P122" s="54">
        <f t="shared" si="48"/>
        <v>22.099</v>
      </c>
      <c r="Q122" s="54">
        <f t="shared" si="49"/>
        <v>60.772250000000014</v>
      </c>
      <c r="R122" s="29">
        <f t="shared" si="64"/>
        <v>82.871250000000018</v>
      </c>
      <c r="S122" s="54">
        <f t="shared" si="65"/>
        <v>138.11874999999998</v>
      </c>
    </row>
    <row r="123" spans="1:19">
      <c r="L123" s="29"/>
      <c r="M123" s="29"/>
      <c r="N123" s="29"/>
      <c r="O123" s="29"/>
      <c r="P123" s="29"/>
      <c r="Q123" s="29"/>
      <c r="R123" s="29"/>
      <c r="S123" s="29"/>
    </row>
    <row r="124" spans="1:19">
      <c r="C124" s="2">
        <v>11</v>
      </c>
      <c r="D124" s="2" t="s">
        <v>146</v>
      </c>
      <c r="L124" s="76">
        <f t="shared" ref="L124:S124" si="68">SUM(L85:L123)</f>
        <v>2691210.7802666668</v>
      </c>
      <c r="M124" s="76">
        <f t="shared" si="68"/>
        <v>2691210.7802666668</v>
      </c>
      <c r="N124" s="76">
        <f t="shared" si="68"/>
        <v>31902.107812962968</v>
      </c>
      <c r="O124" s="76">
        <f t="shared" si="68"/>
        <v>382825.29375555558</v>
      </c>
      <c r="P124" s="76">
        <f t="shared" si="68"/>
        <v>169610.05500000005</v>
      </c>
      <c r="Q124" s="76">
        <f t="shared" si="68"/>
        <v>1666787.1561000093</v>
      </c>
      <c r="R124" s="76">
        <f t="shared" si="68"/>
        <v>1836397.2111000093</v>
      </c>
      <c r="S124" s="76">
        <f t="shared" si="68"/>
        <v>854813.56916665728</v>
      </c>
    </row>
    <row r="125" spans="1:19">
      <c r="K125" s="78"/>
      <c r="L125" s="29"/>
      <c r="M125" s="29"/>
      <c r="N125" s="29"/>
      <c r="O125" s="29"/>
      <c r="P125" s="29"/>
      <c r="Q125" s="29"/>
      <c r="R125" s="29"/>
      <c r="S125" s="29"/>
    </row>
    <row r="126" spans="1:19">
      <c r="K126" s="78"/>
      <c r="L126" s="29"/>
      <c r="M126" s="29"/>
      <c r="N126" s="29"/>
      <c r="O126" s="29"/>
      <c r="P126" s="29"/>
      <c r="Q126" s="29"/>
      <c r="R126" s="29"/>
      <c r="S126" s="29"/>
    </row>
    <row r="127" spans="1:19">
      <c r="D127" s="2" t="s">
        <v>386</v>
      </c>
      <c r="L127" s="29"/>
      <c r="M127" s="29"/>
      <c r="N127" s="29"/>
      <c r="O127" s="29"/>
      <c r="P127" s="29"/>
      <c r="Q127" s="29"/>
      <c r="R127" s="29"/>
      <c r="S127" s="29"/>
    </row>
    <row r="128" spans="1:19">
      <c r="A128" t="s">
        <v>284</v>
      </c>
      <c r="C128">
        <v>3604</v>
      </c>
      <c r="D128" t="s">
        <v>162</v>
      </c>
      <c r="E128">
        <v>2007</v>
      </c>
      <c r="F128">
        <v>4</v>
      </c>
      <c r="G128" s="26">
        <v>0</v>
      </c>
      <c r="H128" t="s">
        <v>78</v>
      </c>
      <c r="I128">
        <v>7</v>
      </c>
      <c r="J128">
        <f t="shared" ref="J128:J147" si="69">E128+I128</f>
        <v>2014</v>
      </c>
      <c r="K128" s="24">
        <f t="shared" ref="K128:K137" si="70">+J128+(F128/12)</f>
        <v>2014.3333333333333</v>
      </c>
      <c r="L128" s="29">
        <f>'Orig Trucks 2183'!P132</f>
        <v>155764.03200000001</v>
      </c>
      <c r="M128" s="29">
        <f>L128-L128*G128</f>
        <v>155764.03200000001</v>
      </c>
      <c r="N128" s="29">
        <f t="shared" ref="N128:N146" si="71">M128/I128/12</f>
        <v>1854.3337142857144</v>
      </c>
      <c r="O128" s="29">
        <f t="shared" ref="O128:O145" si="72">+N128*12</f>
        <v>22252.004571428573</v>
      </c>
      <c r="P128" s="29">
        <f t="shared" ref="P128:P152" si="73">+IF($K128&lt;$N$7,0,IF($K128&gt;$N$6,$O128,((($K128-$N$7)*12)*$N128)))</f>
        <v>0</v>
      </c>
      <c r="Q128" s="29">
        <f t="shared" ref="Q128:Q152" si="74">+IF($K128&lt;=$N$7,$M128,IF(($E128+($F128/12))&gt;=$N$7,0,((($M128-((($K128-$N$7)*12)*$N128))))))</f>
        <v>155764.03200000001</v>
      </c>
      <c r="R128" s="29">
        <f t="shared" ref="R128" si="75">IF(K128&lt;$N$6,L128,Q128+P128)</f>
        <v>155764.03200000001</v>
      </c>
      <c r="S128" s="29">
        <f t="shared" ref="S128:S146" si="76">+L128-R128</f>
        <v>0</v>
      </c>
    </row>
    <row r="129" spans="1:19">
      <c r="A129" s="116"/>
      <c r="B129" s="116"/>
      <c r="C129" s="117">
        <v>3604</v>
      </c>
      <c r="D129" s="116" t="s">
        <v>694</v>
      </c>
      <c r="E129" s="116">
        <v>2019</v>
      </c>
      <c r="F129" s="116">
        <v>8</v>
      </c>
      <c r="G129" s="118">
        <v>0</v>
      </c>
      <c r="H129" s="116" t="s">
        <v>78</v>
      </c>
      <c r="I129" s="116">
        <v>3</v>
      </c>
      <c r="J129" s="116">
        <f t="shared" si="69"/>
        <v>2022</v>
      </c>
      <c r="K129" s="119">
        <f t="shared" si="70"/>
        <v>2022.6666666666667</v>
      </c>
      <c r="L129" s="120">
        <f>'Orig Trucks 2183'!N132-'Trucks 2183'!L128</f>
        <v>38941.008000000002</v>
      </c>
      <c r="M129" s="120">
        <f>L129-(L129*G129)</f>
        <v>38941.008000000002</v>
      </c>
      <c r="N129" s="120">
        <f t="shared" si="71"/>
        <v>1081.6946666666668</v>
      </c>
      <c r="O129" s="120">
        <f>+N129*12</f>
        <v>12980.336000000001</v>
      </c>
      <c r="P129" s="120">
        <f t="shared" si="73"/>
        <v>0</v>
      </c>
      <c r="Q129" s="120">
        <f t="shared" si="74"/>
        <v>38941.008000000002</v>
      </c>
      <c r="R129" s="120">
        <f>IF(K129&lt;$N$6,L129,Q129+P129)</f>
        <v>38941.008000000002</v>
      </c>
      <c r="S129" s="120">
        <f t="shared" si="76"/>
        <v>0</v>
      </c>
    </row>
    <row r="130" spans="1:19">
      <c r="A130" t="s">
        <v>284</v>
      </c>
      <c r="C130">
        <v>3605</v>
      </c>
      <c r="D130" t="s">
        <v>381</v>
      </c>
      <c r="E130">
        <v>2007</v>
      </c>
      <c r="F130">
        <v>7</v>
      </c>
      <c r="G130" s="26">
        <v>0</v>
      </c>
      <c r="H130" t="s">
        <v>78</v>
      </c>
      <c r="I130">
        <v>7</v>
      </c>
      <c r="J130">
        <f>E130+I130</f>
        <v>2014</v>
      </c>
      <c r="K130" s="24">
        <f t="shared" si="70"/>
        <v>2014.5833333333333</v>
      </c>
      <c r="L130" s="29">
        <f>'Orig Trucks 2183'!P158</f>
        <v>155764.03200000001</v>
      </c>
      <c r="M130" s="29">
        <f>L130-L130*G130</f>
        <v>155764.03200000001</v>
      </c>
      <c r="N130" s="29">
        <f>M130/I130/12</f>
        <v>1854.3337142857144</v>
      </c>
      <c r="O130" s="29">
        <f>+N130*12</f>
        <v>22252.004571428573</v>
      </c>
      <c r="P130" s="29">
        <f t="shared" si="73"/>
        <v>0</v>
      </c>
      <c r="Q130" s="29">
        <f t="shared" si="74"/>
        <v>155764.03200000001</v>
      </c>
      <c r="R130" s="29">
        <f t="shared" ref="R130" si="77">IF(K130&lt;$N$6,L130,Q130+P130)</f>
        <v>155764.03200000001</v>
      </c>
      <c r="S130" s="29">
        <f>+L130-R130</f>
        <v>0</v>
      </c>
    </row>
    <row r="131" spans="1:19">
      <c r="A131" s="116"/>
      <c r="B131" s="116"/>
      <c r="C131" s="117">
        <v>3605</v>
      </c>
      <c r="D131" s="116" t="s">
        <v>699</v>
      </c>
      <c r="E131" s="116">
        <v>2019</v>
      </c>
      <c r="F131" s="116">
        <v>8</v>
      </c>
      <c r="G131" s="118">
        <v>0</v>
      </c>
      <c r="H131" s="116" t="s">
        <v>78</v>
      </c>
      <c r="I131" s="116">
        <v>3</v>
      </c>
      <c r="J131" s="116">
        <f>E131+I131</f>
        <v>2022</v>
      </c>
      <c r="K131" s="119">
        <f t="shared" si="70"/>
        <v>2022.6666666666667</v>
      </c>
      <c r="L131" s="120">
        <f>'Orig Trucks 2183'!N158-'Trucks 2183'!L130</f>
        <v>38941.008000000002</v>
      </c>
      <c r="M131" s="120">
        <f>L131-(L131*G131)</f>
        <v>38941.008000000002</v>
      </c>
      <c r="N131" s="120">
        <f>M131/I131/12</f>
        <v>1081.6946666666668</v>
      </c>
      <c r="O131" s="120">
        <f>+N131*12</f>
        <v>12980.336000000001</v>
      </c>
      <c r="P131" s="120">
        <f t="shared" si="73"/>
        <v>0</v>
      </c>
      <c r="Q131" s="120">
        <f t="shared" si="74"/>
        <v>38941.008000000002</v>
      </c>
      <c r="R131" s="120">
        <f>IF(K131&lt;$N$6,L131,Q131+P131)</f>
        <v>38941.008000000002</v>
      </c>
      <c r="S131" s="120">
        <f>+L131-R131</f>
        <v>0</v>
      </c>
    </row>
    <row r="132" spans="1:19">
      <c r="A132" t="s">
        <v>284</v>
      </c>
      <c r="C132">
        <v>3615</v>
      </c>
      <c r="D132" t="s">
        <v>162</v>
      </c>
      <c r="E132">
        <v>2007</v>
      </c>
      <c r="F132">
        <v>8</v>
      </c>
      <c r="G132" s="26">
        <v>0</v>
      </c>
      <c r="H132" t="s">
        <v>78</v>
      </c>
      <c r="I132">
        <v>7</v>
      </c>
      <c r="J132">
        <f t="shared" si="69"/>
        <v>2014</v>
      </c>
      <c r="K132" s="24">
        <f t="shared" si="70"/>
        <v>2014.6666666666667</v>
      </c>
      <c r="L132" s="29">
        <f>'Orig Trucks 2183'!P134</f>
        <v>155764.03200000001</v>
      </c>
      <c r="M132" s="29">
        <f>L132-L132*G132</f>
        <v>155764.03200000001</v>
      </c>
      <c r="N132" s="29">
        <f t="shared" si="71"/>
        <v>1854.3337142857144</v>
      </c>
      <c r="O132" s="29">
        <f t="shared" si="72"/>
        <v>22252.004571428573</v>
      </c>
      <c r="P132" s="29">
        <f t="shared" si="73"/>
        <v>0</v>
      </c>
      <c r="Q132" s="29">
        <f t="shared" si="74"/>
        <v>155764.03200000001</v>
      </c>
      <c r="R132" s="29">
        <f t="shared" ref="R132" si="78">IF(K132&lt;$N$6,L132,Q132+P132)</f>
        <v>155764.03200000001</v>
      </c>
      <c r="S132" s="29">
        <f t="shared" si="76"/>
        <v>0</v>
      </c>
    </row>
    <row r="133" spans="1:19">
      <c r="A133" s="116"/>
      <c r="B133" s="116"/>
      <c r="C133" s="117">
        <v>3615</v>
      </c>
      <c r="D133" s="116" t="s">
        <v>695</v>
      </c>
      <c r="E133" s="116">
        <v>2019</v>
      </c>
      <c r="F133" s="116">
        <v>8</v>
      </c>
      <c r="G133" s="118">
        <v>0</v>
      </c>
      <c r="H133" s="116" t="s">
        <v>78</v>
      </c>
      <c r="I133" s="116">
        <v>3</v>
      </c>
      <c r="J133" s="116">
        <f t="shared" si="69"/>
        <v>2022</v>
      </c>
      <c r="K133" s="119">
        <f t="shared" si="70"/>
        <v>2022.6666666666667</v>
      </c>
      <c r="L133" s="120">
        <f>'Orig Trucks 2183'!N134-'Trucks 2183'!L132</f>
        <v>38941.008000000002</v>
      </c>
      <c r="M133" s="120">
        <f>L133-(L133*G133)</f>
        <v>38941.008000000002</v>
      </c>
      <c r="N133" s="120">
        <f t="shared" si="71"/>
        <v>1081.6946666666668</v>
      </c>
      <c r="O133" s="120">
        <f>+N133*12</f>
        <v>12980.336000000001</v>
      </c>
      <c r="P133" s="120">
        <f t="shared" si="73"/>
        <v>0</v>
      </c>
      <c r="Q133" s="120">
        <f t="shared" si="74"/>
        <v>38941.008000000002</v>
      </c>
      <c r="R133" s="120">
        <f>IF(K133&lt;$N$6,L133,Q133+P133)</f>
        <v>38941.008000000002</v>
      </c>
      <c r="S133" s="120">
        <f t="shared" si="76"/>
        <v>0</v>
      </c>
    </row>
    <row r="134" spans="1:19">
      <c r="A134" t="s">
        <v>311</v>
      </c>
      <c r="C134">
        <v>68612</v>
      </c>
      <c r="D134" t="s">
        <v>325</v>
      </c>
      <c r="E134">
        <v>2009</v>
      </c>
      <c r="F134">
        <v>7</v>
      </c>
      <c r="G134" s="26">
        <v>0</v>
      </c>
      <c r="H134" t="s">
        <v>78</v>
      </c>
      <c r="I134">
        <v>5</v>
      </c>
      <c r="J134">
        <f t="shared" si="69"/>
        <v>2014</v>
      </c>
      <c r="K134" s="24">
        <f t="shared" si="70"/>
        <v>2014.5833333333333</v>
      </c>
      <c r="L134" s="29">
        <f>'Orig Trucks 2183'!P137</f>
        <v>9643.3502000000008</v>
      </c>
      <c r="M134" s="29">
        <f>L134-L134*G134</f>
        <v>9643.3502000000008</v>
      </c>
      <c r="N134" s="29">
        <f t="shared" si="71"/>
        <v>160.72250333333335</v>
      </c>
      <c r="O134" s="29">
        <f t="shared" si="72"/>
        <v>1928.6700400000002</v>
      </c>
      <c r="P134" s="29">
        <f t="shared" si="73"/>
        <v>0</v>
      </c>
      <c r="Q134" s="29">
        <f t="shared" si="74"/>
        <v>9643.3502000000008</v>
      </c>
      <c r="R134" s="29">
        <f t="shared" ref="R134" si="79">IF(K134&lt;$N$6,L134,Q134+P134)</f>
        <v>9643.3502000000008</v>
      </c>
      <c r="S134" s="29">
        <f t="shared" si="76"/>
        <v>0</v>
      </c>
    </row>
    <row r="135" spans="1:19">
      <c r="A135" s="116"/>
      <c r="B135" s="116"/>
      <c r="C135" s="117">
        <v>68612</v>
      </c>
      <c r="D135" s="116" t="s">
        <v>696</v>
      </c>
      <c r="E135" s="116">
        <v>2019</v>
      </c>
      <c r="F135" s="116">
        <v>8</v>
      </c>
      <c r="G135" s="118">
        <v>0</v>
      </c>
      <c r="H135" s="116" t="s">
        <v>78</v>
      </c>
      <c r="I135" s="116">
        <v>3</v>
      </c>
      <c r="J135" s="116">
        <f t="shared" si="69"/>
        <v>2022</v>
      </c>
      <c r="K135" s="119">
        <f t="shared" si="70"/>
        <v>2022.6666666666667</v>
      </c>
      <c r="L135" s="120">
        <f>'Orig Trucks 2183'!N137-'Trucks 2183'!L134</f>
        <v>4749.7097999999987</v>
      </c>
      <c r="M135" s="120">
        <f>L135-(L135*G135)</f>
        <v>4749.7097999999987</v>
      </c>
      <c r="N135" s="120">
        <f t="shared" si="71"/>
        <v>131.93638333333328</v>
      </c>
      <c r="O135" s="120">
        <f>+N135*12</f>
        <v>1583.2365999999993</v>
      </c>
      <c r="P135" s="120">
        <f t="shared" si="73"/>
        <v>0</v>
      </c>
      <c r="Q135" s="120">
        <f t="shared" si="74"/>
        <v>4749.7097999999987</v>
      </c>
      <c r="R135" s="120">
        <f>IF(K135&lt;$N$6,L135,Q135+P135)</f>
        <v>4749.7097999999987</v>
      </c>
      <c r="S135" s="120">
        <f t="shared" si="76"/>
        <v>0</v>
      </c>
    </row>
    <row r="136" spans="1:19">
      <c r="B136" s="5">
        <v>88721</v>
      </c>
      <c r="D136" t="s">
        <v>438</v>
      </c>
      <c r="E136">
        <v>2011</v>
      </c>
      <c r="F136">
        <v>12</v>
      </c>
      <c r="G136" s="26">
        <v>0</v>
      </c>
      <c r="H136" t="s">
        <v>78</v>
      </c>
      <c r="I136">
        <v>5</v>
      </c>
      <c r="J136">
        <f t="shared" si="69"/>
        <v>2016</v>
      </c>
      <c r="K136" s="24">
        <f t="shared" si="70"/>
        <v>2017</v>
      </c>
      <c r="L136" s="29">
        <f>487.65*18</f>
        <v>8777.6999999999989</v>
      </c>
      <c r="M136" s="29">
        <f t="shared" ref="M136:M146" si="80">L136-L136*G136</f>
        <v>8777.6999999999989</v>
      </c>
      <c r="N136" s="29">
        <f t="shared" si="71"/>
        <v>146.29499999999999</v>
      </c>
      <c r="O136" s="29">
        <f t="shared" si="72"/>
        <v>1755.54</v>
      </c>
      <c r="P136" s="29">
        <f t="shared" si="73"/>
        <v>0</v>
      </c>
      <c r="Q136" s="29">
        <f t="shared" si="74"/>
        <v>8777.6999999999989</v>
      </c>
      <c r="R136" s="29">
        <f t="shared" ref="R136:R149" si="81">IF(K136&lt;$N$6,L136,Q136+P136)</f>
        <v>8777.6999999999989</v>
      </c>
      <c r="S136" s="29">
        <f t="shared" si="76"/>
        <v>0</v>
      </c>
    </row>
    <row r="137" spans="1:19">
      <c r="A137" t="s">
        <v>462</v>
      </c>
      <c r="B137" s="5" t="s">
        <v>463</v>
      </c>
      <c r="C137">
        <v>3632</v>
      </c>
      <c r="D137" t="s">
        <v>441</v>
      </c>
      <c r="E137">
        <v>2012</v>
      </c>
      <c r="F137">
        <v>8</v>
      </c>
      <c r="G137" s="26">
        <v>0</v>
      </c>
      <c r="H137" t="s">
        <v>78</v>
      </c>
      <c r="I137">
        <v>9</v>
      </c>
      <c r="J137">
        <f>E137+I137</f>
        <v>2021</v>
      </c>
      <c r="K137" s="24">
        <f t="shared" si="70"/>
        <v>2021.6666666666667</v>
      </c>
      <c r="L137" s="29">
        <f>297122+8555+23411</f>
        <v>329088</v>
      </c>
      <c r="M137" s="29">
        <f>L137-L137*G137</f>
        <v>329088</v>
      </c>
      <c r="N137" s="29">
        <f>M137/I137/12</f>
        <v>3047.1111111111113</v>
      </c>
      <c r="O137" s="29">
        <f>+N137*12</f>
        <v>36565.333333333336</v>
      </c>
      <c r="P137" s="29">
        <f t="shared" si="73"/>
        <v>0</v>
      </c>
      <c r="Q137" s="29">
        <f t="shared" si="74"/>
        <v>329088</v>
      </c>
      <c r="R137" s="29">
        <f t="shared" si="81"/>
        <v>329088</v>
      </c>
      <c r="S137" s="29">
        <f>+L137-R137</f>
        <v>0</v>
      </c>
    </row>
    <row r="138" spans="1:19">
      <c r="B138" s="5">
        <v>108086</v>
      </c>
      <c r="C138">
        <v>3604</v>
      </c>
      <c r="D138" t="s">
        <v>487</v>
      </c>
      <c r="E138">
        <v>2013</v>
      </c>
      <c r="F138">
        <v>10</v>
      </c>
      <c r="G138" s="26">
        <v>0</v>
      </c>
      <c r="H138" t="s">
        <v>78</v>
      </c>
      <c r="I138">
        <v>3</v>
      </c>
      <c r="J138">
        <f t="shared" si="69"/>
        <v>2016</v>
      </c>
      <c r="K138" s="24">
        <f t="shared" ref="K138:K152" si="82">+J138+(F138/12)</f>
        <v>2016.8333333333333</v>
      </c>
      <c r="L138" s="29">
        <v>23561.96</v>
      </c>
      <c r="M138" s="29">
        <f t="shared" si="80"/>
        <v>23561.96</v>
      </c>
      <c r="N138" s="29">
        <f t="shared" si="71"/>
        <v>654.49888888888893</v>
      </c>
      <c r="O138" s="29">
        <f t="shared" si="72"/>
        <v>7853.9866666666676</v>
      </c>
      <c r="P138" s="29">
        <f t="shared" si="73"/>
        <v>0</v>
      </c>
      <c r="Q138" s="29">
        <f t="shared" si="74"/>
        <v>23561.96</v>
      </c>
      <c r="R138" s="29">
        <f t="shared" si="81"/>
        <v>23561.96</v>
      </c>
      <c r="S138" s="29">
        <f t="shared" si="76"/>
        <v>0</v>
      </c>
    </row>
    <row r="139" spans="1:19">
      <c r="A139" t="s">
        <v>462</v>
      </c>
      <c r="B139" s="5">
        <v>109518</v>
      </c>
      <c r="C139">
        <v>3540</v>
      </c>
      <c r="D139" t="s">
        <v>492</v>
      </c>
      <c r="E139">
        <v>2013</v>
      </c>
      <c r="F139">
        <v>12</v>
      </c>
      <c r="G139" s="26">
        <v>0</v>
      </c>
      <c r="H139" t="s">
        <v>78</v>
      </c>
      <c r="I139">
        <v>9</v>
      </c>
      <c r="J139">
        <f>E139+I139</f>
        <v>2022</v>
      </c>
      <c r="K139" s="24">
        <f t="shared" si="82"/>
        <v>2023</v>
      </c>
      <c r="L139" s="29">
        <v>334095.67</v>
      </c>
      <c r="M139" s="29">
        <f>L139-L139*G139</f>
        <v>334095.67</v>
      </c>
      <c r="N139" s="29">
        <f>M139/I139/12</f>
        <v>3093.4784259259254</v>
      </c>
      <c r="O139" s="29">
        <f>+N139*12</f>
        <v>37121.741111111107</v>
      </c>
      <c r="P139" s="29">
        <f t="shared" si="73"/>
        <v>0</v>
      </c>
      <c r="Q139" s="29">
        <f t="shared" si="74"/>
        <v>334095.67</v>
      </c>
      <c r="R139" s="29">
        <f t="shared" si="81"/>
        <v>334095.67</v>
      </c>
      <c r="S139" s="29">
        <f>+L139-R139</f>
        <v>0</v>
      </c>
    </row>
    <row r="140" spans="1:19">
      <c r="A140" t="s">
        <v>462</v>
      </c>
      <c r="B140" s="5">
        <v>109519</v>
      </c>
      <c r="C140">
        <v>3541</v>
      </c>
      <c r="D140" t="s">
        <v>491</v>
      </c>
      <c r="E140">
        <v>2013</v>
      </c>
      <c r="F140">
        <v>12</v>
      </c>
      <c r="G140" s="26">
        <v>0</v>
      </c>
      <c r="H140" t="s">
        <v>78</v>
      </c>
      <c r="I140">
        <v>10</v>
      </c>
      <c r="J140">
        <f>E140+I140</f>
        <v>2023</v>
      </c>
      <c r="K140" s="24">
        <f t="shared" si="82"/>
        <v>2024</v>
      </c>
      <c r="L140" s="29">
        <v>332641.82</v>
      </c>
      <c r="M140" s="29">
        <f>L140-L140*G140</f>
        <v>332641.82</v>
      </c>
      <c r="N140" s="29">
        <f>M140/I140/12</f>
        <v>2772.0151666666666</v>
      </c>
      <c r="O140" s="29">
        <f>+N140*12</f>
        <v>33264.182000000001</v>
      </c>
      <c r="P140" s="29">
        <f t="shared" si="73"/>
        <v>19404.106166664144</v>
      </c>
      <c r="Q140" s="29">
        <f t="shared" si="74"/>
        <v>313237.71383333585</v>
      </c>
      <c r="R140" s="29">
        <f t="shared" si="81"/>
        <v>332641.82</v>
      </c>
      <c r="S140" s="29">
        <f>+L140-R140</f>
        <v>0</v>
      </c>
    </row>
    <row r="141" spans="1:19">
      <c r="A141" t="s">
        <v>462</v>
      </c>
      <c r="B141" s="5" t="s">
        <v>499</v>
      </c>
      <c r="C141">
        <v>3542</v>
      </c>
      <c r="D141" t="s">
        <v>491</v>
      </c>
      <c r="E141">
        <v>2013</v>
      </c>
      <c r="F141">
        <v>12</v>
      </c>
      <c r="G141" s="26">
        <v>0</v>
      </c>
      <c r="H141" t="s">
        <v>78</v>
      </c>
      <c r="I141">
        <v>10</v>
      </c>
      <c r="J141">
        <f>E141+I141</f>
        <v>2023</v>
      </c>
      <c r="K141" s="24">
        <f t="shared" si="82"/>
        <v>2024</v>
      </c>
      <c r="L141" s="29">
        <f>323070.82+904.93</f>
        <v>323975.75</v>
      </c>
      <c r="M141" s="29">
        <f>L141-L141*G141</f>
        <v>323975.75</v>
      </c>
      <c r="N141" s="29">
        <f>M141/I141/12</f>
        <v>2699.7979166666669</v>
      </c>
      <c r="O141" s="29">
        <f>+N141*12</f>
        <v>32397.575000000004</v>
      </c>
      <c r="P141" s="29">
        <f t="shared" si="73"/>
        <v>18898.585416664213</v>
      </c>
      <c r="Q141" s="29">
        <f t="shared" si="74"/>
        <v>305077.16458333581</v>
      </c>
      <c r="R141" s="29">
        <f t="shared" si="81"/>
        <v>323975.75</v>
      </c>
      <c r="S141" s="29">
        <f>+L141-R141</f>
        <v>0</v>
      </c>
    </row>
    <row r="142" spans="1:19">
      <c r="B142" s="5" t="s">
        <v>593</v>
      </c>
      <c r="D142" t="s">
        <v>589</v>
      </c>
      <c r="E142">
        <v>2016</v>
      </c>
      <c r="F142">
        <v>4</v>
      </c>
      <c r="G142" s="26">
        <v>0</v>
      </c>
      <c r="H142" t="s">
        <v>78</v>
      </c>
      <c r="I142">
        <v>3</v>
      </c>
      <c r="J142">
        <f t="shared" si="69"/>
        <v>2019</v>
      </c>
      <c r="K142" s="24">
        <f t="shared" si="82"/>
        <v>2019.3333333333333</v>
      </c>
      <c r="L142" s="29">
        <f>((14612.94+16641.82+675)/75)*14</f>
        <v>5960.2218666666668</v>
      </c>
      <c r="M142" s="29">
        <f t="shared" si="80"/>
        <v>5960.2218666666668</v>
      </c>
      <c r="N142" s="29">
        <f t="shared" si="71"/>
        <v>165.56171851851852</v>
      </c>
      <c r="O142" s="29">
        <f t="shared" si="72"/>
        <v>1986.7406222222221</v>
      </c>
      <c r="P142" s="29">
        <f t="shared" si="73"/>
        <v>0</v>
      </c>
      <c r="Q142" s="29">
        <f t="shared" si="74"/>
        <v>5960.2218666666668</v>
      </c>
      <c r="R142" s="29">
        <f t="shared" si="81"/>
        <v>5960.2218666666668</v>
      </c>
      <c r="S142" s="29">
        <f t="shared" si="76"/>
        <v>0</v>
      </c>
    </row>
    <row r="143" spans="1:19">
      <c r="B143" s="5" t="s">
        <v>599</v>
      </c>
      <c r="C143">
        <v>5049</v>
      </c>
      <c r="D143" t="s">
        <v>600</v>
      </c>
      <c r="E143">
        <v>2016</v>
      </c>
      <c r="F143">
        <v>11</v>
      </c>
      <c r="G143" s="26">
        <v>0</v>
      </c>
      <c r="H143" t="s">
        <v>78</v>
      </c>
      <c r="I143">
        <v>10</v>
      </c>
      <c r="J143">
        <f t="shared" si="69"/>
        <v>2026</v>
      </c>
      <c r="K143" s="24">
        <f t="shared" si="82"/>
        <v>2026.9166666666667</v>
      </c>
      <c r="L143" s="29">
        <f>230356.84+152.33</f>
        <v>230509.16999999998</v>
      </c>
      <c r="M143" s="29">
        <f t="shared" si="80"/>
        <v>230509.16999999998</v>
      </c>
      <c r="N143" s="29">
        <f t="shared" si="71"/>
        <v>1920.9097499999998</v>
      </c>
      <c r="O143" s="29">
        <f t="shared" si="72"/>
        <v>23050.916999999998</v>
      </c>
      <c r="P143" s="29">
        <f t="shared" si="73"/>
        <v>23050.916999999998</v>
      </c>
      <c r="Q143" s="29">
        <f t="shared" si="74"/>
        <v>149830.96049999999</v>
      </c>
      <c r="R143" s="29">
        <f t="shared" si="81"/>
        <v>172881.87749999997</v>
      </c>
      <c r="S143" s="29">
        <f t="shared" si="76"/>
        <v>57627.29250000001</v>
      </c>
    </row>
    <row r="144" spans="1:19">
      <c r="B144" s="5">
        <v>170000</v>
      </c>
      <c r="C144">
        <v>5048</v>
      </c>
      <c r="D144" t="s">
        <v>598</v>
      </c>
      <c r="E144">
        <v>2016</v>
      </c>
      <c r="F144">
        <v>11</v>
      </c>
      <c r="G144" s="26">
        <v>0</v>
      </c>
      <c r="H144" t="s">
        <v>78</v>
      </c>
      <c r="I144">
        <v>10</v>
      </c>
      <c r="J144">
        <f t="shared" si="69"/>
        <v>2026</v>
      </c>
      <c r="K144" s="24">
        <f t="shared" si="82"/>
        <v>2026.9166666666667</v>
      </c>
      <c r="L144" s="29">
        <v>230356.84</v>
      </c>
      <c r="M144" s="29">
        <f t="shared" si="80"/>
        <v>230356.84</v>
      </c>
      <c r="N144" s="29">
        <f t="shared" si="71"/>
        <v>1919.6403333333335</v>
      </c>
      <c r="O144" s="29">
        <f t="shared" si="72"/>
        <v>23035.684000000001</v>
      </c>
      <c r="P144" s="29">
        <f t="shared" si="73"/>
        <v>23035.684000000001</v>
      </c>
      <c r="Q144" s="29">
        <f t="shared" si="74"/>
        <v>149731.946</v>
      </c>
      <c r="R144" s="29">
        <f t="shared" si="81"/>
        <v>172767.63</v>
      </c>
      <c r="S144" s="29">
        <f t="shared" si="76"/>
        <v>57589.209999999992</v>
      </c>
    </row>
    <row r="145" spans="1:19">
      <c r="B145" s="5" t="s">
        <v>601</v>
      </c>
      <c r="C145">
        <v>5047</v>
      </c>
      <c r="D145" t="s">
        <v>600</v>
      </c>
      <c r="E145">
        <v>2016</v>
      </c>
      <c r="F145">
        <v>11</v>
      </c>
      <c r="G145" s="26">
        <v>0</v>
      </c>
      <c r="H145" t="s">
        <v>78</v>
      </c>
      <c r="I145">
        <v>10</v>
      </c>
      <c r="J145">
        <f t="shared" si="69"/>
        <v>2026</v>
      </c>
      <c r="K145" s="24">
        <f t="shared" si="82"/>
        <v>2026.9166666666667</v>
      </c>
      <c r="L145" s="29">
        <f>230356.84+152.33</f>
        <v>230509.16999999998</v>
      </c>
      <c r="M145" s="29">
        <f t="shared" si="80"/>
        <v>230509.16999999998</v>
      </c>
      <c r="N145" s="29">
        <f t="shared" si="71"/>
        <v>1920.9097499999998</v>
      </c>
      <c r="O145" s="29">
        <f t="shared" si="72"/>
        <v>23050.916999999998</v>
      </c>
      <c r="P145" s="29">
        <f t="shared" si="73"/>
        <v>23050.916999999998</v>
      </c>
      <c r="Q145" s="29">
        <f t="shared" si="74"/>
        <v>149830.96049999999</v>
      </c>
      <c r="R145" s="29">
        <f t="shared" si="81"/>
        <v>172881.87749999997</v>
      </c>
      <c r="S145" s="29">
        <f t="shared" si="76"/>
        <v>57627.29250000001</v>
      </c>
    </row>
    <row r="146" spans="1:19">
      <c r="B146" s="5" t="s">
        <v>758</v>
      </c>
      <c r="C146">
        <v>5050</v>
      </c>
      <c r="D146" t="s">
        <v>726</v>
      </c>
      <c r="E146">
        <v>2018</v>
      </c>
      <c r="F146">
        <v>8</v>
      </c>
      <c r="G146" s="26">
        <v>0</v>
      </c>
      <c r="H146" t="s">
        <v>78</v>
      </c>
      <c r="I146">
        <v>10</v>
      </c>
      <c r="J146">
        <f t="shared" si="69"/>
        <v>2028</v>
      </c>
      <c r="K146" s="24">
        <f t="shared" si="82"/>
        <v>2028.6666666666667</v>
      </c>
      <c r="L146" s="29">
        <f>235481.69+811.22</f>
        <v>236292.91</v>
      </c>
      <c r="M146" s="29">
        <f t="shared" si="80"/>
        <v>236292.91</v>
      </c>
      <c r="N146" s="29">
        <f t="shared" si="71"/>
        <v>1969.1075833333334</v>
      </c>
      <c r="O146" s="29">
        <f t="shared" ref="O146:O152" si="83">+N146*12</f>
        <v>23629.291000000001</v>
      </c>
      <c r="P146" s="29">
        <f t="shared" si="73"/>
        <v>23629.291000000001</v>
      </c>
      <c r="Q146" s="29">
        <f t="shared" si="74"/>
        <v>112239.13225</v>
      </c>
      <c r="R146" s="29">
        <f t="shared" si="81"/>
        <v>135868.42324999999</v>
      </c>
      <c r="S146" s="29">
        <f t="shared" si="76"/>
        <v>100424.48675000001</v>
      </c>
    </row>
    <row r="147" spans="1:19">
      <c r="A147" t="s">
        <v>770</v>
      </c>
      <c r="C147">
        <v>5050</v>
      </c>
      <c r="D147" t="s">
        <v>765</v>
      </c>
      <c r="E147">
        <v>2018</v>
      </c>
      <c r="F147">
        <v>8</v>
      </c>
      <c r="G147" s="26">
        <v>0</v>
      </c>
      <c r="H147" t="s">
        <v>78</v>
      </c>
      <c r="I147">
        <v>5</v>
      </c>
      <c r="J147">
        <f t="shared" si="69"/>
        <v>2023</v>
      </c>
      <c r="K147" s="24">
        <f t="shared" si="82"/>
        <v>2023.6666666666667</v>
      </c>
      <c r="L147" s="29">
        <f>519.47+731.05</f>
        <v>1250.52</v>
      </c>
      <c r="M147" s="29">
        <f t="shared" ref="M147:M152" si="84">L147-L147*G147</f>
        <v>1250.52</v>
      </c>
      <c r="N147" s="29">
        <f t="shared" ref="N147:N152" si="85">M147/I147/12</f>
        <v>20.841999999999999</v>
      </c>
      <c r="O147" s="29">
        <f t="shared" si="83"/>
        <v>250.10399999999998</v>
      </c>
      <c r="P147" s="29">
        <f t="shared" si="73"/>
        <v>62.525999999999996</v>
      </c>
      <c r="Q147" s="29">
        <f t="shared" si="74"/>
        <v>1187.9939999999999</v>
      </c>
      <c r="R147" s="29">
        <f t="shared" si="81"/>
        <v>1250.52</v>
      </c>
      <c r="S147" s="29">
        <f>+L147-R147</f>
        <v>0</v>
      </c>
    </row>
    <row r="148" spans="1:19">
      <c r="B148" s="5" t="s">
        <v>757</v>
      </c>
      <c r="C148">
        <v>3674</v>
      </c>
      <c r="D148" t="s">
        <v>723</v>
      </c>
      <c r="E148">
        <v>2018</v>
      </c>
      <c r="F148">
        <v>8</v>
      </c>
      <c r="G148" s="26">
        <v>0</v>
      </c>
      <c r="H148" t="s">
        <v>78</v>
      </c>
      <c r="I148">
        <v>10</v>
      </c>
      <c r="J148">
        <f>E148+I148</f>
        <v>2028</v>
      </c>
      <c r="K148" s="24">
        <f t="shared" si="82"/>
        <v>2028.6666666666667</v>
      </c>
      <c r="L148" s="29">
        <f>339272.41+1523.41</f>
        <v>340795.81999999995</v>
      </c>
      <c r="M148" s="29">
        <f t="shared" si="84"/>
        <v>340795.81999999995</v>
      </c>
      <c r="N148" s="29">
        <f t="shared" si="85"/>
        <v>2839.9651666666664</v>
      </c>
      <c r="O148" s="29">
        <f t="shared" si="83"/>
        <v>34079.581999999995</v>
      </c>
      <c r="P148" s="29">
        <f t="shared" si="73"/>
        <v>34079.581999999995</v>
      </c>
      <c r="Q148" s="29">
        <f t="shared" si="74"/>
        <v>161878.01449999996</v>
      </c>
      <c r="R148" s="29">
        <f t="shared" si="81"/>
        <v>195957.59649999996</v>
      </c>
      <c r="S148" s="29">
        <f>+L148-R148</f>
        <v>144838.22349999999</v>
      </c>
    </row>
    <row r="149" spans="1:19">
      <c r="B149" s="5" t="s">
        <v>779</v>
      </c>
      <c r="C149">
        <v>3674</v>
      </c>
      <c r="D149" t="s">
        <v>780</v>
      </c>
      <c r="E149">
        <v>2018</v>
      </c>
      <c r="F149">
        <v>8</v>
      </c>
      <c r="G149" s="26">
        <v>0</v>
      </c>
      <c r="H149" t="s">
        <v>78</v>
      </c>
      <c r="I149">
        <v>5</v>
      </c>
      <c r="J149">
        <f>E149+I149</f>
        <v>2023</v>
      </c>
      <c r="K149" s="24">
        <f t="shared" si="82"/>
        <v>2023.6666666666667</v>
      </c>
      <c r="L149" s="29">
        <f>731.05+519.47</f>
        <v>1250.52</v>
      </c>
      <c r="M149" s="29">
        <f t="shared" si="84"/>
        <v>1250.52</v>
      </c>
      <c r="N149" s="29">
        <f t="shared" si="85"/>
        <v>20.841999999999999</v>
      </c>
      <c r="O149" s="29">
        <f t="shared" si="83"/>
        <v>250.10399999999998</v>
      </c>
      <c r="P149" s="29">
        <f t="shared" si="73"/>
        <v>62.525999999999996</v>
      </c>
      <c r="Q149" s="29">
        <f t="shared" si="74"/>
        <v>1187.9939999999999</v>
      </c>
      <c r="R149" s="29">
        <f t="shared" si="81"/>
        <v>1250.52</v>
      </c>
      <c r="S149" s="29">
        <f>+L149-R149</f>
        <v>0</v>
      </c>
    </row>
    <row r="150" spans="1:19" s="62" customFormat="1">
      <c r="A150" s="116"/>
      <c r="B150" s="117"/>
      <c r="C150" s="116"/>
      <c r="D150" s="116" t="s">
        <v>791</v>
      </c>
      <c r="E150" s="116">
        <v>2019</v>
      </c>
      <c r="F150" s="116">
        <v>8</v>
      </c>
      <c r="G150" s="118">
        <v>0</v>
      </c>
      <c r="H150" s="116" t="s">
        <v>78</v>
      </c>
      <c r="I150" s="116">
        <v>3</v>
      </c>
      <c r="J150" s="116">
        <f>E150+I150</f>
        <v>2022</v>
      </c>
      <c r="K150" s="119">
        <f t="shared" si="82"/>
        <v>2022.6666666666667</v>
      </c>
      <c r="L150" s="120">
        <f>M210+M212+M220+M224+M241</f>
        <v>37988.466</v>
      </c>
      <c r="M150" s="122">
        <f t="shared" si="84"/>
        <v>37988.466</v>
      </c>
      <c r="N150" s="122">
        <f t="shared" si="85"/>
        <v>1055.2351666666666</v>
      </c>
      <c r="O150" s="122">
        <f t="shared" si="83"/>
        <v>12662.822</v>
      </c>
      <c r="P150" s="122">
        <f t="shared" si="73"/>
        <v>0</v>
      </c>
      <c r="Q150" s="122">
        <f t="shared" si="74"/>
        <v>37988.466</v>
      </c>
      <c r="R150" s="120">
        <f>IF(K150&lt;$N$6,L150,Q150+P150)</f>
        <v>37988.466</v>
      </c>
      <c r="S150" s="123">
        <v>0</v>
      </c>
    </row>
    <row r="151" spans="1:19" s="47" customFormat="1">
      <c r="B151" s="55">
        <v>242814</v>
      </c>
      <c r="C151" s="47">
        <v>5051</v>
      </c>
      <c r="D151" s="47" t="s">
        <v>889</v>
      </c>
      <c r="E151" s="47">
        <v>2020</v>
      </c>
      <c r="F151" s="47">
        <v>11</v>
      </c>
      <c r="G151" s="32">
        <v>0</v>
      </c>
      <c r="H151" s="47" t="s">
        <v>78</v>
      </c>
      <c r="I151" s="47">
        <v>10</v>
      </c>
      <c r="J151" s="47">
        <f>E151+I151</f>
        <v>2030</v>
      </c>
      <c r="K151" s="53">
        <f t="shared" si="82"/>
        <v>2030.9166666666667</v>
      </c>
      <c r="L151" s="54">
        <v>247824.64000000001</v>
      </c>
      <c r="M151" s="29">
        <f t="shared" si="84"/>
        <v>247824.64000000001</v>
      </c>
      <c r="N151" s="29">
        <f t="shared" si="85"/>
        <v>2065.2053333333333</v>
      </c>
      <c r="O151" s="29">
        <f t="shared" si="83"/>
        <v>24782.464</v>
      </c>
      <c r="P151" s="29">
        <f t="shared" si="73"/>
        <v>24782.464</v>
      </c>
      <c r="Q151" s="29">
        <f t="shared" si="74"/>
        <v>61956.160000000003</v>
      </c>
      <c r="R151" s="29">
        <f t="shared" ref="R151:R152" si="86">IF(K151&lt;$N$6,L151,Q151+P151)</f>
        <v>86738.624000000011</v>
      </c>
      <c r="S151" s="54">
        <v>1</v>
      </c>
    </row>
    <row r="152" spans="1:19" s="47" customFormat="1">
      <c r="B152" s="55" t="s">
        <v>900</v>
      </c>
      <c r="C152" s="47">
        <v>5051</v>
      </c>
      <c r="D152" s="47" t="s">
        <v>886</v>
      </c>
      <c r="E152" s="47">
        <v>2020</v>
      </c>
      <c r="F152" s="47">
        <v>12</v>
      </c>
      <c r="G152" s="32">
        <v>0</v>
      </c>
      <c r="H152" s="47" t="s">
        <v>78</v>
      </c>
      <c r="I152" s="47">
        <v>5</v>
      </c>
      <c r="J152" s="47">
        <f>E152+I152</f>
        <v>2025</v>
      </c>
      <c r="K152" s="53">
        <f t="shared" si="82"/>
        <v>2026</v>
      </c>
      <c r="L152" s="54">
        <v>592.41999999999996</v>
      </c>
      <c r="M152" s="29">
        <f t="shared" si="84"/>
        <v>592.41999999999996</v>
      </c>
      <c r="N152" s="29">
        <f t="shared" si="85"/>
        <v>9.8736666666666668</v>
      </c>
      <c r="O152" s="29">
        <f t="shared" si="83"/>
        <v>118.48400000000001</v>
      </c>
      <c r="P152" s="29">
        <f t="shared" si="73"/>
        <v>118.48400000000001</v>
      </c>
      <c r="Q152" s="29">
        <f t="shared" si="74"/>
        <v>286.33633333334228</v>
      </c>
      <c r="R152" s="29">
        <f t="shared" si="86"/>
        <v>404.82033333334232</v>
      </c>
      <c r="S152" s="54">
        <v>2</v>
      </c>
    </row>
    <row r="153" spans="1:19">
      <c r="L153" s="29"/>
      <c r="M153" s="29"/>
      <c r="N153" s="29"/>
      <c r="O153" s="29"/>
      <c r="P153" s="29"/>
      <c r="Q153" s="29"/>
      <c r="R153" s="54"/>
      <c r="S153" s="54"/>
    </row>
    <row r="154" spans="1:19">
      <c r="C154" s="2">
        <v>18</v>
      </c>
      <c r="D154" s="2" t="s">
        <v>405</v>
      </c>
      <c r="K154" s="78"/>
      <c r="L154" s="76">
        <f t="shared" ref="L154:S154" si="87">SUM(L128:L153)+SUM(L318:L323)</f>
        <v>4098094.8978666668</v>
      </c>
      <c r="M154" s="76">
        <f t="shared" si="87"/>
        <v>4098094.8978666668</v>
      </c>
      <c r="N154" s="76">
        <f t="shared" si="87"/>
        <v>40989.867939632408</v>
      </c>
      <c r="O154" s="76">
        <f t="shared" si="87"/>
        <v>491878.41527558898</v>
      </c>
      <c r="P154" s="76">
        <f t="shared" si="87"/>
        <v>256989.10177129827</v>
      </c>
      <c r="Q154" s="76">
        <f t="shared" si="87"/>
        <v>2744424.5743666715</v>
      </c>
      <c r="R154" s="76">
        <f t="shared" si="87"/>
        <v>3001413.6761379698</v>
      </c>
      <c r="S154" s="76">
        <f t="shared" si="87"/>
        <v>935410.60606203019</v>
      </c>
    </row>
    <row r="155" spans="1:19">
      <c r="K155" s="78"/>
      <c r="L155" s="29"/>
      <c r="M155" s="29"/>
      <c r="N155" s="29"/>
      <c r="O155" s="29"/>
      <c r="P155" s="29"/>
      <c r="Q155" s="29"/>
      <c r="R155" s="29"/>
      <c r="S155" s="29"/>
    </row>
    <row r="156" spans="1:19">
      <c r="L156" s="29"/>
      <c r="M156" s="29"/>
      <c r="N156" s="29"/>
      <c r="O156" s="29"/>
      <c r="P156" s="29"/>
      <c r="Q156" s="29"/>
      <c r="R156" s="29"/>
      <c r="S156" s="29"/>
    </row>
    <row r="157" spans="1:19">
      <c r="D157" s="2" t="s">
        <v>295</v>
      </c>
      <c r="L157" s="29"/>
      <c r="M157" s="29"/>
      <c r="N157" s="29"/>
      <c r="O157" s="29"/>
      <c r="P157" s="29"/>
      <c r="Q157" s="29"/>
      <c r="R157" s="29"/>
      <c r="S157" s="29"/>
    </row>
    <row r="158" spans="1:19">
      <c r="L158" s="29"/>
      <c r="M158" s="29"/>
      <c r="N158" s="29"/>
      <c r="O158" s="29"/>
      <c r="P158" s="29"/>
      <c r="Q158" s="29"/>
      <c r="R158" s="29"/>
      <c r="S158" s="29"/>
    </row>
    <row r="159" spans="1:19">
      <c r="A159" t="s">
        <v>462</v>
      </c>
      <c r="B159" s="5">
        <v>109517</v>
      </c>
      <c r="C159">
        <v>3539</v>
      </c>
      <c r="D159" t="s">
        <v>492</v>
      </c>
      <c r="E159">
        <v>2013</v>
      </c>
      <c r="F159">
        <v>12</v>
      </c>
      <c r="G159" s="26">
        <v>0</v>
      </c>
      <c r="H159" t="s">
        <v>78</v>
      </c>
      <c r="I159">
        <v>10</v>
      </c>
      <c r="J159">
        <f>E159+I159</f>
        <v>2023</v>
      </c>
      <c r="K159" s="24">
        <f>+J159+(F159/12)</f>
        <v>2024</v>
      </c>
      <c r="L159" s="29">
        <v>331758.37</v>
      </c>
      <c r="M159" s="29">
        <f>L159-L159*G159</f>
        <v>331758.37</v>
      </c>
      <c r="N159" s="29">
        <f>M159/I159/12</f>
        <v>2764.6530833333331</v>
      </c>
      <c r="O159" s="29">
        <f>+N159*12</f>
        <v>33175.837</v>
      </c>
      <c r="P159" s="29">
        <f t="shared" ref="P159:P168" si="88">+IF($K159&lt;$N$7,0,IF($K159&gt;$N$6,$O159,((($K159-$N$7)*12)*$N159)))</f>
        <v>19352.571583330817</v>
      </c>
      <c r="Q159" s="29">
        <f t="shared" ref="Q159:Q168" si="89">+IF($K159&lt;=$N$7,$M159,IF(($E159+($F159/12))&gt;=$N$7,0,((($M159-((($K159-$N$7)*12)*$N159))))))</f>
        <v>312405.79841666919</v>
      </c>
      <c r="R159" s="29">
        <f t="shared" ref="R159:R162" si="90">IF(K159&lt;$N$6,L159,Q159+P159)</f>
        <v>331758.37</v>
      </c>
      <c r="S159" s="29">
        <f>+L159-R159</f>
        <v>0</v>
      </c>
    </row>
    <row r="160" spans="1:19">
      <c r="B160" s="5">
        <v>88721</v>
      </c>
      <c r="D160" t="s">
        <v>440</v>
      </c>
      <c r="E160">
        <v>2011</v>
      </c>
      <c r="F160">
        <v>12</v>
      </c>
      <c r="G160" s="26">
        <v>0</v>
      </c>
      <c r="H160" t="s">
        <v>78</v>
      </c>
      <c r="I160">
        <v>5</v>
      </c>
      <c r="J160">
        <f>E160+I160</f>
        <v>2016</v>
      </c>
      <c r="K160" s="24">
        <f>+J160+(F160/12)</f>
        <v>2017</v>
      </c>
      <c r="L160" s="29">
        <f>487.65*3</f>
        <v>1462.9499999999998</v>
      </c>
      <c r="M160" s="29">
        <f>L160-L160*G160</f>
        <v>1462.9499999999998</v>
      </c>
      <c r="N160" s="29">
        <f>M160/I160/12</f>
        <v>24.382499999999997</v>
      </c>
      <c r="O160" s="29">
        <f>+N160*12</f>
        <v>292.58999999999997</v>
      </c>
      <c r="P160" s="29">
        <f t="shared" si="88"/>
        <v>0</v>
      </c>
      <c r="Q160" s="29">
        <f t="shared" si="89"/>
        <v>1462.9499999999998</v>
      </c>
      <c r="R160" s="29">
        <f t="shared" si="90"/>
        <v>1462.9499999999998</v>
      </c>
      <c r="S160" s="29">
        <f>+L160-R160</f>
        <v>0</v>
      </c>
    </row>
    <row r="161" spans="1:19">
      <c r="B161" s="5" t="s">
        <v>593</v>
      </c>
      <c r="D161" t="s">
        <v>590</v>
      </c>
      <c r="E161">
        <v>2016</v>
      </c>
      <c r="F161">
        <v>4</v>
      </c>
      <c r="G161" s="26">
        <v>0</v>
      </c>
      <c r="H161" t="s">
        <v>78</v>
      </c>
      <c r="I161">
        <v>3</v>
      </c>
      <c r="J161">
        <f>E161+I161</f>
        <v>2019</v>
      </c>
      <c r="K161" s="24">
        <f>+J161+(F161/12)</f>
        <v>2019.3333333333333</v>
      </c>
      <c r="L161" s="29">
        <f>((14612.94+16641.82+675)/75)*3</f>
        <v>1277.1904</v>
      </c>
      <c r="M161" s="29">
        <f>L161-L161*G161</f>
        <v>1277.1904</v>
      </c>
      <c r="N161" s="29">
        <f>M161/I161/12</f>
        <v>35.477511111111106</v>
      </c>
      <c r="O161" s="29">
        <f>+N161*12</f>
        <v>425.73013333333324</v>
      </c>
      <c r="P161" s="29">
        <f t="shared" si="88"/>
        <v>0</v>
      </c>
      <c r="Q161" s="29">
        <f t="shared" si="89"/>
        <v>1277.1904</v>
      </c>
      <c r="R161" s="29">
        <f t="shared" si="90"/>
        <v>1277.1904</v>
      </c>
      <c r="S161" s="29">
        <f>+L161-R161</f>
        <v>0</v>
      </c>
    </row>
    <row r="162" spans="1:19">
      <c r="A162" t="s">
        <v>284</v>
      </c>
      <c r="C162">
        <v>3621</v>
      </c>
      <c r="D162" t="s">
        <v>322</v>
      </c>
      <c r="E162">
        <v>2009</v>
      </c>
      <c r="F162">
        <v>1</v>
      </c>
      <c r="G162" s="26">
        <v>0</v>
      </c>
      <c r="H162" t="s">
        <v>78</v>
      </c>
      <c r="I162">
        <v>7</v>
      </c>
      <c r="J162">
        <f t="shared" ref="J162:J168" si="91">E162+I162</f>
        <v>2016</v>
      </c>
      <c r="K162" s="24">
        <f t="shared" ref="K162:K168" si="92">+J162+(F162/12)</f>
        <v>2016.0833333333333</v>
      </c>
      <c r="L162" s="29">
        <f>'Orig Trucks 2183'!P46</f>
        <v>177771.16</v>
      </c>
      <c r="M162" s="29">
        <f>L162-L162*G162</f>
        <v>177771.16</v>
      </c>
      <c r="N162" s="29">
        <f t="shared" ref="N162:N167" si="93">M162/I162/12</f>
        <v>2116.3233333333333</v>
      </c>
      <c r="O162" s="29">
        <f t="shared" ref="O162:O167" si="94">+N162*12</f>
        <v>25395.879999999997</v>
      </c>
      <c r="P162" s="29">
        <f t="shared" si="88"/>
        <v>0</v>
      </c>
      <c r="Q162" s="29">
        <f t="shared" si="89"/>
        <v>177771.16</v>
      </c>
      <c r="R162" s="29">
        <f t="shared" si="90"/>
        <v>177771.16</v>
      </c>
      <c r="S162" s="29">
        <f t="shared" ref="S162:S167" si="95">+L162-R162</f>
        <v>0</v>
      </c>
    </row>
    <row r="163" spans="1:19">
      <c r="A163" s="116"/>
      <c r="B163" s="117"/>
      <c r="C163" s="117">
        <v>3621</v>
      </c>
      <c r="D163" s="116" t="s">
        <v>667</v>
      </c>
      <c r="E163" s="116">
        <v>2019</v>
      </c>
      <c r="F163" s="116">
        <v>8</v>
      </c>
      <c r="G163" s="118">
        <v>0</v>
      </c>
      <c r="H163" s="116" t="s">
        <v>78</v>
      </c>
      <c r="I163" s="116">
        <v>3</v>
      </c>
      <c r="J163" s="116">
        <f t="shared" si="91"/>
        <v>2022</v>
      </c>
      <c r="K163" s="119">
        <f t="shared" si="92"/>
        <v>2022.6666666666667</v>
      </c>
      <c r="L163" s="120">
        <f>'Orig Trucks 2183'!N46-'Trucks 2183'!L162</f>
        <v>44442.790000000008</v>
      </c>
      <c r="M163" s="120">
        <f>L163-(L163*G163)</f>
        <v>44442.790000000008</v>
      </c>
      <c r="N163" s="120">
        <f t="shared" si="93"/>
        <v>1234.5219444444447</v>
      </c>
      <c r="O163" s="120">
        <f t="shared" si="94"/>
        <v>14814.263333333336</v>
      </c>
      <c r="P163" s="120">
        <f t="shared" si="88"/>
        <v>0</v>
      </c>
      <c r="Q163" s="120">
        <f t="shared" si="89"/>
        <v>44442.790000000008</v>
      </c>
      <c r="R163" s="120">
        <f>IF(K163&lt;$N$6,L163,Q163+P163)</f>
        <v>44442.790000000008</v>
      </c>
      <c r="S163" s="120">
        <f t="shared" si="95"/>
        <v>0</v>
      </c>
    </row>
    <row r="164" spans="1:19">
      <c r="A164" t="s">
        <v>284</v>
      </c>
      <c r="C164">
        <v>3622</v>
      </c>
      <c r="D164" t="s">
        <v>321</v>
      </c>
      <c r="E164">
        <v>2008</v>
      </c>
      <c r="F164">
        <v>10</v>
      </c>
      <c r="G164" s="26">
        <v>0</v>
      </c>
      <c r="H164" t="s">
        <v>78</v>
      </c>
      <c r="I164">
        <v>7</v>
      </c>
      <c r="J164">
        <f t="shared" si="91"/>
        <v>2015</v>
      </c>
      <c r="K164" s="24">
        <f t="shared" si="92"/>
        <v>2015.8333333333333</v>
      </c>
      <c r="L164" s="29">
        <f>'Orig Trucks 2183'!P44</f>
        <v>177771.16</v>
      </c>
      <c r="M164" s="29">
        <f>L164-L164*G164</f>
        <v>177771.16</v>
      </c>
      <c r="N164" s="29">
        <f t="shared" si="93"/>
        <v>2116.3233333333333</v>
      </c>
      <c r="O164" s="29">
        <f t="shared" si="94"/>
        <v>25395.879999999997</v>
      </c>
      <c r="P164" s="29">
        <f t="shared" si="88"/>
        <v>0</v>
      </c>
      <c r="Q164" s="29">
        <f t="shared" si="89"/>
        <v>177771.16</v>
      </c>
      <c r="R164" s="29">
        <f t="shared" ref="R164" si="96">IF(K164&lt;$N$6,L164,Q164+P164)</f>
        <v>177771.16</v>
      </c>
      <c r="S164" s="29">
        <f t="shared" si="95"/>
        <v>0</v>
      </c>
    </row>
    <row r="165" spans="1:19">
      <c r="A165" s="116"/>
      <c r="B165" s="117"/>
      <c r="C165" s="117">
        <v>3622</v>
      </c>
      <c r="D165" s="116" t="s">
        <v>665</v>
      </c>
      <c r="E165" s="116">
        <v>2019</v>
      </c>
      <c r="F165" s="116">
        <v>8</v>
      </c>
      <c r="G165" s="118">
        <v>0</v>
      </c>
      <c r="H165" s="116" t="s">
        <v>78</v>
      </c>
      <c r="I165" s="116">
        <v>3</v>
      </c>
      <c r="J165" s="116">
        <f t="shared" si="91"/>
        <v>2022</v>
      </c>
      <c r="K165" s="119">
        <f t="shared" si="92"/>
        <v>2022.6666666666667</v>
      </c>
      <c r="L165" s="120">
        <f>'Orig Trucks 2183'!N44-'Trucks 2183'!L164</f>
        <v>44442.790000000008</v>
      </c>
      <c r="M165" s="120">
        <f>L165-(L165*G165)</f>
        <v>44442.790000000008</v>
      </c>
      <c r="N165" s="120">
        <f t="shared" si="93"/>
        <v>1234.5219444444447</v>
      </c>
      <c r="O165" s="120">
        <f t="shared" si="94"/>
        <v>14814.263333333336</v>
      </c>
      <c r="P165" s="120">
        <f t="shared" si="88"/>
        <v>0</v>
      </c>
      <c r="Q165" s="120">
        <f t="shared" si="89"/>
        <v>44442.790000000008</v>
      </c>
      <c r="R165" s="120">
        <f>IF(K165&lt;$N$6,L165,Q165+P165)</f>
        <v>44442.790000000008</v>
      </c>
      <c r="S165" s="120">
        <f t="shared" si="95"/>
        <v>0</v>
      </c>
    </row>
    <row r="166" spans="1:19">
      <c r="B166" s="5">
        <v>88756</v>
      </c>
      <c r="C166">
        <v>3629</v>
      </c>
      <c r="D166" t="s">
        <v>441</v>
      </c>
      <c r="E166">
        <v>2011</v>
      </c>
      <c r="F166">
        <v>11</v>
      </c>
      <c r="G166" s="26">
        <v>0</v>
      </c>
      <c r="H166" t="s">
        <v>78</v>
      </c>
      <c r="I166">
        <v>7</v>
      </c>
      <c r="J166">
        <f t="shared" si="91"/>
        <v>2018</v>
      </c>
      <c r="K166" s="24">
        <f t="shared" si="92"/>
        <v>2018.9166666666667</v>
      </c>
      <c r="L166" s="29">
        <f>'Orig Trucks 2183'!P55</f>
        <v>231239.864</v>
      </c>
      <c r="M166" s="29">
        <f>L166-L166*G166</f>
        <v>231239.864</v>
      </c>
      <c r="N166" s="29">
        <f t="shared" si="93"/>
        <v>2752.8555238095237</v>
      </c>
      <c r="O166" s="29">
        <f t="shared" si="94"/>
        <v>33034.266285714286</v>
      </c>
      <c r="P166" s="29">
        <f t="shared" si="88"/>
        <v>0</v>
      </c>
      <c r="Q166" s="29">
        <f t="shared" si="89"/>
        <v>231239.864</v>
      </c>
      <c r="R166" s="29">
        <f t="shared" ref="R166" si="97">IF(K166&lt;$N$6,L166,Q166+P166)</f>
        <v>231239.864</v>
      </c>
      <c r="S166" s="29">
        <f t="shared" si="95"/>
        <v>0</v>
      </c>
    </row>
    <row r="167" spans="1:19">
      <c r="A167" s="116"/>
      <c r="B167" s="117"/>
      <c r="C167" s="117">
        <v>3629</v>
      </c>
      <c r="D167" s="116" t="s">
        <v>671</v>
      </c>
      <c r="E167" s="116">
        <v>2019</v>
      </c>
      <c r="F167" s="116">
        <v>8</v>
      </c>
      <c r="G167" s="118">
        <v>0</v>
      </c>
      <c r="H167" s="116" t="s">
        <v>78</v>
      </c>
      <c r="I167" s="116">
        <v>3</v>
      </c>
      <c r="J167" s="116">
        <f t="shared" si="91"/>
        <v>2022</v>
      </c>
      <c r="K167" s="119">
        <f t="shared" si="92"/>
        <v>2022.6666666666667</v>
      </c>
      <c r="L167" s="120">
        <f>'Orig Trucks 2183'!N55-'Trucks 2183'!L166</f>
        <v>57809.966000000015</v>
      </c>
      <c r="M167" s="120">
        <f>L167-(L167*G167)</f>
        <v>57809.966000000015</v>
      </c>
      <c r="N167" s="120">
        <f t="shared" si="93"/>
        <v>1605.8323888888892</v>
      </c>
      <c r="O167" s="120">
        <f t="shared" si="94"/>
        <v>19269.988666666672</v>
      </c>
      <c r="P167" s="120">
        <f t="shared" si="88"/>
        <v>0</v>
      </c>
      <c r="Q167" s="120">
        <f t="shared" si="89"/>
        <v>57809.966000000015</v>
      </c>
      <c r="R167" s="120">
        <f t="shared" ref="R167:R168" si="98">IF(K167&lt;$N$6,L167,Q167+P167)</f>
        <v>57809.966000000015</v>
      </c>
      <c r="S167" s="120">
        <f t="shared" si="95"/>
        <v>0</v>
      </c>
    </row>
    <row r="168" spans="1:19" s="62" customFormat="1">
      <c r="A168" s="116"/>
      <c r="B168" s="117"/>
      <c r="C168" s="116"/>
      <c r="D168" s="116" t="s">
        <v>791</v>
      </c>
      <c r="E168" s="116">
        <v>2019</v>
      </c>
      <c r="F168" s="116">
        <v>8</v>
      </c>
      <c r="G168" s="118">
        <v>0</v>
      </c>
      <c r="H168" s="116" t="s">
        <v>78</v>
      </c>
      <c r="I168" s="116">
        <v>3</v>
      </c>
      <c r="J168" s="116">
        <f t="shared" si="91"/>
        <v>2022</v>
      </c>
      <c r="K168" s="119">
        <f t="shared" si="92"/>
        <v>2022.6666666666667</v>
      </c>
      <c r="L168" s="120">
        <f>M217+M266+M269</f>
        <v>92493.848000000027</v>
      </c>
      <c r="M168" s="120">
        <f>L168-(L168*G168)</f>
        <v>92493.848000000027</v>
      </c>
      <c r="N168" s="120">
        <f>M168/I168/12</f>
        <v>2569.2735555555564</v>
      </c>
      <c r="O168" s="120">
        <f>+N168*12</f>
        <v>30831.282666666677</v>
      </c>
      <c r="P168" s="120">
        <f t="shared" si="88"/>
        <v>0</v>
      </c>
      <c r="Q168" s="120">
        <f t="shared" si="89"/>
        <v>92493.848000000027</v>
      </c>
      <c r="R168" s="120">
        <f t="shared" si="98"/>
        <v>92493.848000000027</v>
      </c>
      <c r="S168" s="120">
        <v>0</v>
      </c>
    </row>
    <row r="169" spans="1:19">
      <c r="L169" s="29"/>
      <c r="M169" s="29"/>
      <c r="N169" s="29"/>
      <c r="O169" s="29"/>
      <c r="P169" s="29"/>
      <c r="Q169" s="29"/>
      <c r="R169" s="29"/>
      <c r="S169" s="29"/>
    </row>
    <row r="170" spans="1:19">
      <c r="C170" s="2">
        <v>3</v>
      </c>
      <c r="D170" s="2" t="s">
        <v>277</v>
      </c>
      <c r="L170" s="76">
        <f t="shared" ref="L170:S170" si="99">SUM(L159:L169)</f>
        <v>1160470.0884000002</v>
      </c>
      <c r="M170" s="76">
        <f t="shared" si="99"/>
        <v>1160470.0884000002</v>
      </c>
      <c r="N170" s="76">
        <f t="shared" si="99"/>
        <v>16454.165118253972</v>
      </c>
      <c r="O170" s="76">
        <f t="shared" si="99"/>
        <v>197449.98141904763</v>
      </c>
      <c r="P170" s="76">
        <f>SUM(P159:P169)</f>
        <v>19352.571583330817</v>
      </c>
      <c r="Q170" s="76">
        <f t="shared" si="99"/>
        <v>1141117.5168166694</v>
      </c>
      <c r="R170" s="76">
        <f t="shared" si="99"/>
        <v>1160470.0884000002</v>
      </c>
      <c r="S170" s="76">
        <f t="shared" si="99"/>
        <v>0</v>
      </c>
    </row>
    <row r="171" spans="1:19">
      <c r="K171" s="55"/>
      <c r="L171" s="29"/>
      <c r="M171" s="29"/>
      <c r="N171" s="29"/>
      <c r="O171" s="29"/>
      <c r="P171" s="29"/>
      <c r="Q171" s="29"/>
      <c r="R171" s="29"/>
      <c r="S171" s="29"/>
    </row>
    <row r="172" spans="1:19">
      <c r="L172" s="29"/>
      <c r="M172" s="29"/>
      <c r="N172" s="29"/>
      <c r="O172" s="29"/>
      <c r="P172" s="29"/>
      <c r="Q172" s="29"/>
      <c r="R172" s="29"/>
      <c r="S172" s="29"/>
    </row>
    <row r="173" spans="1:19">
      <c r="D173" s="2" t="s">
        <v>531</v>
      </c>
      <c r="L173" s="29"/>
      <c r="M173" s="29"/>
      <c r="N173" s="29"/>
      <c r="O173" s="29"/>
      <c r="P173" s="29"/>
      <c r="Q173" s="29"/>
      <c r="R173" s="29"/>
      <c r="S173" s="29"/>
    </row>
    <row r="174" spans="1:19">
      <c r="A174">
        <v>114268</v>
      </c>
      <c r="B174" s="5" t="s">
        <v>285</v>
      </c>
      <c r="C174">
        <v>1036</v>
      </c>
      <c r="D174" t="s">
        <v>538</v>
      </c>
      <c r="E174">
        <v>2002</v>
      </c>
      <c r="F174">
        <v>6</v>
      </c>
      <c r="G174" s="26">
        <v>0.2</v>
      </c>
      <c r="H174" t="s">
        <v>78</v>
      </c>
      <c r="I174">
        <v>7</v>
      </c>
      <c r="J174">
        <f t="shared" ref="J174:J188" si="100">E174+I174</f>
        <v>2009</v>
      </c>
      <c r="K174" s="24">
        <f t="shared" ref="K174:K188" si="101">+J174+(F174/12)</f>
        <v>2009.5</v>
      </c>
      <c r="L174" s="29">
        <v>101881.5</v>
      </c>
      <c r="M174" s="29">
        <f t="shared" ref="M174:M194" si="102">L174</f>
        <v>101881.5</v>
      </c>
      <c r="N174" s="29">
        <f t="shared" ref="N174:N188" si="103">M174/I174/12</f>
        <v>1212.875</v>
      </c>
      <c r="O174" s="29">
        <f t="shared" ref="O174:O188" si="104">+N174*12</f>
        <v>14554.5</v>
      </c>
      <c r="P174" s="29">
        <f t="shared" ref="P174:P194" si="105">+IF($K174&lt;$N$7,0,IF($K174&gt;$N$6,$O174,((($K174-$N$7)*12)*$N174)))</f>
        <v>0</v>
      </c>
      <c r="Q174" s="29">
        <f t="shared" ref="Q174:Q194" si="106">+IF($K174&lt;=$N$7,$M174,IF(($E174+($F174/12))&gt;=$N$7,0,((($M174-((($K174-$N$7)*12)*$N174))))))</f>
        <v>101881.5</v>
      </c>
      <c r="R174" s="29">
        <f t="shared" ref="R174:R195" si="107">IF(K174&lt;$N$6,L174,Q174+P174)</f>
        <v>101881.5</v>
      </c>
      <c r="S174" s="29">
        <f t="shared" ref="S174:S188" si="108">+L174-R174</f>
        <v>0</v>
      </c>
    </row>
    <row r="175" spans="1:19">
      <c r="A175">
        <v>114306</v>
      </c>
      <c r="B175" s="5" t="s">
        <v>285</v>
      </c>
      <c r="C175">
        <v>1038</v>
      </c>
      <c r="D175" t="s">
        <v>539</v>
      </c>
      <c r="E175">
        <v>2003</v>
      </c>
      <c r="F175">
        <v>5</v>
      </c>
      <c r="G175" s="26">
        <v>0.2</v>
      </c>
      <c r="H175" t="s">
        <v>78</v>
      </c>
      <c r="I175">
        <v>7</v>
      </c>
      <c r="J175">
        <f t="shared" si="100"/>
        <v>2010</v>
      </c>
      <c r="K175" s="24">
        <f t="shared" si="101"/>
        <v>2010.4166666666667</v>
      </c>
      <c r="L175" s="29">
        <v>100843.52</v>
      </c>
      <c r="M175" s="29">
        <f t="shared" si="102"/>
        <v>100843.52</v>
      </c>
      <c r="N175" s="29">
        <f t="shared" si="103"/>
        <v>1200.5180952380954</v>
      </c>
      <c r="O175" s="29">
        <f t="shared" si="104"/>
        <v>14406.217142857146</v>
      </c>
      <c r="P175" s="29">
        <f t="shared" si="105"/>
        <v>0</v>
      </c>
      <c r="Q175" s="29">
        <f t="shared" si="106"/>
        <v>100843.52</v>
      </c>
      <c r="R175" s="29">
        <f t="shared" si="107"/>
        <v>100843.52</v>
      </c>
      <c r="S175" s="29">
        <f t="shared" si="108"/>
        <v>0</v>
      </c>
    </row>
    <row r="176" spans="1:19">
      <c r="A176" t="s">
        <v>285</v>
      </c>
      <c r="B176" s="5">
        <v>61085</v>
      </c>
      <c r="C176">
        <v>1041</v>
      </c>
      <c r="D176" t="s">
        <v>148</v>
      </c>
      <c r="E176">
        <v>2004</v>
      </c>
      <c r="F176">
        <v>9</v>
      </c>
      <c r="G176" s="26">
        <v>0.2</v>
      </c>
      <c r="H176" t="s">
        <v>78</v>
      </c>
      <c r="I176">
        <v>7</v>
      </c>
      <c r="J176">
        <f t="shared" ref="J176:J181" si="109">E176+I176</f>
        <v>2011</v>
      </c>
      <c r="K176" s="24">
        <f t="shared" ref="K176:K181" si="110">+J176+(F176/12)</f>
        <v>2011.75</v>
      </c>
      <c r="L176" s="29">
        <v>112934.39999999999</v>
      </c>
      <c r="M176" s="29">
        <f t="shared" si="102"/>
        <v>112934.39999999999</v>
      </c>
      <c r="N176" s="29">
        <f t="shared" ref="N176:N181" si="111">M176/I176/12</f>
        <v>1344.4571428571428</v>
      </c>
      <c r="O176" s="29">
        <f t="shared" ref="O176:O181" si="112">+N176*12</f>
        <v>16133.485714285714</v>
      </c>
      <c r="P176" s="29">
        <f t="shared" si="105"/>
        <v>0</v>
      </c>
      <c r="Q176" s="29">
        <f t="shared" si="106"/>
        <v>112934.39999999999</v>
      </c>
      <c r="R176" s="29">
        <f t="shared" si="107"/>
        <v>112934.39999999999</v>
      </c>
      <c r="S176" s="29">
        <f t="shared" ref="S176:S181" si="113">+L176-R176</f>
        <v>0</v>
      </c>
    </row>
    <row r="177" spans="1:19">
      <c r="A177" t="s">
        <v>285</v>
      </c>
      <c r="C177">
        <v>1041</v>
      </c>
      <c r="D177" t="s">
        <v>87</v>
      </c>
      <c r="E177">
        <v>2004</v>
      </c>
      <c r="F177">
        <v>9</v>
      </c>
      <c r="G177" s="26">
        <v>0.2</v>
      </c>
      <c r="H177" t="s">
        <v>78</v>
      </c>
      <c r="I177">
        <v>7</v>
      </c>
      <c r="J177">
        <f t="shared" si="109"/>
        <v>2011</v>
      </c>
      <c r="K177" s="24">
        <f t="shared" si="110"/>
        <v>2011.75</v>
      </c>
      <c r="L177" s="29">
        <v>2730.88</v>
      </c>
      <c r="M177" s="29">
        <f t="shared" si="102"/>
        <v>2730.88</v>
      </c>
      <c r="N177" s="29">
        <f t="shared" si="111"/>
        <v>32.51047619047619</v>
      </c>
      <c r="O177" s="29">
        <f t="shared" si="112"/>
        <v>390.12571428571425</v>
      </c>
      <c r="P177" s="29">
        <f t="shared" si="105"/>
        <v>0</v>
      </c>
      <c r="Q177" s="29">
        <f t="shared" si="106"/>
        <v>2730.88</v>
      </c>
      <c r="R177" s="29">
        <f t="shared" si="107"/>
        <v>2730.88</v>
      </c>
      <c r="S177" s="29">
        <f t="shared" si="113"/>
        <v>0</v>
      </c>
    </row>
    <row r="178" spans="1:19">
      <c r="A178" t="s">
        <v>285</v>
      </c>
      <c r="B178" s="5">
        <v>61093</v>
      </c>
      <c r="C178">
        <v>1042</v>
      </c>
      <c r="D178" t="s">
        <v>374</v>
      </c>
      <c r="E178">
        <v>2005</v>
      </c>
      <c r="F178">
        <v>12</v>
      </c>
      <c r="G178" s="26">
        <v>0.2</v>
      </c>
      <c r="H178" t="s">
        <v>78</v>
      </c>
      <c r="I178">
        <v>7</v>
      </c>
      <c r="J178">
        <f t="shared" si="109"/>
        <v>2012</v>
      </c>
      <c r="K178" s="24">
        <f t="shared" si="110"/>
        <v>2013</v>
      </c>
      <c r="L178" s="29">
        <v>125862.5</v>
      </c>
      <c r="M178" s="29">
        <f t="shared" si="102"/>
        <v>125862.5</v>
      </c>
      <c r="N178" s="29">
        <f t="shared" si="111"/>
        <v>1498.3630952380952</v>
      </c>
      <c r="O178" s="29">
        <f t="shared" si="112"/>
        <v>17980.357142857141</v>
      </c>
      <c r="P178" s="29">
        <f t="shared" si="105"/>
        <v>0</v>
      </c>
      <c r="Q178" s="29">
        <f t="shared" si="106"/>
        <v>125862.5</v>
      </c>
      <c r="R178" s="29">
        <f t="shared" si="107"/>
        <v>125862.5</v>
      </c>
      <c r="S178" s="29">
        <f t="shared" si="113"/>
        <v>0</v>
      </c>
    </row>
    <row r="179" spans="1:19">
      <c r="A179" t="s">
        <v>285</v>
      </c>
      <c r="B179" s="5">
        <v>61094</v>
      </c>
      <c r="C179">
        <v>1045</v>
      </c>
      <c r="D179" t="s">
        <v>375</v>
      </c>
      <c r="E179">
        <v>2006</v>
      </c>
      <c r="F179">
        <v>1</v>
      </c>
      <c r="G179" s="26">
        <v>0.2</v>
      </c>
      <c r="H179" t="s">
        <v>78</v>
      </c>
      <c r="I179">
        <v>7</v>
      </c>
      <c r="J179">
        <f t="shared" si="109"/>
        <v>2013</v>
      </c>
      <c r="K179" s="24">
        <f t="shared" si="110"/>
        <v>2013.0833333333333</v>
      </c>
      <c r="L179" s="29">
        <v>126105.78</v>
      </c>
      <c r="M179" s="29">
        <f t="shared" si="102"/>
        <v>126105.78</v>
      </c>
      <c r="N179" s="29">
        <f t="shared" si="111"/>
        <v>1501.2592857142856</v>
      </c>
      <c r="O179" s="29">
        <f t="shared" si="112"/>
        <v>18015.111428571428</v>
      </c>
      <c r="P179" s="29">
        <f t="shared" si="105"/>
        <v>0</v>
      </c>
      <c r="Q179" s="29">
        <f t="shared" si="106"/>
        <v>126105.78</v>
      </c>
      <c r="R179" s="29">
        <f t="shared" si="107"/>
        <v>126105.78</v>
      </c>
      <c r="S179" s="29">
        <f t="shared" si="113"/>
        <v>0</v>
      </c>
    </row>
    <row r="180" spans="1:19">
      <c r="A180" t="s">
        <v>285</v>
      </c>
      <c r="B180" s="5">
        <v>61095</v>
      </c>
      <c r="C180">
        <v>1046</v>
      </c>
      <c r="D180" t="s">
        <v>375</v>
      </c>
      <c r="E180">
        <v>2006</v>
      </c>
      <c r="F180">
        <v>5</v>
      </c>
      <c r="G180" s="26">
        <v>0.2</v>
      </c>
      <c r="H180" t="s">
        <v>78</v>
      </c>
      <c r="I180">
        <v>7</v>
      </c>
      <c r="J180">
        <f t="shared" si="109"/>
        <v>2013</v>
      </c>
      <c r="K180" s="24">
        <f t="shared" si="110"/>
        <v>2013.4166666666667</v>
      </c>
      <c r="L180" s="29">
        <v>126105.78</v>
      </c>
      <c r="M180" s="29">
        <f t="shared" si="102"/>
        <v>126105.78</v>
      </c>
      <c r="N180" s="29">
        <f t="shared" si="111"/>
        <v>1501.2592857142856</v>
      </c>
      <c r="O180" s="29">
        <f t="shared" si="112"/>
        <v>18015.111428571428</v>
      </c>
      <c r="P180" s="29">
        <f t="shared" si="105"/>
        <v>0</v>
      </c>
      <c r="Q180" s="29">
        <f t="shared" si="106"/>
        <v>126105.78</v>
      </c>
      <c r="R180" s="29">
        <f t="shared" si="107"/>
        <v>126105.78</v>
      </c>
      <c r="S180" s="29">
        <f t="shared" si="113"/>
        <v>0</v>
      </c>
    </row>
    <row r="181" spans="1:19">
      <c r="A181" t="s">
        <v>285</v>
      </c>
      <c r="B181" s="5">
        <v>61107</v>
      </c>
      <c r="C181">
        <v>1049</v>
      </c>
      <c r="D181" t="s">
        <v>149</v>
      </c>
      <c r="E181">
        <v>2006</v>
      </c>
      <c r="F181">
        <v>11</v>
      </c>
      <c r="G181" s="26">
        <v>0.2</v>
      </c>
      <c r="H181" t="s">
        <v>78</v>
      </c>
      <c r="I181">
        <v>7</v>
      </c>
      <c r="J181">
        <f t="shared" si="109"/>
        <v>2013</v>
      </c>
      <c r="K181" s="24">
        <f t="shared" si="110"/>
        <v>2013.9166666666667</v>
      </c>
      <c r="L181" s="29">
        <v>126621.44</v>
      </c>
      <c r="M181" s="29">
        <f t="shared" si="102"/>
        <v>126621.44</v>
      </c>
      <c r="N181" s="29">
        <f t="shared" si="111"/>
        <v>1507.3980952380953</v>
      </c>
      <c r="O181" s="29">
        <f t="shared" si="112"/>
        <v>18088.777142857143</v>
      </c>
      <c r="P181" s="29">
        <f t="shared" si="105"/>
        <v>0</v>
      </c>
      <c r="Q181" s="29">
        <f t="shared" si="106"/>
        <v>126621.44</v>
      </c>
      <c r="R181" s="29">
        <f t="shared" si="107"/>
        <v>126621.44</v>
      </c>
      <c r="S181" s="29">
        <f t="shared" si="113"/>
        <v>0</v>
      </c>
    </row>
    <row r="182" spans="1:19">
      <c r="A182">
        <v>114303</v>
      </c>
      <c r="B182" s="5" t="s">
        <v>285</v>
      </c>
      <c r="C182">
        <v>1014</v>
      </c>
      <c r="D182" t="s">
        <v>542</v>
      </c>
      <c r="E182">
        <v>2008</v>
      </c>
      <c r="F182">
        <v>11</v>
      </c>
      <c r="G182" s="26">
        <v>0.33</v>
      </c>
      <c r="H182" t="s">
        <v>78</v>
      </c>
      <c r="I182">
        <v>5</v>
      </c>
      <c r="J182">
        <f t="shared" si="100"/>
        <v>2013</v>
      </c>
      <c r="K182" s="24">
        <f t="shared" si="101"/>
        <v>2013.9166666666667</v>
      </c>
      <c r="L182" s="29">
        <v>5500</v>
      </c>
      <c r="M182" s="29">
        <f t="shared" si="102"/>
        <v>5500</v>
      </c>
      <c r="N182" s="29">
        <f t="shared" si="103"/>
        <v>91.666666666666671</v>
      </c>
      <c r="O182" s="29">
        <f t="shared" si="104"/>
        <v>1100</v>
      </c>
      <c r="P182" s="29">
        <f t="shared" si="105"/>
        <v>0</v>
      </c>
      <c r="Q182" s="29">
        <f t="shared" si="106"/>
        <v>5500</v>
      </c>
      <c r="R182" s="29">
        <f t="shared" si="107"/>
        <v>5500</v>
      </c>
      <c r="S182" s="29">
        <f t="shared" si="108"/>
        <v>0</v>
      </c>
    </row>
    <row r="183" spans="1:19">
      <c r="A183">
        <v>61159</v>
      </c>
      <c r="B183" s="5" t="s">
        <v>543</v>
      </c>
      <c r="C183">
        <v>9576</v>
      </c>
      <c r="D183" t="s">
        <v>563</v>
      </c>
      <c r="E183">
        <v>2008</v>
      </c>
      <c r="F183">
        <v>11</v>
      </c>
      <c r="G183" s="26">
        <v>0.33</v>
      </c>
      <c r="H183" t="s">
        <v>78</v>
      </c>
      <c r="I183">
        <v>5</v>
      </c>
      <c r="J183">
        <f t="shared" si="100"/>
        <v>2013</v>
      </c>
      <c r="K183" s="24">
        <f t="shared" si="101"/>
        <v>2013.9166666666667</v>
      </c>
      <c r="L183" s="29">
        <v>23327</v>
      </c>
      <c r="M183" s="29">
        <f t="shared" si="102"/>
        <v>23327</v>
      </c>
      <c r="N183" s="29">
        <f t="shared" si="103"/>
        <v>388.7833333333333</v>
      </c>
      <c r="O183" s="29">
        <f t="shared" si="104"/>
        <v>4665.3999999999996</v>
      </c>
      <c r="P183" s="29">
        <f t="shared" si="105"/>
        <v>0</v>
      </c>
      <c r="Q183" s="29">
        <f t="shared" si="106"/>
        <v>23327</v>
      </c>
      <c r="R183" s="29">
        <f t="shared" si="107"/>
        <v>23327</v>
      </c>
      <c r="S183" s="29">
        <f t="shared" si="108"/>
        <v>0</v>
      </c>
    </row>
    <row r="184" spans="1:19">
      <c r="B184" s="5" t="s">
        <v>311</v>
      </c>
      <c r="C184">
        <v>68613</v>
      </c>
      <c r="D184" t="s">
        <v>324</v>
      </c>
      <c r="E184">
        <v>2009</v>
      </c>
      <c r="F184">
        <v>7</v>
      </c>
      <c r="G184" s="26">
        <v>0.33</v>
      </c>
      <c r="H184" t="s">
        <v>78</v>
      </c>
      <c r="I184">
        <v>5</v>
      </c>
      <c r="J184">
        <f t="shared" si="100"/>
        <v>2014</v>
      </c>
      <c r="K184" s="24">
        <f t="shared" si="101"/>
        <v>2014.5833333333333</v>
      </c>
      <c r="L184" s="29">
        <v>8065.49</v>
      </c>
      <c r="M184" s="29">
        <f t="shared" si="102"/>
        <v>8065.49</v>
      </c>
      <c r="N184" s="29">
        <f t="shared" si="103"/>
        <v>134.42483333333334</v>
      </c>
      <c r="O184" s="29">
        <f t="shared" si="104"/>
        <v>1613.098</v>
      </c>
      <c r="P184" s="29">
        <f t="shared" si="105"/>
        <v>0</v>
      </c>
      <c r="Q184" s="29">
        <f t="shared" si="106"/>
        <v>8065.49</v>
      </c>
      <c r="R184" s="29">
        <f t="shared" si="107"/>
        <v>8065.49</v>
      </c>
      <c r="S184" s="29">
        <f t="shared" si="108"/>
        <v>0</v>
      </c>
    </row>
    <row r="185" spans="1:19">
      <c r="A185">
        <v>88722</v>
      </c>
      <c r="D185" t="s">
        <v>547</v>
      </c>
      <c r="E185">
        <v>2011</v>
      </c>
      <c r="F185">
        <v>12</v>
      </c>
      <c r="G185" s="26">
        <v>0</v>
      </c>
      <c r="H185" t="s">
        <v>78</v>
      </c>
      <c r="I185">
        <v>5</v>
      </c>
      <c r="J185">
        <f t="shared" si="100"/>
        <v>2016</v>
      </c>
      <c r="K185" s="24">
        <f t="shared" si="101"/>
        <v>2017</v>
      </c>
      <c r="L185" s="29">
        <f>(487.65*3)+(476.03*13)</f>
        <v>7651.3399999999992</v>
      </c>
      <c r="M185" s="29">
        <f t="shared" si="102"/>
        <v>7651.3399999999992</v>
      </c>
      <c r="N185" s="29">
        <f t="shared" si="103"/>
        <v>127.52233333333332</v>
      </c>
      <c r="O185" s="29">
        <f t="shared" si="104"/>
        <v>1530.2679999999998</v>
      </c>
      <c r="P185" s="29">
        <f t="shared" si="105"/>
        <v>0</v>
      </c>
      <c r="Q185" s="29">
        <f t="shared" si="106"/>
        <v>7651.3399999999992</v>
      </c>
      <c r="R185" s="29">
        <f t="shared" si="107"/>
        <v>7651.3399999999992</v>
      </c>
      <c r="S185" s="29">
        <f t="shared" si="108"/>
        <v>0</v>
      </c>
    </row>
    <row r="186" spans="1:19">
      <c r="A186" t="s">
        <v>475</v>
      </c>
      <c r="B186" s="5">
        <v>99666</v>
      </c>
      <c r="C186">
        <v>2011</v>
      </c>
      <c r="D186" t="s">
        <v>476</v>
      </c>
      <c r="E186">
        <v>2012</v>
      </c>
      <c r="F186">
        <v>12</v>
      </c>
      <c r="G186" s="26">
        <v>0</v>
      </c>
      <c r="H186" t="s">
        <v>78</v>
      </c>
      <c r="I186">
        <v>10</v>
      </c>
      <c r="J186">
        <f>E186+I186</f>
        <v>2022</v>
      </c>
      <c r="K186" s="24">
        <f>+J186+(F186/12)</f>
        <v>2023</v>
      </c>
      <c r="L186" s="29">
        <v>301281</v>
      </c>
      <c r="M186" s="29">
        <f t="shared" si="102"/>
        <v>301281</v>
      </c>
      <c r="N186" s="29">
        <f>M186/I186/12</f>
        <v>2510.6749999999997</v>
      </c>
      <c r="O186" s="29">
        <f>+N186*12</f>
        <v>30128.1</v>
      </c>
      <c r="P186" s="29">
        <f t="shared" si="105"/>
        <v>0</v>
      </c>
      <c r="Q186" s="29">
        <f t="shared" si="106"/>
        <v>301281</v>
      </c>
      <c r="R186" s="29">
        <f t="shared" si="107"/>
        <v>301281</v>
      </c>
      <c r="S186" s="29">
        <f>+L186-R186</f>
        <v>0</v>
      </c>
    </row>
    <row r="187" spans="1:19">
      <c r="B187" s="5">
        <v>103479</v>
      </c>
      <c r="C187">
        <v>1042</v>
      </c>
      <c r="D187" t="s">
        <v>477</v>
      </c>
      <c r="E187">
        <v>2013</v>
      </c>
      <c r="F187">
        <v>3</v>
      </c>
      <c r="G187" s="26">
        <v>0</v>
      </c>
      <c r="H187" t="s">
        <v>78</v>
      </c>
      <c r="I187">
        <v>3</v>
      </c>
      <c r="J187">
        <f>E187+I187</f>
        <v>2016</v>
      </c>
      <c r="K187" s="24">
        <f>+J187+(F187/12)</f>
        <v>2016.25</v>
      </c>
      <c r="L187" s="29">
        <v>13741.65</v>
      </c>
      <c r="M187" s="29">
        <f>L187-L187*G187</f>
        <v>13741.65</v>
      </c>
      <c r="N187" s="29">
        <f>M187/I187/12</f>
        <v>381.71250000000003</v>
      </c>
      <c r="O187" s="29">
        <f>+N187*12</f>
        <v>4580.55</v>
      </c>
      <c r="P187" s="29">
        <f t="shared" si="105"/>
        <v>0</v>
      </c>
      <c r="Q187" s="29">
        <f t="shared" si="106"/>
        <v>13741.65</v>
      </c>
      <c r="R187" s="29">
        <f t="shared" si="107"/>
        <v>13741.65</v>
      </c>
      <c r="S187" s="29">
        <f>+L187-R187</f>
        <v>0</v>
      </c>
    </row>
    <row r="188" spans="1:19">
      <c r="B188" s="5" t="s">
        <v>593</v>
      </c>
      <c r="D188" t="s">
        <v>591</v>
      </c>
      <c r="E188">
        <v>2016</v>
      </c>
      <c r="F188">
        <v>4</v>
      </c>
      <c r="G188" s="26">
        <v>0</v>
      </c>
      <c r="H188" t="s">
        <v>78</v>
      </c>
      <c r="I188">
        <v>3</v>
      </c>
      <c r="J188">
        <f t="shared" si="100"/>
        <v>2019</v>
      </c>
      <c r="K188" s="24">
        <f t="shared" si="101"/>
        <v>2019.3333333333333</v>
      </c>
      <c r="L188" s="29">
        <f>((14612.94+16641.82+675)/75)*10</f>
        <v>4257.3013333333338</v>
      </c>
      <c r="M188" s="29">
        <f t="shared" si="102"/>
        <v>4257.3013333333338</v>
      </c>
      <c r="N188" s="29">
        <f t="shared" si="103"/>
        <v>118.25837037037037</v>
      </c>
      <c r="O188" s="29">
        <f t="shared" si="104"/>
        <v>1419.1004444444445</v>
      </c>
      <c r="P188" s="29">
        <f t="shared" si="105"/>
        <v>0</v>
      </c>
      <c r="Q188" s="29">
        <f t="shared" si="106"/>
        <v>4257.3013333333338</v>
      </c>
      <c r="R188" s="29">
        <f t="shared" si="107"/>
        <v>4257.3013333333338</v>
      </c>
      <c r="S188" s="29">
        <f t="shared" si="108"/>
        <v>0</v>
      </c>
    </row>
    <row r="189" spans="1:19">
      <c r="B189" s="5" t="s">
        <v>727</v>
      </c>
      <c r="C189">
        <v>1083</v>
      </c>
      <c r="D189" t="s">
        <v>725</v>
      </c>
      <c r="E189">
        <v>2018</v>
      </c>
      <c r="F189">
        <v>3</v>
      </c>
      <c r="G189" s="26">
        <v>0</v>
      </c>
      <c r="H189" t="s">
        <v>78</v>
      </c>
      <c r="I189">
        <v>10</v>
      </c>
      <c r="J189">
        <f t="shared" ref="J189:J194" si="114">E189+I189</f>
        <v>2028</v>
      </c>
      <c r="K189" s="24">
        <f t="shared" ref="K189:K194" si="115">+J189+(F189/12)</f>
        <v>2028.25</v>
      </c>
      <c r="L189" s="29">
        <f>99882+84963.78</f>
        <v>184845.78</v>
      </c>
      <c r="M189" s="29">
        <f t="shared" si="102"/>
        <v>184845.78</v>
      </c>
      <c r="N189" s="29">
        <f t="shared" ref="N189:N194" si="116">M189/I189/12</f>
        <v>1540.3815000000002</v>
      </c>
      <c r="O189" s="29">
        <f t="shared" ref="O189:O194" si="117">+N189*12</f>
        <v>18484.578000000001</v>
      </c>
      <c r="P189" s="29">
        <f t="shared" si="105"/>
        <v>18484.578000000001</v>
      </c>
      <c r="Q189" s="29">
        <f t="shared" si="106"/>
        <v>95503.653000001388</v>
      </c>
      <c r="R189" s="29">
        <f t="shared" si="107"/>
        <v>113988.2310000014</v>
      </c>
      <c r="S189" s="29">
        <f t="shared" ref="S189:S194" si="118">+L189-R189</f>
        <v>70857.548999998602</v>
      </c>
    </row>
    <row r="190" spans="1:19">
      <c r="B190" s="5" t="s">
        <v>728</v>
      </c>
      <c r="C190">
        <v>1083</v>
      </c>
      <c r="D190" t="s">
        <v>729</v>
      </c>
      <c r="E190">
        <v>2018</v>
      </c>
      <c r="F190">
        <v>3</v>
      </c>
      <c r="G190" s="26">
        <v>0</v>
      </c>
      <c r="H190" t="s">
        <v>78</v>
      </c>
      <c r="I190">
        <v>10</v>
      </c>
      <c r="J190">
        <f t="shared" si="114"/>
        <v>2028</v>
      </c>
      <c r="K190" s="24">
        <f t="shared" si="115"/>
        <v>2028.25</v>
      </c>
      <c r="L190" s="29">
        <v>794.16</v>
      </c>
      <c r="M190" s="29">
        <f t="shared" si="102"/>
        <v>794.16</v>
      </c>
      <c r="N190" s="29">
        <f t="shared" si="116"/>
        <v>6.6179999999999994</v>
      </c>
      <c r="O190" s="29">
        <f t="shared" si="117"/>
        <v>79.415999999999997</v>
      </c>
      <c r="P190" s="29">
        <f t="shared" si="105"/>
        <v>79.415999999999997</v>
      </c>
      <c r="Q190" s="29">
        <f t="shared" si="106"/>
        <v>410.316000000006</v>
      </c>
      <c r="R190" s="29">
        <f t="shared" si="107"/>
        <v>489.732000000006</v>
      </c>
      <c r="S190" s="29">
        <f t="shared" si="118"/>
        <v>304.42799999999397</v>
      </c>
    </row>
    <row r="191" spans="1:19">
      <c r="B191" s="5">
        <v>191686</v>
      </c>
      <c r="C191">
        <v>4522</v>
      </c>
      <c r="D191" t="s">
        <v>716</v>
      </c>
      <c r="E191">
        <v>2018</v>
      </c>
      <c r="F191">
        <v>1</v>
      </c>
      <c r="G191" s="26">
        <v>0</v>
      </c>
      <c r="H191" t="s">
        <v>78</v>
      </c>
      <c r="I191">
        <v>10</v>
      </c>
      <c r="J191">
        <f t="shared" si="114"/>
        <v>2028</v>
      </c>
      <c r="K191" s="24">
        <f t="shared" si="115"/>
        <v>2028.0833333333333</v>
      </c>
      <c r="L191" s="29">
        <v>150065.09</v>
      </c>
      <c r="M191" s="29">
        <f t="shared" si="102"/>
        <v>150065.09</v>
      </c>
      <c r="N191" s="29">
        <f t="shared" si="116"/>
        <v>1250.5424166666667</v>
      </c>
      <c r="O191" s="29">
        <f t="shared" si="117"/>
        <v>15006.509</v>
      </c>
      <c r="P191" s="29">
        <f t="shared" si="105"/>
        <v>15006.509</v>
      </c>
      <c r="Q191" s="29">
        <f t="shared" si="106"/>
        <v>80034.714666668937</v>
      </c>
      <c r="R191" s="29">
        <f t="shared" si="107"/>
        <v>95041.223666668942</v>
      </c>
      <c r="S191" s="29">
        <f t="shared" si="118"/>
        <v>55023.866333331054</v>
      </c>
    </row>
    <row r="192" spans="1:19">
      <c r="B192" s="5">
        <v>220531</v>
      </c>
      <c r="C192">
        <v>1038</v>
      </c>
      <c r="D192" t="s">
        <v>835</v>
      </c>
      <c r="E192">
        <v>2019</v>
      </c>
      <c r="F192">
        <v>7</v>
      </c>
      <c r="G192" s="26">
        <v>0</v>
      </c>
      <c r="H192" t="s">
        <v>78</v>
      </c>
      <c r="I192">
        <v>3</v>
      </c>
      <c r="J192">
        <f t="shared" si="114"/>
        <v>2022</v>
      </c>
      <c r="K192" s="24">
        <f t="shared" si="115"/>
        <v>2022.5833333333333</v>
      </c>
      <c r="L192" s="29">
        <v>11853.69</v>
      </c>
      <c r="M192" s="29">
        <f t="shared" si="102"/>
        <v>11853.69</v>
      </c>
      <c r="N192" s="29">
        <f t="shared" si="116"/>
        <v>329.26916666666665</v>
      </c>
      <c r="O192" s="29">
        <f t="shared" si="117"/>
        <v>3951.2299999999996</v>
      </c>
      <c r="P192" s="29">
        <f t="shared" si="105"/>
        <v>0</v>
      </c>
      <c r="Q192" s="29">
        <f t="shared" si="106"/>
        <v>11853.69</v>
      </c>
      <c r="R192" s="29">
        <f t="shared" si="107"/>
        <v>11853.69</v>
      </c>
      <c r="S192" s="29">
        <f t="shared" si="118"/>
        <v>0</v>
      </c>
    </row>
    <row r="193" spans="2:25" s="47" customFormat="1">
      <c r="B193" s="55" t="s">
        <v>795</v>
      </c>
      <c r="C193">
        <v>1041</v>
      </c>
      <c r="D193" s="47" t="s">
        <v>796</v>
      </c>
      <c r="E193" s="47">
        <v>2019</v>
      </c>
      <c r="F193" s="47">
        <v>2</v>
      </c>
      <c r="G193" s="32">
        <v>0</v>
      </c>
      <c r="H193" s="47" t="s">
        <v>78</v>
      </c>
      <c r="I193" s="47">
        <v>3</v>
      </c>
      <c r="J193" s="47">
        <f t="shared" si="114"/>
        <v>2022</v>
      </c>
      <c r="K193" s="53">
        <f t="shared" si="115"/>
        <v>2022.1666666666667</v>
      </c>
      <c r="L193" s="54">
        <v>12037.33</v>
      </c>
      <c r="M193" s="54">
        <f>L193-L193*G193</f>
        <v>12037.33</v>
      </c>
      <c r="N193" s="54">
        <f t="shared" si="116"/>
        <v>334.37027777777774</v>
      </c>
      <c r="O193" s="54">
        <f t="shared" si="117"/>
        <v>4012.4433333333327</v>
      </c>
      <c r="P193" s="54">
        <f t="shared" si="105"/>
        <v>0</v>
      </c>
      <c r="Q193" s="54">
        <f t="shared" si="106"/>
        <v>12037.33</v>
      </c>
      <c r="R193" s="29">
        <f t="shared" si="107"/>
        <v>12037.33</v>
      </c>
      <c r="S193" s="54">
        <f t="shared" si="118"/>
        <v>0</v>
      </c>
    </row>
    <row r="194" spans="2:25">
      <c r="B194" s="55" t="s">
        <v>843</v>
      </c>
      <c r="C194">
        <v>1045</v>
      </c>
      <c r="D194" t="s">
        <v>844</v>
      </c>
      <c r="E194">
        <v>2020</v>
      </c>
      <c r="F194">
        <v>2</v>
      </c>
      <c r="G194" s="26">
        <v>0</v>
      </c>
      <c r="H194" t="s">
        <v>78</v>
      </c>
      <c r="I194">
        <v>3</v>
      </c>
      <c r="J194">
        <f t="shared" si="114"/>
        <v>2023</v>
      </c>
      <c r="K194" s="24">
        <f t="shared" si="115"/>
        <v>2023.1666666666667</v>
      </c>
      <c r="L194" s="29">
        <v>14301.64</v>
      </c>
      <c r="M194" s="29">
        <f t="shared" si="102"/>
        <v>14301.64</v>
      </c>
      <c r="N194" s="29">
        <f t="shared" si="116"/>
        <v>397.26777777777778</v>
      </c>
      <c r="O194" s="29">
        <f t="shared" si="117"/>
        <v>4767.2133333333331</v>
      </c>
      <c r="P194" s="29">
        <f t="shared" si="105"/>
        <v>0</v>
      </c>
      <c r="Q194" s="29">
        <f t="shared" si="106"/>
        <v>14301.64</v>
      </c>
      <c r="R194" s="29">
        <f t="shared" si="107"/>
        <v>14301.64</v>
      </c>
      <c r="S194" s="29">
        <f t="shared" si="118"/>
        <v>0</v>
      </c>
    </row>
    <row r="195" spans="2:25">
      <c r="L195" s="29"/>
      <c r="M195" s="29"/>
      <c r="N195" s="29"/>
      <c r="O195" s="29"/>
      <c r="P195" s="29"/>
      <c r="Q195" s="29"/>
      <c r="R195" s="29">
        <f t="shared" si="107"/>
        <v>0</v>
      </c>
      <c r="S195" s="29"/>
    </row>
    <row r="196" spans="2:25">
      <c r="C196" s="2">
        <v>16</v>
      </c>
      <c r="D196" s="2" t="s">
        <v>548</v>
      </c>
      <c r="K196" s="78"/>
      <c r="L196" s="76">
        <f>SUM(L174:L195)+SUM(L324:L326)</f>
        <v>1760731.0513333331</v>
      </c>
      <c r="M196" s="76">
        <f t="shared" ref="M196:S196" si="119">SUM(M174:M195)+SUM(M324:M326)</f>
        <v>1760731.0513333331</v>
      </c>
      <c r="N196" s="76">
        <f t="shared" si="119"/>
        <v>19836.461302910047</v>
      </c>
      <c r="O196" s="76">
        <f t="shared" si="119"/>
        <v>238037.53563492061</v>
      </c>
      <c r="P196" s="76">
        <f t="shared" si="119"/>
        <v>62686.446809523812</v>
      </c>
      <c r="Q196" s="76">
        <f t="shared" si="119"/>
        <v>1401050.9250000035</v>
      </c>
      <c r="R196" s="76">
        <f t="shared" si="119"/>
        <v>1463737.371809527</v>
      </c>
      <c r="S196" s="76">
        <f t="shared" si="119"/>
        <v>296993.67952380585</v>
      </c>
    </row>
    <row r="197" spans="2:25">
      <c r="K197" s="78"/>
      <c r="L197" s="29"/>
      <c r="M197" s="29"/>
      <c r="N197" s="29"/>
      <c r="O197" s="29"/>
      <c r="P197" s="29"/>
      <c r="Q197" s="29"/>
      <c r="R197" s="29"/>
      <c r="S197" s="29"/>
    </row>
    <row r="198" spans="2:25" ht="13.5" thickBot="1">
      <c r="D198" t="s">
        <v>83</v>
      </c>
      <c r="L198" s="79">
        <f t="shared" ref="L198:S198" si="120">SUM(L170,L154,L124,L81,L196)</f>
        <v>19682875.6006</v>
      </c>
      <c r="M198" s="79">
        <f t="shared" si="120"/>
        <v>19682875.6006</v>
      </c>
      <c r="N198" s="79">
        <f t="shared" si="120"/>
        <v>202086.86951587582</v>
      </c>
      <c r="O198" s="79">
        <f t="shared" si="120"/>
        <v>2425042.4341905103</v>
      </c>
      <c r="P198" s="79">
        <f t="shared" si="120"/>
        <v>1396701.2272908196</v>
      </c>
      <c r="Q198" s="79">
        <f t="shared" si="120"/>
        <v>12277741.334816746</v>
      </c>
      <c r="R198" s="79">
        <f t="shared" si="120"/>
        <v>13674442.562107563</v>
      </c>
      <c r="S198" s="79">
        <f t="shared" si="120"/>
        <v>5847162.4228257705</v>
      </c>
    </row>
    <row r="199" spans="2:25" ht="13.5" thickTop="1"/>
    <row r="206" spans="2:25" ht="38.25" outlineLevel="1">
      <c r="V206" s="52" t="s">
        <v>812</v>
      </c>
      <c r="W206" s="90" t="s">
        <v>813</v>
      </c>
      <c r="X206" s="8" t="s">
        <v>814</v>
      </c>
      <c r="Y206" s="90" t="s">
        <v>815</v>
      </c>
    </row>
    <row r="207" spans="2:25" outlineLevel="1"/>
    <row r="208" spans="2:25" outlineLevel="1">
      <c r="D208" s="2" t="s">
        <v>749</v>
      </c>
    </row>
    <row r="209" spans="1:25" outlineLevel="1">
      <c r="A209" t="s">
        <v>290</v>
      </c>
      <c r="C209">
        <v>5035</v>
      </c>
      <c r="D209" t="s">
        <v>457</v>
      </c>
      <c r="E209">
        <v>1998</v>
      </c>
      <c r="F209">
        <v>12</v>
      </c>
      <c r="G209" s="26">
        <v>0</v>
      </c>
      <c r="H209" t="s">
        <v>78</v>
      </c>
      <c r="I209">
        <v>7</v>
      </c>
      <c r="J209">
        <f t="shared" ref="J209:J232" si="121">E209+I209</f>
        <v>2005</v>
      </c>
      <c r="K209" s="63">
        <f t="shared" ref="K209:K232" si="122">+J209+(F209/12)</f>
        <v>2006</v>
      </c>
      <c r="L209" s="25">
        <f>'Orig Trucks 2183'!P120</f>
        <v>35121.599999999999</v>
      </c>
      <c r="M209" s="25">
        <f>L209-L209*G209</f>
        <v>35121.599999999999</v>
      </c>
      <c r="N209" s="25">
        <f t="shared" ref="N209:N232" si="123">M209/I209/12</f>
        <v>418.1142857142857</v>
      </c>
      <c r="O209" s="25">
        <f t="shared" ref="O209:O232" si="124">+N209*12</f>
        <v>5017.3714285714286</v>
      </c>
      <c r="P209" s="25">
        <f>+IF(K209&lt;=$M$5,0,IF(J209&gt;$M$4,O209,N209*F209))</f>
        <v>5017.3714285714286</v>
      </c>
      <c r="Q209" s="25">
        <f t="shared" ref="Q209:Q232" si="125">+IF(P209=0,M209,IF($M$3-E209&lt;1,0,(($M$3-E209)*O209)))</f>
        <v>0</v>
      </c>
      <c r="R209" s="25">
        <f t="shared" ref="R209:R232" si="126">+IF(P209=0,Q209,Q209+P209)</f>
        <v>5017.3714285714286</v>
      </c>
      <c r="S209" s="25">
        <f t="shared" ref="S209:S232" si="127">+L209-R209</f>
        <v>30104.228571428568</v>
      </c>
      <c r="V209" s="49">
        <v>43059</v>
      </c>
      <c r="W209" s="48">
        <v>0</v>
      </c>
      <c r="X209" t="s">
        <v>807</v>
      </c>
      <c r="Y209" s="48">
        <v>607</v>
      </c>
    </row>
    <row r="210" spans="1:25" outlineLevel="1">
      <c r="A210" s="62"/>
      <c r="C210" s="72">
        <v>5035</v>
      </c>
      <c r="D210" s="62" t="s">
        <v>684</v>
      </c>
      <c r="E210" s="62">
        <v>2018</v>
      </c>
      <c r="F210" s="62">
        <v>5</v>
      </c>
      <c r="G210" s="73">
        <v>0</v>
      </c>
      <c r="H210" s="62" t="s">
        <v>78</v>
      </c>
      <c r="I210" s="62">
        <f>+IF(J209-$M$4&gt;=3,J209-$M$4,3)</f>
        <v>2005</v>
      </c>
      <c r="J210" s="62">
        <f t="shared" si="121"/>
        <v>4023</v>
      </c>
      <c r="K210" s="80">
        <f t="shared" si="122"/>
        <v>4023.4166666666665</v>
      </c>
      <c r="L210" s="81">
        <f>'Orig Trucks 2183'!N120-'Trucks 2183'!L209</f>
        <v>8780.4000000000015</v>
      </c>
      <c r="M210" s="81">
        <f>L210-Y209</f>
        <v>8173.4000000000015</v>
      </c>
      <c r="N210" s="81">
        <f t="shared" si="123"/>
        <v>0.33970906068162932</v>
      </c>
      <c r="O210" s="81">
        <f t="shared" si="124"/>
        <v>4.0765087281795518</v>
      </c>
      <c r="P210" s="81">
        <f>+IF(K210&lt;=$M$5,0,IF(J210&gt;$M$4,O210,N210*F210))</f>
        <v>4.0765087281795518</v>
      </c>
      <c r="Q210" s="81">
        <f t="shared" si="125"/>
        <v>0</v>
      </c>
      <c r="R210" s="81">
        <f t="shared" si="126"/>
        <v>4.0765087281795518</v>
      </c>
      <c r="S210" s="81">
        <f t="shared" si="127"/>
        <v>8776.3234912718217</v>
      </c>
      <c r="T210" t="s">
        <v>789</v>
      </c>
    </row>
    <row r="211" spans="1:25" outlineLevel="1">
      <c r="A211" t="s">
        <v>290</v>
      </c>
      <c r="C211">
        <v>5036</v>
      </c>
      <c r="D211" t="s">
        <v>450</v>
      </c>
      <c r="E211">
        <v>1998</v>
      </c>
      <c r="F211">
        <v>1</v>
      </c>
      <c r="G211" s="26">
        <v>0</v>
      </c>
      <c r="H211" t="s">
        <v>78</v>
      </c>
      <c r="I211">
        <v>7</v>
      </c>
      <c r="J211">
        <f t="shared" si="121"/>
        <v>2005</v>
      </c>
      <c r="K211" s="63">
        <f t="shared" si="122"/>
        <v>2005.0833333333333</v>
      </c>
      <c r="L211" s="25">
        <f>'Orig Trucks 2183'!P119</f>
        <v>35121.599999999999</v>
      </c>
      <c r="M211" s="25">
        <f>L211-L211*G211</f>
        <v>35121.599999999999</v>
      </c>
      <c r="N211" s="25">
        <f t="shared" si="123"/>
        <v>418.1142857142857</v>
      </c>
      <c r="O211" s="25">
        <f t="shared" si="124"/>
        <v>5017.3714285714286</v>
      </c>
      <c r="P211" s="25">
        <f>+IF(K211&lt;=$M$5,0,IF(J211&gt;$M$4,O211,N211*F211))</f>
        <v>5017.3714285714286</v>
      </c>
      <c r="Q211" s="25">
        <f t="shared" si="125"/>
        <v>0</v>
      </c>
      <c r="R211" s="25">
        <f t="shared" si="126"/>
        <v>5017.3714285714286</v>
      </c>
      <c r="S211" s="25">
        <f t="shared" si="127"/>
        <v>30104.228571428568</v>
      </c>
      <c r="V211" s="49">
        <v>43160</v>
      </c>
      <c r="W211" s="48">
        <v>0</v>
      </c>
      <c r="X211" s="47" t="s">
        <v>807</v>
      </c>
      <c r="Y211" s="48">
        <v>607</v>
      </c>
    </row>
    <row r="212" spans="1:25" outlineLevel="1">
      <c r="A212" s="62"/>
      <c r="C212" s="72">
        <v>5036</v>
      </c>
      <c r="D212" s="62" t="s">
        <v>683</v>
      </c>
      <c r="E212" s="62">
        <v>2018</v>
      </c>
      <c r="F212" s="62">
        <v>5</v>
      </c>
      <c r="G212" s="73">
        <v>0</v>
      </c>
      <c r="H212" s="62" t="s">
        <v>78</v>
      </c>
      <c r="I212" s="62">
        <f>+IF(J211-$M$4&gt;=3,J211-$M$4,3)</f>
        <v>2005</v>
      </c>
      <c r="J212" s="62">
        <f t="shared" si="121"/>
        <v>4023</v>
      </c>
      <c r="K212" s="80">
        <f t="shared" si="122"/>
        <v>4023.4166666666665</v>
      </c>
      <c r="L212" s="81">
        <f>'Orig Trucks 2183'!N119-'Trucks 2183'!L211</f>
        <v>8780.4000000000015</v>
      </c>
      <c r="M212" s="81">
        <f>L212-Y211</f>
        <v>8173.4000000000015</v>
      </c>
      <c r="N212" s="81">
        <f t="shared" si="123"/>
        <v>0.33970906068162932</v>
      </c>
      <c r="O212" s="81">
        <f t="shared" si="124"/>
        <v>4.0765087281795518</v>
      </c>
      <c r="P212" s="81">
        <f>+IF(K212&lt;=$M$5,0,IF(J212&gt;$M$4,O212,N212*F212))</f>
        <v>4.0765087281795518</v>
      </c>
      <c r="Q212" s="81">
        <f t="shared" si="125"/>
        <v>0</v>
      </c>
      <c r="R212" s="81">
        <f t="shared" si="126"/>
        <v>4.0765087281795518</v>
      </c>
      <c r="S212" s="81">
        <f t="shared" si="127"/>
        <v>8776.3234912718217</v>
      </c>
      <c r="T212" t="s">
        <v>789</v>
      </c>
    </row>
    <row r="213" spans="1:25" outlineLevel="1">
      <c r="A213" t="s">
        <v>288</v>
      </c>
      <c r="C213">
        <v>4510</v>
      </c>
      <c r="D213" t="s">
        <v>180</v>
      </c>
      <c r="E213">
        <v>1996</v>
      </c>
      <c r="F213">
        <v>11</v>
      </c>
      <c r="G213" s="26">
        <v>0</v>
      </c>
      <c r="H213" t="s">
        <v>78</v>
      </c>
      <c r="I213">
        <v>7</v>
      </c>
      <c r="J213">
        <f t="shared" si="121"/>
        <v>2003</v>
      </c>
      <c r="K213" s="24">
        <f t="shared" si="122"/>
        <v>2003.9166666666667</v>
      </c>
      <c r="L213" s="25">
        <f>'Orig Trucks 2183'!P16</f>
        <v>32973.599999999999</v>
      </c>
      <c r="M213" s="25">
        <f>L213-L213*G213</f>
        <v>32973.599999999999</v>
      </c>
      <c r="N213" s="25">
        <f t="shared" si="123"/>
        <v>392.54285714285714</v>
      </c>
      <c r="O213" s="25">
        <f t="shared" si="124"/>
        <v>4710.5142857142855</v>
      </c>
      <c r="P213" s="25">
        <f>+IF(K213&lt;=$M$5,0,IF(J213=$M$4,N213*F213,O213))</f>
        <v>4710.5142857142855</v>
      </c>
      <c r="Q213" s="25">
        <f t="shared" si="125"/>
        <v>0</v>
      </c>
      <c r="R213" s="25">
        <f t="shared" si="126"/>
        <v>4710.5142857142855</v>
      </c>
      <c r="S213" s="25">
        <f t="shared" si="127"/>
        <v>28263.085714285713</v>
      </c>
      <c r="V213" s="49">
        <v>43404</v>
      </c>
      <c r="W213" s="48">
        <v>0</v>
      </c>
      <c r="X213" t="s">
        <v>807</v>
      </c>
      <c r="Y213" s="48">
        <v>518.4</v>
      </c>
    </row>
    <row r="214" spans="1:25" outlineLevel="1">
      <c r="A214" s="62"/>
      <c r="C214" s="72">
        <v>4510</v>
      </c>
      <c r="D214" s="62" t="s">
        <v>649</v>
      </c>
      <c r="E214" s="62">
        <v>2018</v>
      </c>
      <c r="F214" s="62">
        <v>5</v>
      </c>
      <c r="G214" s="73">
        <v>0</v>
      </c>
      <c r="H214" s="62" t="s">
        <v>78</v>
      </c>
      <c r="I214" s="62">
        <f>+IF(J213-$M$4&gt;=3,J213-$M$4,3)</f>
        <v>2003</v>
      </c>
      <c r="J214" s="62">
        <f t="shared" si="121"/>
        <v>4021</v>
      </c>
      <c r="K214" s="74">
        <f t="shared" si="122"/>
        <v>4021.4166666666665</v>
      </c>
      <c r="L214" s="81">
        <f>'Orig Trucks 2183'!N16-'Trucks 2183'!L213</f>
        <v>8243.4000000000015</v>
      </c>
      <c r="M214" s="81">
        <f>L214-Y213</f>
        <v>7725.0000000000018</v>
      </c>
      <c r="N214" s="81">
        <f t="shared" si="123"/>
        <v>0.32139291063404901</v>
      </c>
      <c r="O214" s="81">
        <f t="shared" si="124"/>
        <v>3.8567149276085884</v>
      </c>
      <c r="P214" s="81">
        <f>+IF(K214&lt;=$M$5,0,IF(J214=$M$4,N214*F214,O214))</f>
        <v>3.8567149276085884</v>
      </c>
      <c r="Q214" s="81">
        <f t="shared" si="125"/>
        <v>0</v>
      </c>
      <c r="R214" s="81">
        <f t="shared" si="126"/>
        <v>3.8567149276085884</v>
      </c>
      <c r="S214" s="81">
        <f t="shared" si="127"/>
        <v>8239.5432850723937</v>
      </c>
      <c r="T214" t="s">
        <v>147</v>
      </c>
    </row>
    <row r="215" spans="1:25" outlineLevel="1">
      <c r="A215" t="s">
        <v>288</v>
      </c>
      <c r="C215">
        <v>4510</v>
      </c>
      <c r="D215" t="s">
        <v>181</v>
      </c>
      <c r="E215">
        <v>1996</v>
      </c>
      <c r="F215">
        <v>11</v>
      </c>
      <c r="G215" s="26">
        <v>0</v>
      </c>
      <c r="H215" t="s">
        <v>78</v>
      </c>
      <c r="I215">
        <v>7</v>
      </c>
      <c r="J215">
        <f t="shared" si="121"/>
        <v>2003</v>
      </c>
      <c r="K215" s="24">
        <f t="shared" si="122"/>
        <v>2003.9166666666667</v>
      </c>
      <c r="L215" s="25">
        <f>'Orig Trucks 2183'!P17</f>
        <v>349.6</v>
      </c>
      <c r="M215" s="25">
        <f>L215-L215*G215</f>
        <v>349.6</v>
      </c>
      <c r="N215" s="25">
        <f t="shared" si="123"/>
        <v>4.1619047619047622</v>
      </c>
      <c r="O215" s="25">
        <f t="shared" si="124"/>
        <v>49.94285714285715</v>
      </c>
      <c r="P215" s="25">
        <f>+IF(K215&lt;=$M$5,0,IF(J215=$M$4,N215*F215,O215))</f>
        <v>49.94285714285715</v>
      </c>
      <c r="Q215" s="25">
        <f t="shared" si="125"/>
        <v>0</v>
      </c>
      <c r="R215" s="25">
        <f t="shared" si="126"/>
        <v>49.94285714285715</v>
      </c>
      <c r="S215" s="25">
        <f t="shared" si="127"/>
        <v>299.65714285714284</v>
      </c>
      <c r="V215" s="49"/>
      <c r="X215" s="47"/>
    </row>
    <row r="216" spans="1:25" outlineLevel="1">
      <c r="A216" t="s">
        <v>284</v>
      </c>
      <c r="C216">
        <v>3558</v>
      </c>
      <c r="D216" t="s">
        <v>379</v>
      </c>
      <c r="E216">
        <v>2000</v>
      </c>
      <c r="F216">
        <v>5</v>
      </c>
      <c r="G216" s="26">
        <v>0</v>
      </c>
      <c r="H216" t="s">
        <v>78</v>
      </c>
      <c r="I216">
        <v>7</v>
      </c>
      <c r="J216">
        <f t="shared" si="121"/>
        <v>2007</v>
      </c>
      <c r="K216" s="63">
        <f t="shared" si="122"/>
        <v>2007.4166666666667</v>
      </c>
      <c r="L216" s="25">
        <f>'Orig Trucks 2183'!P156</f>
        <v>120269.856</v>
      </c>
      <c r="M216" s="25">
        <f>L216-L216*G216</f>
        <v>120269.856</v>
      </c>
      <c r="N216" s="25">
        <f t="shared" si="123"/>
        <v>1431.7839999999999</v>
      </c>
      <c r="O216" s="25">
        <f t="shared" si="124"/>
        <v>17181.407999999999</v>
      </c>
      <c r="P216" s="25">
        <f t="shared" ref="P216:P221" si="128">+IF(K216&lt;=$M$5,0,IF(J216&gt;$M$4,O216,N216*F216))</f>
        <v>17181.407999999999</v>
      </c>
      <c r="Q216" s="25">
        <f t="shared" si="125"/>
        <v>0</v>
      </c>
      <c r="R216" s="25">
        <f t="shared" si="126"/>
        <v>17181.407999999999</v>
      </c>
      <c r="S216" s="25">
        <f t="shared" si="127"/>
        <v>103088.448</v>
      </c>
      <c r="V216" s="49">
        <v>43404</v>
      </c>
      <c r="W216" s="48">
        <v>0</v>
      </c>
      <c r="X216" t="s">
        <v>807</v>
      </c>
      <c r="Y216" s="48">
        <v>776.8</v>
      </c>
    </row>
    <row r="217" spans="1:25" outlineLevel="1">
      <c r="A217" s="62"/>
      <c r="C217" s="72">
        <v>3558</v>
      </c>
      <c r="D217" s="62" t="s">
        <v>697</v>
      </c>
      <c r="E217" s="62">
        <v>2018</v>
      </c>
      <c r="F217" s="62">
        <v>5</v>
      </c>
      <c r="G217" s="73">
        <v>0</v>
      </c>
      <c r="H217" s="62" t="s">
        <v>78</v>
      </c>
      <c r="I217" s="62">
        <f>+IF(J216-$M$4&gt;=3,J216-$M$4,3)</f>
        <v>2007</v>
      </c>
      <c r="J217" s="62">
        <f t="shared" si="121"/>
        <v>4025</v>
      </c>
      <c r="K217" s="80">
        <f t="shared" si="122"/>
        <v>4025.4166666666665</v>
      </c>
      <c r="L217" s="81">
        <f>'Orig Trucks 2183'!N156-'Trucks 2183'!L216</f>
        <v>30067.464000000007</v>
      </c>
      <c r="M217" s="81">
        <f>L217-Y216</f>
        <v>29290.664000000008</v>
      </c>
      <c r="N217" s="81">
        <f t="shared" si="123"/>
        <v>1.2161876764657038</v>
      </c>
      <c r="O217" s="81">
        <f t="shared" si="124"/>
        <v>14.594252117588447</v>
      </c>
      <c r="P217" s="81">
        <f t="shared" si="128"/>
        <v>14.594252117588447</v>
      </c>
      <c r="Q217" s="81">
        <f t="shared" si="125"/>
        <v>0</v>
      </c>
      <c r="R217" s="81">
        <f t="shared" si="126"/>
        <v>14.594252117588447</v>
      </c>
      <c r="S217" s="81">
        <f t="shared" si="127"/>
        <v>30052.869747882418</v>
      </c>
      <c r="T217" t="s">
        <v>157</v>
      </c>
    </row>
    <row r="218" spans="1:25" outlineLevel="1">
      <c r="A218" t="s">
        <v>284</v>
      </c>
      <c r="C218">
        <v>3558</v>
      </c>
      <c r="D218" t="s">
        <v>339</v>
      </c>
      <c r="E218">
        <v>2009</v>
      </c>
      <c r="F218">
        <v>5</v>
      </c>
      <c r="G218" s="26">
        <v>0</v>
      </c>
      <c r="H218" t="s">
        <v>78</v>
      </c>
      <c r="I218">
        <v>3</v>
      </c>
      <c r="J218">
        <f t="shared" si="121"/>
        <v>2012</v>
      </c>
      <c r="K218" s="63">
        <f t="shared" si="122"/>
        <v>2012.4166666666667</v>
      </c>
      <c r="L218" s="25">
        <v>2685.06</v>
      </c>
      <c r="M218" s="25">
        <f>L218-L218*G218</f>
        <v>2685.06</v>
      </c>
      <c r="N218" s="25">
        <f t="shared" si="123"/>
        <v>74.584999999999994</v>
      </c>
      <c r="O218" s="25">
        <f t="shared" si="124"/>
        <v>895.02</v>
      </c>
      <c r="P218" s="25">
        <f t="shared" si="128"/>
        <v>895.02</v>
      </c>
      <c r="Q218" s="25">
        <f t="shared" si="125"/>
        <v>0</v>
      </c>
      <c r="R218" s="25">
        <f t="shared" si="126"/>
        <v>895.02</v>
      </c>
      <c r="S218" s="25">
        <f t="shared" si="127"/>
        <v>1790.04</v>
      </c>
    </row>
    <row r="219" spans="1:25" outlineLevel="1">
      <c r="A219" t="s">
        <v>292</v>
      </c>
      <c r="C219">
        <v>5043</v>
      </c>
      <c r="D219" t="s">
        <v>452</v>
      </c>
      <c r="E219">
        <v>2002</v>
      </c>
      <c r="F219">
        <v>6</v>
      </c>
      <c r="G219" s="26">
        <v>0</v>
      </c>
      <c r="H219" t="s">
        <v>78</v>
      </c>
      <c r="I219">
        <v>7</v>
      </c>
      <c r="J219">
        <f t="shared" si="121"/>
        <v>2009</v>
      </c>
      <c r="K219" s="63">
        <f t="shared" si="122"/>
        <v>2009.5</v>
      </c>
      <c r="L219" s="25">
        <f>'Orig Trucks 2183'!P125</f>
        <v>59345.864000000001</v>
      </c>
      <c r="M219" s="25">
        <f>L219-L219*G219</f>
        <v>59345.864000000001</v>
      </c>
      <c r="N219" s="25">
        <f t="shared" si="123"/>
        <v>706.49838095238101</v>
      </c>
      <c r="O219" s="25">
        <f t="shared" si="124"/>
        <v>8477.9805714285721</v>
      </c>
      <c r="P219" s="25">
        <f t="shared" si="128"/>
        <v>8477.9805714285721</v>
      </c>
      <c r="Q219" s="25">
        <f t="shared" si="125"/>
        <v>0</v>
      </c>
      <c r="R219" s="25">
        <f t="shared" si="126"/>
        <v>8477.9805714285721</v>
      </c>
      <c r="S219" s="25">
        <f t="shared" si="127"/>
        <v>50867.883428571426</v>
      </c>
      <c r="V219" s="49">
        <v>43404</v>
      </c>
      <c r="W219" s="48">
        <v>0</v>
      </c>
      <c r="X219" t="s">
        <v>807</v>
      </c>
      <c r="Y219" s="48">
        <v>660.8</v>
      </c>
    </row>
    <row r="220" spans="1:25" outlineLevel="1">
      <c r="A220" s="62"/>
      <c r="C220" s="72">
        <v>5043</v>
      </c>
      <c r="D220" s="62" t="s">
        <v>687</v>
      </c>
      <c r="E220" s="62">
        <v>2018</v>
      </c>
      <c r="F220" s="62">
        <v>5</v>
      </c>
      <c r="G220" s="73">
        <v>0</v>
      </c>
      <c r="H220" s="62" t="s">
        <v>78</v>
      </c>
      <c r="I220" s="62">
        <f>+IF(J219-$M$4&gt;=3,J219-$M$4,3)</f>
        <v>2009</v>
      </c>
      <c r="J220" s="62">
        <f t="shared" si="121"/>
        <v>4027</v>
      </c>
      <c r="K220" s="80">
        <f t="shared" si="122"/>
        <v>4027.4166666666665</v>
      </c>
      <c r="L220" s="81">
        <f>'Orig Trucks 2183'!N125-'Trucks 2183'!L219</f>
        <v>14836.466</v>
      </c>
      <c r="M220" s="81">
        <f>L220-Y219</f>
        <v>14175.666000000001</v>
      </c>
      <c r="N220" s="81">
        <f t="shared" si="123"/>
        <v>0.58800671976107521</v>
      </c>
      <c r="O220" s="81">
        <f t="shared" si="124"/>
        <v>7.0560806371329026</v>
      </c>
      <c r="P220" s="81">
        <f t="shared" si="128"/>
        <v>7.0560806371329026</v>
      </c>
      <c r="Q220" s="81">
        <f t="shared" si="125"/>
        <v>0</v>
      </c>
      <c r="R220" s="81">
        <f t="shared" si="126"/>
        <v>7.0560806371329026</v>
      </c>
      <c r="S220" s="81">
        <f t="shared" si="127"/>
        <v>14829.409919362868</v>
      </c>
      <c r="T220" t="s">
        <v>789</v>
      </c>
    </row>
    <row r="221" spans="1:25" outlineLevel="1">
      <c r="A221" t="s">
        <v>292</v>
      </c>
      <c r="C221">
        <v>5043</v>
      </c>
      <c r="D221" t="s">
        <v>335</v>
      </c>
      <c r="E221">
        <v>2009</v>
      </c>
      <c r="F221">
        <v>5</v>
      </c>
      <c r="G221" s="26">
        <v>0</v>
      </c>
      <c r="H221" t="s">
        <v>78</v>
      </c>
      <c r="I221">
        <v>3</v>
      </c>
      <c r="J221">
        <f t="shared" si="121"/>
        <v>2012</v>
      </c>
      <c r="K221" s="63">
        <f t="shared" si="122"/>
        <v>2012.4166666666667</v>
      </c>
      <c r="L221" s="25">
        <v>2801.33</v>
      </c>
      <c r="M221" s="25">
        <f>L221-L221*G221</f>
        <v>2801.33</v>
      </c>
      <c r="N221" s="25">
        <f t="shared" si="123"/>
        <v>77.814722222222215</v>
      </c>
      <c r="O221" s="25">
        <f t="shared" si="124"/>
        <v>933.77666666666664</v>
      </c>
      <c r="P221" s="25">
        <f t="shared" si="128"/>
        <v>933.77666666666664</v>
      </c>
      <c r="Q221" s="25">
        <f t="shared" si="125"/>
        <v>0</v>
      </c>
      <c r="R221" s="25">
        <f t="shared" si="126"/>
        <v>933.77666666666664</v>
      </c>
      <c r="S221" s="25">
        <f t="shared" si="127"/>
        <v>1867.5533333333333</v>
      </c>
    </row>
    <row r="222" spans="1:25" outlineLevel="1">
      <c r="A222" t="s">
        <v>288</v>
      </c>
      <c r="C222">
        <v>4510</v>
      </c>
      <c r="D222" t="s">
        <v>327</v>
      </c>
      <c r="E222">
        <v>2009</v>
      </c>
      <c r="F222">
        <v>6</v>
      </c>
      <c r="G222" s="26">
        <v>0</v>
      </c>
      <c r="H222" t="s">
        <v>78</v>
      </c>
      <c r="I222">
        <v>3</v>
      </c>
      <c r="J222">
        <f t="shared" si="121"/>
        <v>2012</v>
      </c>
      <c r="K222" s="24">
        <f t="shared" si="122"/>
        <v>2012.5</v>
      </c>
      <c r="L222" s="25">
        <v>4493.79</v>
      </c>
      <c r="M222" s="25">
        <f>L222-L222*G222</f>
        <v>4493.79</v>
      </c>
      <c r="N222" s="25">
        <f t="shared" si="123"/>
        <v>124.8275</v>
      </c>
      <c r="O222" s="25">
        <f t="shared" si="124"/>
        <v>1497.93</v>
      </c>
      <c r="P222" s="25">
        <f>+IF(K222&lt;=$M$5,0,IF(J222=$M$4,N222*F222,O222))</f>
        <v>1497.93</v>
      </c>
      <c r="Q222" s="25">
        <f t="shared" si="125"/>
        <v>0</v>
      </c>
      <c r="R222" s="25">
        <f t="shared" si="126"/>
        <v>1497.93</v>
      </c>
      <c r="S222" s="25">
        <f t="shared" si="127"/>
        <v>2995.8599999999997</v>
      </c>
    </row>
    <row r="223" spans="1:25" outlineLevel="1">
      <c r="A223" t="s">
        <v>290</v>
      </c>
      <c r="C223">
        <v>5035</v>
      </c>
      <c r="D223" t="s">
        <v>305</v>
      </c>
      <c r="E223">
        <v>1999</v>
      </c>
      <c r="F223">
        <v>8</v>
      </c>
      <c r="G223" s="26">
        <v>0</v>
      </c>
      <c r="H223" t="s">
        <v>78</v>
      </c>
      <c r="I223">
        <v>7</v>
      </c>
      <c r="J223">
        <f t="shared" si="121"/>
        <v>2006</v>
      </c>
      <c r="K223" s="63">
        <f t="shared" si="122"/>
        <v>2006.6666666666667</v>
      </c>
      <c r="L223" s="25">
        <f>'Orig Trucks 2183'!P121</f>
        <v>17376</v>
      </c>
      <c r="M223" s="25">
        <f>L223-L223*G223</f>
        <v>17376</v>
      </c>
      <c r="N223" s="25">
        <f t="shared" si="123"/>
        <v>206.85714285714286</v>
      </c>
      <c r="O223" s="25">
        <f t="shared" si="124"/>
        <v>2482.2857142857142</v>
      </c>
      <c r="P223" s="25">
        <f>+IF(K223&lt;=$M$5,0,IF(J223&gt;$M$4,O223,N223*F223))</f>
        <v>2482.2857142857142</v>
      </c>
      <c r="Q223" s="25">
        <f t="shared" si="125"/>
        <v>0</v>
      </c>
      <c r="R223" s="25">
        <f t="shared" si="126"/>
        <v>2482.2857142857142</v>
      </c>
      <c r="S223" s="25">
        <f t="shared" si="127"/>
        <v>14893.714285714286</v>
      </c>
      <c r="V223" s="49">
        <v>43160</v>
      </c>
      <c r="W223" s="48">
        <v>0</v>
      </c>
      <c r="X223" s="47" t="s">
        <v>807</v>
      </c>
      <c r="Y223" s="48">
        <v>607</v>
      </c>
    </row>
    <row r="224" spans="1:25" outlineLevel="1">
      <c r="A224" s="62"/>
      <c r="C224" s="72">
        <v>5035</v>
      </c>
      <c r="D224" s="62" t="s">
        <v>684</v>
      </c>
      <c r="E224" s="62">
        <v>2018</v>
      </c>
      <c r="F224" s="62">
        <v>5</v>
      </c>
      <c r="G224" s="73">
        <v>0</v>
      </c>
      <c r="H224" s="62" t="s">
        <v>78</v>
      </c>
      <c r="I224" s="62">
        <f>+IF(J223-$M$4&gt;=3,J223-$M$4,3)</f>
        <v>2006</v>
      </c>
      <c r="J224" s="62">
        <f t="shared" si="121"/>
        <v>4024</v>
      </c>
      <c r="K224" s="80">
        <f t="shared" si="122"/>
        <v>4024.4166666666665</v>
      </c>
      <c r="L224" s="81">
        <f>'Orig Trucks 2183'!N121-'Trucks 2183'!L223</f>
        <v>4344</v>
      </c>
      <c r="M224" s="81">
        <f>L224-Y223</f>
        <v>3737</v>
      </c>
      <c r="N224" s="81">
        <f t="shared" si="123"/>
        <v>0.15524260551678298</v>
      </c>
      <c r="O224" s="81">
        <f t="shared" si="124"/>
        <v>1.8629112662013958</v>
      </c>
      <c r="P224" s="81">
        <f>+IF(K224&lt;=$M$5,0,IF(J224&gt;$M$4,O224,N224*F224))</f>
        <v>1.8629112662013958</v>
      </c>
      <c r="Q224" s="81">
        <f t="shared" si="125"/>
        <v>0</v>
      </c>
      <c r="R224" s="81">
        <f t="shared" si="126"/>
        <v>1.8629112662013958</v>
      </c>
      <c r="S224" s="81">
        <f t="shared" si="127"/>
        <v>4342.1370887337989</v>
      </c>
      <c r="T224" t="s">
        <v>789</v>
      </c>
    </row>
    <row r="225" spans="1:25" outlineLevel="1">
      <c r="B225" s="5">
        <v>191685</v>
      </c>
      <c r="D225" t="s">
        <v>717</v>
      </c>
      <c r="E225">
        <v>2018</v>
      </c>
      <c r="F225">
        <v>1</v>
      </c>
      <c r="G225" s="26">
        <v>0</v>
      </c>
      <c r="H225" t="s">
        <v>78</v>
      </c>
      <c r="I225">
        <v>10</v>
      </c>
      <c r="J225">
        <f t="shared" si="121"/>
        <v>2028</v>
      </c>
      <c r="K225" s="24">
        <f t="shared" si="122"/>
        <v>2028.0833333333333</v>
      </c>
      <c r="L225" s="25">
        <v>115762.12</v>
      </c>
      <c r="M225" s="25">
        <f>L225-L225*G225</f>
        <v>115762.12</v>
      </c>
      <c r="N225" s="25">
        <f t="shared" si="123"/>
        <v>964.68433333333326</v>
      </c>
      <c r="O225" s="25">
        <f t="shared" si="124"/>
        <v>11576.212</v>
      </c>
      <c r="P225" s="25">
        <f>+IF(K225&lt;=$M$5,0,IF(J225=$M$4,N225*F225,O225))</f>
        <v>11576.212</v>
      </c>
      <c r="Q225" s="25">
        <f t="shared" si="125"/>
        <v>0</v>
      </c>
      <c r="R225" s="25">
        <f t="shared" si="126"/>
        <v>11576.212</v>
      </c>
      <c r="S225" s="25">
        <f t="shared" si="127"/>
        <v>104185.908</v>
      </c>
    </row>
    <row r="226" spans="1:25" outlineLevel="1">
      <c r="A226" t="s">
        <v>283</v>
      </c>
      <c r="C226">
        <v>4030</v>
      </c>
      <c r="D226" t="s">
        <v>163</v>
      </c>
      <c r="E226">
        <v>2002</v>
      </c>
      <c r="F226">
        <v>6</v>
      </c>
      <c r="G226" s="26">
        <v>0</v>
      </c>
      <c r="H226" t="s">
        <v>78</v>
      </c>
      <c r="I226">
        <v>7</v>
      </c>
      <c r="J226">
        <f t="shared" si="121"/>
        <v>2009</v>
      </c>
      <c r="K226" s="63">
        <f t="shared" si="122"/>
        <v>2009.5</v>
      </c>
      <c r="L226" s="25">
        <f>'Orig Trucks 2183'!P83</f>
        <v>72496.775999999998</v>
      </c>
      <c r="M226" s="25">
        <f>L226-L226*G226</f>
        <v>72496.775999999998</v>
      </c>
      <c r="N226" s="25">
        <f t="shared" si="123"/>
        <v>863.0568571428571</v>
      </c>
      <c r="O226" s="25">
        <f t="shared" si="124"/>
        <v>10356.682285714285</v>
      </c>
      <c r="P226" s="25">
        <f>+IF(K226&lt;=$M$5,0,IF(J226&gt;$M$4,O226,N226*F226))</f>
        <v>10356.682285714285</v>
      </c>
      <c r="Q226" s="25">
        <f t="shared" si="125"/>
        <v>0</v>
      </c>
      <c r="R226" s="25">
        <f t="shared" si="126"/>
        <v>10356.682285714285</v>
      </c>
      <c r="S226" s="25">
        <f t="shared" si="127"/>
        <v>62140.093714285715</v>
      </c>
      <c r="V226" s="49">
        <v>43191</v>
      </c>
      <c r="W226" s="48">
        <v>0</v>
      </c>
      <c r="X226" s="47" t="s">
        <v>808</v>
      </c>
      <c r="Y226" s="48">
        <v>0</v>
      </c>
    </row>
    <row r="227" spans="1:25" outlineLevel="1">
      <c r="A227" s="62"/>
      <c r="B227" s="72">
        <v>4030</v>
      </c>
      <c r="C227" s="72">
        <v>4030</v>
      </c>
      <c r="D227" s="62" t="s">
        <v>674</v>
      </c>
      <c r="E227" s="62">
        <v>2018</v>
      </c>
      <c r="F227" s="62">
        <v>5</v>
      </c>
      <c r="G227" s="73">
        <v>0</v>
      </c>
      <c r="H227" s="62" t="s">
        <v>78</v>
      </c>
      <c r="I227" s="62">
        <f>+IF(J226-$M$4&gt;=3,J226-$M$4,3)</f>
        <v>2009</v>
      </c>
      <c r="J227" s="62">
        <f t="shared" si="121"/>
        <v>4027</v>
      </c>
      <c r="K227" s="80">
        <f t="shared" si="122"/>
        <v>4027.4166666666665</v>
      </c>
      <c r="L227" s="81"/>
      <c r="M227" s="81"/>
      <c r="N227" s="81">
        <f t="shared" si="123"/>
        <v>0</v>
      </c>
      <c r="O227" s="81">
        <f t="shared" si="124"/>
        <v>0</v>
      </c>
      <c r="P227" s="81">
        <f>+IF(K227&lt;=$M$5,0,IF(J227&gt;$M$4,O227,N227*F227))</f>
        <v>0</v>
      </c>
      <c r="Q227" s="81">
        <f t="shared" si="125"/>
        <v>0</v>
      </c>
      <c r="R227" s="81">
        <f t="shared" si="126"/>
        <v>0</v>
      </c>
      <c r="S227" s="81">
        <f t="shared" si="127"/>
        <v>0</v>
      </c>
      <c r="T227" t="s">
        <v>790</v>
      </c>
    </row>
    <row r="228" spans="1:25" outlineLevel="1">
      <c r="A228" t="s">
        <v>529</v>
      </c>
      <c r="C228">
        <v>4033</v>
      </c>
      <c r="D228" t="s">
        <v>174</v>
      </c>
      <c r="E228">
        <v>2002</v>
      </c>
      <c r="F228">
        <v>9</v>
      </c>
      <c r="G228" s="26">
        <v>0</v>
      </c>
      <c r="H228" t="s">
        <v>78</v>
      </c>
      <c r="I228">
        <v>7</v>
      </c>
      <c r="J228">
        <f t="shared" si="121"/>
        <v>2009</v>
      </c>
      <c r="K228" s="63">
        <f t="shared" si="122"/>
        <v>2009.75</v>
      </c>
      <c r="L228" s="25">
        <v>0</v>
      </c>
      <c r="M228" s="25">
        <f>L228-L228*G228</f>
        <v>0</v>
      </c>
      <c r="N228" s="25">
        <f t="shared" si="123"/>
        <v>0</v>
      </c>
      <c r="O228" s="25">
        <f t="shared" si="124"/>
        <v>0</v>
      </c>
      <c r="P228" s="25">
        <f>+IF(K228&lt;=$M$5,0,IF(J228&gt;$M$4,O228,N228*F228))</f>
        <v>0</v>
      </c>
      <c r="Q228" s="25">
        <f t="shared" si="125"/>
        <v>0</v>
      </c>
      <c r="R228" s="25">
        <f t="shared" si="126"/>
        <v>0</v>
      </c>
      <c r="S228" s="25">
        <f t="shared" si="127"/>
        <v>0</v>
      </c>
      <c r="V228" s="49">
        <v>43191</v>
      </c>
      <c r="W228" s="48">
        <v>0</v>
      </c>
      <c r="X228" s="47" t="s">
        <v>808</v>
      </c>
      <c r="Y228" s="48">
        <v>0</v>
      </c>
    </row>
    <row r="229" spans="1:25" outlineLevel="1">
      <c r="A229" s="62"/>
      <c r="C229" s="72">
        <v>4033</v>
      </c>
      <c r="D229" s="62" t="s">
        <v>675</v>
      </c>
      <c r="E229" s="62">
        <v>2018</v>
      </c>
      <c r="F229" s="62">
        <v>5</v>
      </c>
      <c r="G229" s="73">
        <v>0</v>
      </c>
      <c r="H229" s="62" t="s">
        <v>78</v>
      </c>
      <c r="I229" s="62">
        <f>+IF(J228-$M$4&gt;=3,J228-$M$4,3)</f>
        <v>2009</v>
      </c>
      <c r="J229" s="62">
        <f t="shared" si="121"/>
        <v>4027</v>
      </c>
      <c r="K229" s="80">
        <f t="shared" si="122"/>
        <v>4027.4166666666665</v>
      </c>
      <c r="L229" s="81">
        <v>0</v>
      </c>
      <c r="M229" s="81">
        <f>L229-(L229*G229)</f>
        <v>0</v>
      </c>
      <c r="N229" s="81">
        <f t="shared" si="123"/>
        <v>0</v>
      </c>
      <c r="O229" s="81">
        <f t="shared" si="124"/>
        <v>0</v>
      </c>
      <c r="P229" s="81">
        <f>+IF(K229&lt;=$M$5,0,IF(J229&gt;$M$4,O229,N229*F229))</f>
        <v>0</v>
      </c>
      <c r="Q229" s="81">
        <f t="shared" si="125"/>
        <v>0</v>
      </c>
      <c r="R229" s="81">
        <f t="shared" si="126"/>
        <v>0</v>
      </c>
      <c r="S229" s="81">
        <f t="shared" si="127"/>
        <v>0</v>
      </c>
      <c r="T229" t="s">
        <v>790</v>
      </c>
    </row>
    <row r="230" spans="1:25" outlineLevel="1">
      <c r="A230" t="s">
        <v>284</v>
      </c>
      <c r="C230">
        <v>3606</v>
      </c>
      <c r="D230" t="s">
        <v>377</v>
      </c>
      <c r="E230">
        <v>2007</v>
      </c>
      <c r="F230">
        <v>7</v>
      </c>
      <c r="G230" s="26">
        <v>0</v>
      </c>
      <c r="H230" t="s">
        <v>78</v>
      </c>
      <c r="I230">
        <v>7</v>
      </c>
      <c r="J230">
        <f t="shared" si="121"/>
        <v>2014</v>
      </c>
      <c r="K230" s="24">
        <f t="shared" si="122"/>
        <v>2014.5833333333333</v>
      </c>
      <c r="L230" s="25">
        <f>'Orig Trucks 2183'!P43</f>
        <v>155764.03200000001</v>
      </c>
      <c r="M230" s="25">
        <f>L230-L230*G230</f>
        <v>155764.03200000001</v>
      </c>
      <c r="N230" s="25">
        <f t="shared" si="123"/>
        <v>1854.3337142857144</v>
      </c>
      <c r="O230" s="25">
        <f t="shared" si="124"/>
        <v>22252.004571428573</v>
      </c>
      <c r="P230" s="25">
        <f>+IF(K230&lt;=$M$5,0,IF(J230=$M$4,N230*F230,O230))</f>
        <v>22252.004571428573</v>
      </c>
      <c r="Q230" s="25">
        <f t="shared" si="125"/>
        <v>0</v>
      </c>
      <c r="R230" s="25">
        <f t="shared" si="126"/>
        <v>22252.004571428573</v>
      </c>
      <c r="S230" s="25">
        <f t="shared" si="127"/>
        <v>133512.02742857143</v>
      </c>
      <c r="V230" s="49">
        <v>43191</v>
      </c>
      <c r="W230" s="48">
        <v>0</v>
      </c>
      <c r="X230" s="47" t="s">
        <v>808</v>
      </c>
      <c r="Y230" s="48">
        <v>0</v>
      </c>
    </row>
    <row r="231" spans="1:25" outlineLevel="1">
      <c r="A231" s="62"/>
      <c r="C231" s="72">
        <v>3606</v>
      </c>
      <c r="D231" s="62" t="s">
        <v>664</v>
      </c>
      <c r="E231" s="62">
        <v>2018</v>
      </c>
      <c r="F231" s="62">
        <v>5</v>
      </c>
      <c r="G231" s="73">
        <v>0</v>
      </c>
      <c r="H231" s="62" t="s">
        <v>78</v>
      </c>
      <c r="I231" s="62">
        <f>+IF(J230-$M$4&gt;=3,J230-$M$4,3)</f>
        <v>2014</v>
      </c>
      <c r="J231" s="62">
        <f t="shared" si="121"/>
        <v>4032</v>
      </c>
      <c r="K231" s="74">
        <f t="shared" si="122"/>
        <v>4032.4166666666665</v>
      </c>
      <c r="L231" s="81"/>
      <c r="M231" s="81">
        <f>L231-(L231*G231)</f>
        <v>0</v>
      </c>
      <c r="N231" s="81">
        <f t="shared" si="123"/>
        <v>0</v>
      </c>
      <c r="O231" s="81">
        <f t="shared" si="124"/>
        <v>0</v>
      </c>
      <c r="P231" s="81">
        <f>+IF(K231&lt;=$M$5,0,IF(J231=$M$4,N231*F231,O231))</f>
        <v>0</v>
      </c>
      <c r="Q231" s="81">
        <f t="shared" si="125"/>
        <v>0</v>
      </c>
      <c r="R231" s="81">
        <f t="shared" si="126"/>
        <v>0</v>
      </c>
      <c r="S231" s="81">
        <f t="shared" si="127"/>
        <v>0</v>
      </c>
      <c r="T231" t="s">
        <v>147</v>
      </c>
    </row>
    <row r="232" spans="1:25" outlineLevel="1">
      <c r="A232" t="s">
        <v>288</v>
      </c>
      <c r="B232" s="5" t="s">
        <v>568</v>
      </c>
      <c r="C232">
        <v>8924</v>
      </c>
      <c r="D232" t="s">
        <v>569</v>
      </c>
      <c r="E232">
        <v>2015</v>
      </c>
      <c r="F232">
        <v>5</v>
      </c>
      <c r="G232" s="26">
        <v>0</v>
      </c>
      <c r="H232" t="s">
        <v>78</v>
      </c>
      <c r="I232">
        <v>3</v>
      </c>
      <c r="J232">
        <f t="shared" si="121"/>
        <v>2018</v>
      </c>
      <c r="K232" s="24">
        <f t="shared" si="122"/>
        <v>2018.4166666666667</v>
      </c>
      <c r="L232" s="25">
        <f>29396+30486</f>
        <v>59882</v>
      </c>
      <c r="M232" s="25">
        <f>L232-L232*G232</f>
        <v>59882</v>
      </c>
      <c r="N232" s="25">
        <f t="shared" si="123"/>
        <v>1663.3888888888889</v>
      </c>
      <c r="O232" s="25">
        <f t="shared" si="124"/>
        <v>19960.666666666668</v>
      </c>
      <c r="P232" s="25">
        <f>+IF(K232&lt;=$M$5,0,IF(J232=$M$4,N232*F232,O232))</f>
        <v>19960.666666666668</v>
      </c>
      <c r="Q232" s="25">
        <f t="shared" si="125"/>
        <v>0</v>
      </c>
      <c r="R232" s="25">
        <f t="shared" si="126"/>
        <v>19960.666666666668</v>
      </c>
      <c r="S232" s="25">
        <f t="shared" si="127"/>
        <v>39921.333333333328</v>
      </c>
    </row>
    <row r="233" spans="1:25" outlineLevel="1">
      <c r="A233" t="s">
        <v>283</v>
      </c>
      <c r="C233">
        <v>4025</v>
      </c>
      <c r="D233" t="s">
        <v>378</v>
      </c>
      <c r="E233">
        <v>2000</v>
      </c>
      <c r="F233">
        <v>4</v>
      </c>
      <c r="G233" s="26">
        <v>0</v>
      </c>
      <c r="H233" t="s">
        <v>78</v>
      </c>
      <c r="I233">
        <v>7</v>
      </c>
      <c r="J233">
        <f t="shared" ref="J233:J241" si="129">E233+I233</f>
        <v>2007</v>
      </c>
      <c r="K233" s="63">
        <f t="shared" ref="K233:K241" si="130">+J233+(F233/12)</f>
        <v>2007.3333333333333</v>
      </c>
      <c r="L233" s="25">
        <f>'Orig Trucks 2183'!P82</f>
        <v>97205.135999999999</v>
      </c>
      <c r="M233" s="25">
        <f>L233-L233*G233</f>
        <v>97205.135999999999</v>
      </c>
      <c r="N233" s="25">
        <f t="shared" ref="N233:N241" si="131">M233/I233/12</f>
        <v>1157.204</v>
      </c>
      <c r="O233" s="25">
        <f t="shared" ref="O233:O241" si="132">+N233*12</f>
        <v>13886.448</v>
      </c>
      <c r="P233" s="25">
        <f>+IF(K233&lt;=$M$5,0,IF(J233&gt;$M$4,O233,N233*F233))</f>
        <v>13886.448</v>
      </c>
      <c r="Q233" s="25">
        <f t="shared" ref="Q233:Q241" si="133">+IF(P233=0,M233,IF($M$3-E233&lt;1,0,(($M$3-E233)*O233)))</f>
        <v>0</v>
      </c>
      <c r="R233" s="25">
        <f t="shared" ref="R233:R241" si="134">+IF(P233=0,Q233,Q233+P233)</f>
        <v>13886.448</v>
      </c>
      <c r="S233" s="25">
        <f t="shared" ref="S233:S241" si="135">+L233-R233</f>
        <v>83318.687999999995</v>
      </c>
      <c r="V233" s="49">
        <v>43191</v>
      </c>
      <c r="W233" s="48">
        <v>0</v>
      </c>
      <c r="X233" s="47" t="s">
        <v>808</v>
      </c>
      <c r="Y233" s="48">
        <v>0</v>
      </c>
    </row>
    <row r="234" spans="1:25" outlineLevel="1">
      <c r="A234" s="62"/>
      <c r="C234" s="72">
        <v>4025</v>
      </c>
      <c r="D234" s="62" t="s">
        <v>673</v>
      </c>
      <c r="E234" s="62">
        <v>2018</v>
      </c>
      <c r="F234" s="62">
        <v>5</v>
      </c>
      <c r="G234" s="73">
        <v>0</v>
      </c>
      <c r="H234" s="62" t="s">
        <v>78</v>
      </c>
      <c r="I234" s="62">
        <f>+IF(J233-$M$4&gt;=3,J233-$M$4,3)</f>
        <v>2007</v>
      </c>
      <c r="J234" s="62">
        <f t="shared" si="129"/>
        <v>4025</v>
      </c>
      <c r="K234" s="80">
        <f t="shared" si="130"/>
        <v>4025.4166666666665</v>
      </c>
      <c r="L234" s="81"/>
      <c r="M234" s="81">
        <f>L234-(L234*G234)</f>
        <v>0</v>
      </c>
      <c r="N234" s="81">
        <f t="shared" si="131"/>
        <v>0</v>
      </c>
      <c r="O234" s="81">
        <f t="shared" si="132"/>
        <v>0</v>
      </c>
      <c r="P234" s="81">
        <f>+IF(K234&lt;=$M$5,0,IF(J234&gt;$M$4,O234,N234*F234))</f>
        <v>0</v>
      </c>
      <c r="Q234" s="81">
        <f t="shared" si="133"/>
        <v>0</v>
      </c>
      <c r="R234" s="81">
        <f t="shared" si="134"/>
        <v>0</v>
      </c>
      <c r="S234" s="81">
        <f t="shared" si="135"/>
        <v>0</v>
      </c>
      <c r="T234" t="s">
        <v>790</v>
      </c>
    </row>
    <row r="235" spans="1:25" outlineLevel="1">
      <c r="A235" t="s">
        <v>283</v>
      </c>
      <c r="C235">
        <v>4025</v>
      </c>
      <c r="D235" t="s">
        <v>329</v>
      </c>
      <c r="E235">
        <v>2009</v>
      </c>
      <c r="F235">
        <v>6</v>
      </c>
      <c r="G235" s="26">
        <v>0</v>
      </c>
      <c r="H235" t="s">
        <v>78</v>
      </c>
      <c r="I235">
        <v>3</v>
      </c>
      <c r="J235">
        <f t="shared" si="129"/>
        <v>2012</v>
      </c>
      <c r="K235" s="63">
        <f t="shared" si="130"/>
        <v>2012.5</v>
      </c>
      <c r="L235" s="25">
        <v>4615.03</v>
      </c>
      <c r="M235" s="25">
        <f>L235-L235*G235</f>
        <v>4615.03</v>
      </c>
      <c r="N235" s="25">
        <f t="shared" si="131"/>
        <v>128.19527777777776</v>
      </c>
      <c r="O235" s="25">
        <f t="shared" si="132"/>
        <v>1538.3433333333332</v>
      </c>
      <c r="P235" s="25">
        <f>+IF(K235&lt;=$M$5,0,IF(J235&gt;$M$4,O235,N235*F235))</f>
        <v>1538.3433333333332</v>
      </c>
      <c r="Q235" s="25">
        <f t="shared" si="133"/>
        <v>0</v>
      </c>
      <c r="R235" s="25">
        <f t="shared" si="134"/>
        <v>1538.3433333333332</v>
      </c>
      <c r="S235" s="25">
        <f t="shared" si="135"/>
        <v>3076.6866666666665</v>
      </c>
    </row>
    <row r="236" spans="1:25" outlineLevel="1">
      <c r="A236" t="s">
        <v>283</v>
      </c>
      <c r="C236">
        <v>4030</v>
      </c>
      <c r="D236" t="s">
        <v>330</v>
      </c>
      <c r="E236">
        <v>2009</v>
      </c>
      <c r="F236">
        <v>6</v>
      </c>
      <c r="G236" s="26">
        <v>0</v>
      </c>
      <c r="H236" t="s">
        <v>78</v>
      </c>
      <c r="I236">
        <v>3</v>
      </c>
      <c r="J236">
        <f t="shared" si="129"/>
        <v>2012</v>
      </c>
      <c r="K236" s="63">
        <f t="shared" si="130"/>
        <v>2012.5</v>
      </c>
      <c r="L236" s="25">
        <v>2556.91</v>
      </c>
      <c r="M236" s="25">
        <f>L236-L236*G236</f>
        <v>2556.91</v>
      </c>
      <c r="N236" s="25">
        <f t="shared" si="131"/>
        <v>71.025277777777774</v>
      </c>
      <c r="O236" s="25">
        <f t="shared" si="132"/>
        <v>852.30333333333328</v>
      </c>
      <c r="P236" s="25">
        <f>+IF(K236&lt;=$M$5,0,IF(J236&gt;$M$4,O236,N236*F236))</f>
        <v>852.30333333333328</v>
      </c>
      <c r="Q236" s="25">
        <f t="shared" si="133"/>
        <v>0</v>
      </c>
      <c r="R236" s="25">
        <f t="shared" si="134"/>
        <v>852.30333333333328</v>
      </c>
      <c r="S236" s="25">
        <f t="shared" si="135"/>
        <v>1704.6066666666666</v>
      </c>
    </row>
    <row r="237" spans="1:25" outlineLevel="1">
      <c r="B237" s="5">
        <v>95840</v>
      </c>
      <c r="C237">
        <v>4030</v>
      </c>
      <c r="D237" t="s">
        <v>467</v>
      </c>
      <c r="E237">
        <v>2012</v>
      </c>
      <c r="F237">
        <v>7</v>
      </c>
      <c r="G237" s="26">
        <v>0</v>
      </c>
      <c r="H237" t="s">
        <v>78</v>
      </c>
      <c r="I237">
        <v>3</v>
      </c>
      <c r="J237">
        <f t="shared" si="129"/>
        <v>2015</v>
      </c>
      <c r="K237" s="63">
        <f t="shared" si="130"/>
        <v>2015.5833333333333</v>
      </c>
      <c r="L237" s="25">
        <v>45311</v>
      </c>
      <c r="M237" s="25">
        <f>L237-L237*G237</f>
        <v>45311</v>
      </c>
      <c r="N237" s="25">
        <f t="shared" si="131"/>
        <v>1258.6388888888889</v>
      </c>
      <c r="O237" s="25">
        <f t="shared" si="132"/>
        <v>15103.666666666668</v>
      </c>
      <c r="P237" s="25">
        <f>+IF(K237&lt;=$M$5,0,IF(J237&gt;$M$4,O237,N237*F237))</f>
        <v>15103.666666666668</v>
      </c>
      <c r="Q237" s="25">
        <f t="shared" si="133"/>
        <v>0</v>
      </c>
      <c r="R237" s="25">
        <f t="shared" si="134"/>
        <v>15103.666666666668</v>
      </c>
      <c r="S237" s="25">
        <f t="shared" si="135"/>
        <v>30207.333333333332</v>
      </c>
    </row>
    <row r="238" spans="1:25" outlineLevel="1">
      <c r="A238" t="s">
        <v>288</v>
      </c>
      <c r="C238">
        <v>5001</v>
      </c>
      <c r="D238" t="s">
        <v>303</v>
      </c>
      <c r="E238">
        <v>1996</v>
      </c>
      <c r="F238">
        <v>1</v>
      </c>
      <c r="G238" s="26">
        <v>0</v>
      </c>
      <c r="H238" t="s">
        <v>78</v>
      </c>
      <c r="I238">
        <v>5</v>
      </c>
      <c r="J238">
        <f t="shared" si="129"/>
        <v>2001</v>
      </c>
      <c r="K238" s="24">
        <f t="shared" si="130"/>
        <v>2001.0833333333333</v>
      </c>
      <c r="L238" s="25">
        <f>+'Orig Trucks 2183'!P14</f>
        <v>20909.36</v>
      </c>
      <c r="M238" s="25">
        <f>L238-(L238*G238)</f>
        <v>20909.36</v>
      </c>
      <c r="N238" s="25">
        <f t="shared" si="131"/>
        <v>348.48933333333338</v>
      </c>
      <c r="O238" s="25">
        <f t="shared" si="132"/>
        <v>4181.8720000000003</v>
      </c>
      <c r="P238" s="25">
        <f>+IF(K238&lt;=$M$5,0,IF(J238=$M$4,N238*F238,O238))</f>
        <v>4181.8720000000003</v>
      </c>
      <c r="Q238" s="25">
        <f t="shared" si="133"/>
        <v>0</v>
      </c>
      <c r="R238" s="25">
        <f t="shared" si="134"/>
        <v>4181.8720000000003</v>
      </c>
      <c r="S238" s="25">
        <f t="shared" si="135"/>
        <v>16727.488000000001</v>
      </c>
      <c r="V238" s="49">
        <v>43409</v>
      </c>
      <c r="W238" s="48">
        <v>0</v>
      </c>
      <c r="X238" t="s">
        <v>809</v>
      </c>
      <c r="Y238" s="48">
        <v>0</v>
      </c>
    </row>
    <row r="239" spans="1:25" outlineLevel="1">
      <c r="A239" s="62"/>
      <c r="C239" s="72">
        <v>5001</v>
      </c>
      <c r="D239" s="62" t="s">
        <v>648</v>
      </c>
      <c r="E239" s="62">
        <v>2018</v>
      </c>
      <c r="F239" s="62">
        <v>5</v>
      </c>
      <c r="G239" s="73">
        <v>0</v>
      </c>
      <c r="H239" s="62" t="s">
        <v>78</v>
      </c>
      <c r="I239" s="62">
        <f>+IF(J238-$M$4&gt;=3,J238-$M$4,3)</f>
        <v>2001</v>
      </c>
      <c r="J239" s="62">
        <f t="shared" si="129"/>
        <v>4019</v>
      </c>
      <c r="K239" s="74">
        <f t="shared" si="130"/>
        <v>4019.4166666666665</v>
      </c>
      <c r="L239" s="81"/>
      <c r="M239" s="81">
        <f>L239-(L239*G239)</f>
        <v>0</v>
      </c>
      <c r="N239" s="81">
        <f t="shared" si="131"/>
        <v>0</v>
      </c>
      <c r="O239" s="81">
        <f t="shared" si="132"/>
        <v>0</v>
      </c>
      <c r="P239" s="81">
        <f>+IF(K239&lt;=$M$5,0,IF(J239=$M$4,N239*F239,O239))</f>
        <v>0</v>
      </c>
      <c r="Q239" s="81">
        <f t="shared" si="133"/>
        <v>0</v>
      </c>
      <c r="R239" s="81">
        <f t="shared" si="134"/>
        <v>0</v>
      </c>
      <c r="S239" s="81">
        <f t="shared" si="135"/>
        <v>0</v>
      </c>
      <c r="T239" t="s">
        <v>147</v>
      </c>
    </row>
    <row r="240" spans="1:25" outlineLevel="1">
      <c r="A240" t="s">
        <v>290</v>
      </c>
      <c r="C240">
        <v>5036</v>
      </c>
      <c r="D240" t="s">
        <v>451</v>
      </c>
      <c r="E240">
        <v>1999</v>
      </c>
      <c r="F240">
        <v>10</v>
      </c>
      <c r="G240" s="26">
        <v>0</v>
      </c>
      <c r="H240" t="s">
        <v>78</v>
      </c>
      <c r="I240">
        <v>7</v>
      </c>
      <c r="J240">
        <f t="shared" si="129"/>
        <v>2006</v>
      </c>
      <c r="K240" s="63">
        <f t="shared" si="130"/>
        <v>2006.8333333333333</v>
      </c>
      <c r="L240" s="25">
        <f>'Orig Trucks 2183'!P122</f>
        <v>17344</v>
      </c>
      <c r="M240" s="25">
        <f>L240-L240*G240</f>
        <v>17344</v>
      </c>
      <c r="N240" s="25">
        <f t="shared" si="131"/>
        <v>206.47619047619048</v>
      </c>
      <c r="O240" s="25">
        <f t="shared" si="132"/>
        <v>2477.7142857142858</v>
      </c>
      <c r="P240" s="25">
        <f>+IF(K240&lt;=$M$5,0,IF(J240&gt;$M$4,O240,N240*F240))</f>
        <v>2477.7142857142858</v>
      </c>
      <c r="Q240" s="25">
        <f t="shared" si="133"/>
        <v>0</v>
      </c>
      <c r="R240" s="25">
        <f t="shared" si="134"/>
        <v>2477.7142857142858</v>
      </c>
      <c r="S240" s="25">
        <f t="shared" si="135"/>
        <v>14866.285714285714</v>
      </c>
      <c r="V240" s="49">
        <v>43059</v>
      </c>
      <c r="W240" s="48">
        <v>0</v>
      </c>
      <c r="X240" t="s">
        <v>807</v>
      </c>
      <c r="Y240" s="48">
        <v>607</v>
      </c>
    </row>
    <row r="241" spans="1:25" outlineLevel="1">
      <c r="A241" s="62"/>
      <c r="C241" s="72">
        <v>5036</v>
      </c>
      <c r="D241" s="62" t="s">
        <v>683</v>
      </c>
      <c r="E241" s="62">
        <v>2018</v>
      </c>
      <c r="F241" s="62">
        <v>5</v>
      </c>
      <c r="G241" s="73">
        <v>0</v>
      </c>
      <c r="H241" s="62" t="s">
        <v>78</v>
      </c>
      <c r="I241" s="62">
        <f>+IF(J240-$M$4&gt;=3,J240-$M$4,3)</f>
        <v>2006</v>
      </c>
      <c r="J241" s="62">
        <f t="shared" si="129"/>
        <v>4024</v>
      </c>
      <c r="K241" s="80">
        <f t="shared" si="130"/>
        <v>4024.4166666666665</v>
      </c>
      <c r="L241" s="81">
        <f>'Orig Trucks 2183'!N122-'Trucks 2183'!L240</f>
        <v>4336</v>
      </c>
      <c r="M241" s="81">
        <f>L241-Y240</f>
        <v>3729</v>
      </c>
      <c r="N241" s="81">
        <f t="shared" si="131"/>
        <v>0.15491026919242273</v>
      </c>
      <c r="O241" s="81">
        <f t="shared" si="132"/>
        <v>1.8589232303090728</v>
      </c>
      <c r="P241" s="81">
        <f>+IF(K241&lt;=$M$5,0,IF(J241&gt;$M$4,O241,N241*F241))</f>
        <v>1.8589232303090728</v>
      </c>
      <c r="Q241" s="81">
        <f t="shared" si="133"/>
        <v>0</v>
      </c>
      <c r="R241" s="81">
        <f t="shared" si="134"/>
        <v>1.8589232303090728</v>
      </c>
      <c r="S241" s="81">
        <f t="shared" si="135"/>
        <v>4334.1410767696907</v>
      </c>
      <c r="T241" t="s">
        <v>789</v>
      </c>
    </row>
    <row r="242" spans="1:25" outlineLevel="1">
      <c r="A242" t="s">
        <v>312</v>
      </c>
      <c r="C242">
        <v>11088</v>
      </c>
      <c r="D242" t="s">
        <v>326</v>
      </c>
      <c r="E242">
        <v>2006</v>
      </c>
      <c r="F242">
        <v>10</v>
      </c>
      <c r="G242" s="26">
        <v>0</v>
      </c>
      <c r="H242" t="s">
        <v>78</v>
      </c>
      <c r="I242">
        <v>5</v>
      </c>
      <c r="J242">
        <f t="shared" ref="J242:J248" si="136">E242+I242</f>
        <v>2011</v>
      </c>
      <c r="K242" s="24">
        <f t="shared" ref="K242:K248" si="137">+J242+(F242/12)</f>
        <v>2011.8333333333333</v>
      </c>
      <c r="L242" s="25">
        <f>'Orig Trucks 2183'!P36</f>
        <v>102268.9474</v>
      </c>
      <c r="M242" s="25">
        <f>L242-L242*G242</f>
        <v>102268.9474</v>
      </c>
      <c r="N242" s="25">
        <f t="shared" ref="N242:N248" si="138">M242/I242/12</f>
        <v>1704.4824566666666</v>
      </c>
      <c r="O242" s="25">
        <f t="shared" ref="O242:O248" si="139">+N242*12</f>
        <v>20453.789479999999</v>
      </c>
      <c r="P242" s="25">
        <f t="shared" ref="P242:P248" si="140">+IF(K242&lt;=$M$5,0,IF(J242=$M$4,N242*F242,O242))</f>
        <v>20453.789479999999</v>
      </c>
      <c r="Q242" s="25">
        <f t="shared" ref="Q242:Q248" si="141">+IF(P242=0,M242,IF($M$3-E242&lt;1,0,(($M$3-E242)*O242)))</f>
        <v>0</v>
      </c>
      <c r="R242" s="25">
        <f t="shared" ref="R242:R248" si="142">+IF(P242=0,Q242,Q242+P242)</f>
        <v>20453.789479999999</v>
      </c>
      <c r="S242" s="25">
        <f t="shared" ref="S242:S248" si="143">+L242-R242</f>
        <v>81815.157919999998</v>
      </c>
      <c r="V242" s="49">
        <v>42461</v>
      </c>
      <c r="W242" s="48">
        <v>0</v>
      </c>
      <c r="X242" s="47" t="s">
        <v>807</v>
      </c>
      <c r="Y242" s="48">
        <v>0</v>
      </c>
    </row>
    <row r="243" spans="1:25" outlineLevel="1">
      <c r="A243" s="62"/>
      <c r="C243" s="72">
        <v>11088</v>
      </c>
      <c r="D243" s="62" t="s">
        <v>659</v>
      </c>
      <c r="E243" s="62">
        <v>2018</v>
      </c>
      <c r="F243" s="62">
        <v>5</v>
      </c>
      <c r="G243" s="73">
        <v>0</v>
      </c>
      <c r="H243" s="62" t="s">
        <v>78</v>
      </c>
      <c r="I243" s="62">
        <f>+IF(J242-$M$4&gt;=3,J242-$M$4,3)</f>
        <v>2011</v>
      </c>
      <c r="J243" s="62">
        <f t="shared" si="136"/>
        <v>4029</v>
      </c>
      <c r="K243" s="74">
        <f t="shared" si="137"/>
        <v>4029.4166666666665</v>
      </c>
      <c r="L243" s="81">
        <f>'Orig Trucks 2183'!N36-'Trucks 2183'!L242</f>
        <v>50371.272599999997</v>
      </c>
      <c r="M243" s="81">
        <f>L243-(L243*G243)</f>
        <v>50371.272599999997</v>
      </c>
      <c r="N243" s="81">
        <f t="shared" si="138"/>
        <v>2.0873227498756837</v>
      </c>
      <c r="O243" s="81">
        <f t="shared" si="139"/>
        <v>25.047872998508204</v>
      </c>
      <c r="P243" s="81">
        <f t="shared" si="140"/>
        <v>25.047872998508204</v>
      </c>
      <c r="Q243" s="81">
        <f t="shared" si="141"/>
        <v>0</v>
      </c>
      <c r="R243" s="81">
        <f t="shared" si="142"/>
        <v>25.047872998508204</v>
      </c>
      <c r="S243" s="81">
        <f t="shared" si="143"/>
        <v>50346.224727001485</v>
      </c>
      <c r="T243" t="s">
        <v>147</v>
      </c>
    </row>
    <row r="244" spans="1:25" outlineLevel="1">
      <c r="B244" s="5">
        <v>128674</v>
      </c>
      <c r="C244">
        <v>2517</v>
      </c>
      <c r="D244" t="s">
        <v>584</v>
      </c>
      <c r="E244">
        <v>2015</v>
      </c>
      <c r="F244">
        <v>12</v>
      </c>
      <c r="G244" s="26">
        <v>0</v>
      </c>
      <c r="H244" t="s">
        <v>78</v>
      </c>
      <c r="I244">
        <v>10</v>
      </c>
      <c r="J244">
        <f t="shared" si="136"/>
        <v>2025</v>
      </c>
      <c r="K244" s="24">
        <f t="shared" si="137"/>
        <v>2026</v>
      </c>
      <c r="L244" s="25">
        <v>340829.73</v>
      </c>
      <c r="M244" s="25">
        <f>L244-L244*G244</f>
        <v>340829.73</v>
      </c>
      <c r="N244" s="25">
        <f t="shared" si="138"/>
        <v>2840.24775</v>
      </c>
      <c r="O244" s="25">
        <f t="shared" si="139"/>
        <v>34082.972999999998</v>
      </c>
      <c r="P244" s="25">
        <f t="shared" si="140"/>
        <v>34082.972999999998</v>
      </c>
      <c r="Q244" s="25">
        <f t="shared" si="141"/>
        <v>0</v>
      </c>
      <c r="R244" s="25">
        <f t="shared" si="142"/>
        <v>34082.972999999998</v>
      </c>
      <c r="S244" s="25">
        <f t="shared" si="143"/>
        <v>306746.75699999998</v>
      </c>
    </row>
    <row r="245" spans="1:25" outlineLevel="1">
      <c r="A245" t="s">
        <v>285</v>
      </c>
      <c r="B245" s="5">
        <v>74778</v>
      </c>
      <c r="C245">
        <v>1040</v>
      </c>
      <c r="D245" t="s">
        <v>148</v>
      </c>
      <c r="E245">
        <v>2004</v>
      </c>
      <c r="F245">
        <v>9</v>
      </c>
      <c r="G245" s="26">
        <v>0</v>
      </c>
      <c r="H245" t="s">
        <v>78</v>
      </c>
      <c r="I245">
        <v>7</v>
      </c>
      <c r="J245">
        <f t="shared" si="136"/>
        <v>2011</v>
      </c>
      <c r="K245" s="24">
        <f t="shared" si="137"/>
        <v>2011.75</v>
      </c>
      <c r="L245" s="25">
        <f>'Orig Trucks 2183'!P21</f>
        <v>90347.51999999999</v>
      </c>
      <c r="M245" s="25">
        <f>L245-L245*G245</f>
        <v>90347.51999999999</v>
      </c>
      <c r="N245" s="25">
        <f t="shared" si="138"/>
        <v>1075.5657142857142</v>
      </c>
      <c r="O245" s="25">
        <f t="shared" si="139"/>
        <v>12906.788571428569</v>
      </c>
      <c r="P245" s="25">
        <f t="shared" si="140"/>
        <v>12906.788571428569</v>
      </c>
      <c r="Q245" s="25">
        <f t="shared" si="141"/>
        <v>0</v>
      </c>
      <c r="R245" s="25">
        <f t="shared" si="142"/>
        <v>12906.788571428569</v>
      </c>
      <c r="S245" s="25">
        <f t="shared" si="143"/>
        <v>77440.731428571424</v>
      </c>
      <c r="V245" s="49">
        <v>42614</v>
      </c>
      <c r="W245" s="48">
        <v>0</v>
      </c>
      <c r="X245" t="s">
        <v>811</v>
      </c>
      <c r="Y245" s="48">
        <v>0</v>
      </c>
    </row>
    <row r="246" spans="1:25" outlineLevel="1">
      <c r="A246" s="62"/>
      <c r="C246" s="72">
        <v>1040</v>
      </c>
      <c r="D246" s="62" t="s">
        <v>652</v>
      </c>
      <c r="E246" s="62">
        <v>2018</v>
      </c>
      <c r="F246" s="62">
        <v>5</v>
      </c>
      <c r="G246" s="73">
        <v>0</v>
      </c>
      <c r="H246" s="62" t="s">
        <v>78</v>
      </c>
      <c r="I246" s="62">
        <f>+IF(J245-$M$4&gt;=3,J245-$M$4,3)</f>
        <v>2011</v>
      </c>
      <c r="J246" s="62">
        <f t="shared" si="136"/>
        <v>4029</v>
      </c>
      <c r="K246" s="74">
        <f t="shared" si="137"/>
        <v>4029.4166666666665</v>
      </c>
      <c r="L246" s="81"/>
      <c r="M246" s="81">
        <f>L246-(L246*G246)</f>
        <v>0</v>
      </c>
      <c r="N246" s="81">
        <f t="shared" si="138"/>
        <v>0</v>
      </c>
      <c r="O246" s="81">
        <f t="shared" si="139"/>
        <v>0</v>
      </c>
      <c r="P246" s="81">
        <f t="shared" si="140"/>
        <v>0</v>
      </c>
      <c r="Q246" s="81">
        <f t="shared" si="141"/>
        <v>0</v>
      </c>
      <c r="R246" s="81">
        <f t="shared" si="142"/>
        <v>0</v>
      </c>
      <c r="S246" s="81">
        <f t="shared" si="143"/>
        <v>0</v>
      </c>
      <c r="T246" t="s">
        <v>147</v>
      </c>
    </row>
    <row r="247" spans="1:25" outlineLevel="1">
      <c r="A247" t="s">
        <v>285</v>
      </c>
      <c r="C247">
        <v>1040</v>
      </c>
      <c r="D247" t="s">
        <v>84</v>
      </c>
      <c r="E247">
        <v>2004</v>
      </c>
      <c r="F247">
        <v>9</v>
      </c>
      <c r="G247" s="26">
        <v>0</v>
      </c>
      <c r="H247" t="s">
        <v>78</v>
      </c>
      <c r="I247">
        <v>7</v>
      </c>
      <c r="J247">
        <f t="shared" si="136"/>
        <v>2011</v>
      </c>
      <c r="K247" s="24">
        <f t="shared" si="137"/>
        <v>2011.75</v>
      </c>
      <c r="L247" s="25">
        <f>'Orig Trucks 2183'!P22</f>
        <v>2184.7040000000002</v>
      </c>
      <c r="M247" s="25">
        <f>L247-L247*G247</f>
        <v>2184.7040000000002</v>
      </c>
      <c r="N247" s="25">
        <f t="shared" si="138"/>
        <v>26.008380952380957</v>
      </c>
      <c r="O247" s="25">
        <f t="shared" si="139"/>
        <v>312.10057142857147</v>
      </c>
      <c r="P247" s="25">
        <f t="shared" si="140"/>
        <v>312.10057142857147</v>
      </c>
      <c r="Q247" s="25">
        <f t="shared" si="141"/>
        <v>0</v>
      </c>
      <c r="R247" s="25">
        <f t="shared" si="142"/>
        <v>312.10057142857147</v>
      </c>
      <c r="S247" s="25">
        <f t="shared" si="143"/>
        <v>1872.6034285714286</v>
      </c>
    </row>
    <row r="248" spans="1:25" outlineLevel="1">
      <c r="A248" s="62"/>
      <c r="C248" s="72">
        <v>1040</v>
      </c>
      <c r="D248" s="62" t="s">
        <v>652</v>
      </c>
      <c r="E248" s="62">
        <v>2018</v>
      </c>
      <c r="F248" s="62">
        <v>5</v>
      </c>
      <c r="G248" s="73">
        <v>0</v>
      </c>
      <c r="H248" s="62" t="s">
        <v>78</v>
      </c>
      <c r="I248" s="62">
        <f>+IF(J247-$M$4&gt;=3,J247-$M$4,3)</f>
        <v>2011</v>
      </c>
      <c r="J248" s="62">
        <f t="shared" si="136"/>
        <v>4029</v>
      </c>
      <c r="K248" s="74">
        <f t="shared" si="137"/>
        <v>4029.4166666666665</v>
      </c>
      <c r="L248" s="81">
        <f>'Orig Trucks 2183'!N22-'Trucks 2183'!L247</f>
        <v>546.17599999999993</v>
      </c>
      <c r="M248" s="81">
        <f>L248-(L248*G248)</f>
        <v>546.17599999999993</v>
      </c>
      <c r="N248" s="81">
        <f t="shared" si="138"/>
        <v>2.2632852643792473E-2</v>
      </c>
      <c r="O248" s="81">
        <f t="shared" si="139"/>
        <v>0.27159423172550967</v>
      </c>
      <c r="P248" s="81">
        <f t="shared" si="140"/>
        <v>0.27159423172550967</v>
      </c>
      <c r="Q248" s="81">
        <f t="shared" si="141"/>
        <v>0</v>
      </c>
      <c r="R248" s="81">
        <f t="shared" si="142"/>
        <v>0.27159423172550967</v>
      </c>
      <c r="S248" s="81">
        <f t="shared" si="143"/>
        <v>545.90440576827439</v>
      </c>
      <c r="T248" t="s">
        <v>147</v>
      </c>
    </row>
    <row r="249" spans="1:25" outlineLevel="1"/>
    <row r="250" spans="1:25" outlineLevel="1"/>
    <row r="251" spans="1:25" outlineLevel="1"/>
    <row r="252" spans="1:25" outlineLevel="1"/>
    <row r="253" spans="1:25" outlineLevel="1"/>
    <row r="254" spans="1:25" outlineLevel="1"/>
    <row r="255" spans="1:25" outlineLevel="1"/>
    <row r="256" spans="1:25" outlineLevel="1"/>
    <row r="257" spans="1:25" outlineLevel="1"/>
    <row r="258" spans="1:25" outlineLevel="1">
      <c r="D258" s="82" t="s">
        <v>837</v>
      </c>
    </row>
    <row r="259" spans="1:25" outlineLevel="1">
      <c r="A259">
        <v>114281</v>
      </c>
      <c r="B259" s="5" t="s">
        <v>286</v>
      </c>
      <c r="C259">
        <v>2022</v>
      </c>
      <c r="D259" t="s">
        <v>541</v>
      </c>
      <c r="E259">
        <v>2004</v>
      </c>
      <c r="F259">
        <v>12</v>
      </c>
      <c r="G259" s="26">
        <v>0</v>
      </c>
      <c r="H259" t="s">
        <v>78</v>
      </c>
      <c r="I259">
        <v>7</v>
      </c>
      <c r="J259">
        <f>E259+I259</f>
        <v>2011</v>
      </c>
      <c r="K259" s="63">
        <f>+J259+(F259/12)</f>
        <v>2012</v>
      </c>
      <c r="L259" s="25">
        <v>0</v>
      </c>
      <c r="M259" s="25">
        <f>L259-L259*G259</f>
        <v>0</v>
      </c>
      <c r="N259" s="25">
        <f>M259/I259/12</f>
        <v>0</v>
      </c>
      <c r="O259" s="25">
        <f>+N259*12</f>
        <v>0</v>
      </c>
      <c r="P259" s="25">
        <f>+IF(K259&lt;=$M$5,0,IF(J259&gt;$M$4,O259,N259*F259))</f>
        <v>0</v>
      </c>
      <c r="Q259" s="25">
        <f>+IF(P259=0,M259,IF($M$3-E259&lt;1,0,(($M$3-E259)*O259)))</f>
        <v>0</v>
      </c>
      <c r="R259" s="25">
        <f>+IF(P259=0,Q259,Q259+P259)</f>
        <v>0</v>
      </c>
      <c r="S259" s="25">
        <f>+L259-R259</f>
        <v>0</v>
      </c>
      <c r="V259" s="49">
        <v>43480</v>
      </c>
      <c r="W259" s="48">
        <v>0</v>
      </c>
      <c r="X259" s="47" t="s">
        <v>810</v>
      </c>
      <c r="Y259" s="48">
        <v>0</v>
      </c>
    </row>
    <row r="260" spans="1:25" outlineLevel="1">
      <c r="A260" s="62"/>
      <c r="C260" s="72">
        <v>2022</v>
      </c>
      <c r="D260" s="62" t="s">
        <v>702</v>
      </c>
      <c r="E260" s="62">
        <v>2018</v>
      </c>
      <c r="F260" s="62">
        <v>5</v>
      </c>
      <c r="G260" s="73">
        <v>0</v>
      </c>
      <c r="H260" s="62" t="s">
        <v>78</v>
      </c>
      <c r="I260" s="62">
        <f>+IF(J259-$M$4&gt;=3,J259-$M$4,3)</f>
        <v>2011</v>
      </c>
      <c r="J260" s="62">
        <f>E260+I260</f>
        <v>4029</v>
      </c>
      <c r="K260" s="80">
        <f>+J260+(F260/12)</f>
        <v>4029.4166666666665</v>
      </c>
      <c r="L260" s="81">
        <v>0</v>
      </c>
      <c r="M260" s="81">
        <f>L260-(L260*G260)</f>
        <v>0</v>
      </c>
      <c r="N260" s="81">
        <f>M260/I260/12</f>
        <v>0</v>
      </c>
      <c r="O260" s="81">
        <f>+N260*12</f>
        <v>0</v>
      </c>
      <c r="P260" s="81">
        <f>+IF(K260&lt;=$M$5,0,IF(J260&gt;$M$4,O260,N260*F260))</f>
        <v>0</v>
      </c>
      <c r="Q260" s="81">
        <f>+IF(P260=0,M260,IF($M$3-E260&lt;1,0,(($M$3-E260)*O260)))</f>
        <v>0</v>
      </c>
      <c r="R260" s="81">
        <f>+IF(P260=0,Q260,Q260+P260)</f>
        <v>0</v>
      </c>
      <c r="S260" s="81">
        <f>+L260-R260</f>
        <v>0</v>
      </c>
      <c r="T260" t="s">
        <v>805</v>
      </c>
    </row>
    <row r="261" spans="1:25" outlineLevel="1">
      <c r="A261">
        <v>114282</v>
      </c>
      <c r="B261" s="5" t="s">
        <v>286</v>
      </c>
      <c r="C261">
        <v>2022</v>
      </c>
      <c r="D261" t="s">
        <v>546</v>
      </c>
      <c r="E261">
        <v>2009</v>
      </c>
      <c r="F261">
        <v>6</v>
      </c>
      <c r="G261" s="26">
        <v>0</v>
      </c>
      <c r="H261" t="s">
        <v>78</v>
      </c>
      <c r="I261">
        <v>3</v>
      </c>
      <c r="J261">
        <f>E261+I261</f>
        <v>2012</v>
      </c>
      <c r="K261" s="63">
        <f>+J261+(F261/12)</f>
        <v>2012.5</v>
      </c>
      <c r="L261" s="25">
        <v>9254.61</v>
      </c>
      <c r="M261" s="25">
        <f>L261-L261*G261</f>
        <v>9254.61</v>
      </c>
      <c r="N261" s="25">
        <f>M261/I261/12</f>
        <v>257.07250000000005</v>
      </c>
      <c r="O261" s="25">
        <f>+N261*12</f>
        <v>3084.8700000000008</v>
      </c>
      <c r="P261" s="25">
        <f>+IF(K261&lt;=$M$5,0,IF(J261&gt;$M$4,O261,N261*F261))</f>
        <v>3084.8700000000008</v>
      </c>
      <c r="Q261" s="25">
        <f>+IF(P261=0,M261,IF($M$3-E261&lt;1,0,(($M$3-E261)*O261)))</f>
        <v>0</v>
      </c>
      <c r="R261" s="25">
        <f>+IF(P261=0,Q261,Q261+P261)</f>
        <v>3084.8700000000008</v>
      </c>
      <c r="S261" s="25">
        <f>+L261-R261</f>
        <v>6169.74</v>
      </c>
    </row>
    <row r="262" spans="1:25" outlineLevel="1">
      <c r="B262" s="5">
        <v>207558</v>
      </c>
      <c r="D262" t="s">
        <v>750</v>
      </c>
      <c r="E262">
        <v>2005</v>
      </c>
      <c r="F262">
        <v>12</v>
      </c>
      <c r="G262" s="26">
        <v>0</v>
      </c>
      <c r="H262" t="s">
        <v>78</v>
      </c>
      <c r="I262">
        <v>10</v>
      </c>
      <c r="J262">
        <f t="shared" ref="J262:J270" si="144">E262+I262</f>
        <v>2015</v>
      </c>
      <c r="K262" s="24">
        <f t="shared" ref="K262:K270" si="145">+J262+(F262/12)</f>
        <v>2016</v>
      </c>
      <c r="L262" s="25">
        <v>67497</v>
      </c>
      <c r="M262" s="25">
        <f>L262-L262*G262</f>
        <v>67497</v>
      </c>
      <c r="N262" s="25">
        <f t="shared" ref="N262:N270" si="146">M262/I262/12</f>
        <v>562.47500000000002</v>
      </c>
      <c r="O262" s="25">
        <f t="shared" ref="O262:O270" si="147">+N262*12</f>
        <v>6749.7000000000007</v>
      </c>
      <c r="P262" s="25">
        <f>+IF(K262&lt;=$M$5,0,IF(J262&gt;$M$4,O262,N262*F262))</f>
        <v>6749.7000000000007</v>
      </c>
      <c r="Q262" s="25">
        <f t="shared" ref="Q262:Q270" si="148">+IF(P262=0,M262,IF($M$3-E262&lt;1,0,(($M$3-E262)*O262)))</f>
        <v>0</v>
      </c>
      <c r="R262" s="25">
        <f t="shared" ref="R262:R270" si="149">+IF(P262=0,Q262,Q262+P262)</f>
        <v>6749.7000000000007</v>
      </c>
      <c r="S262" s="25">
        <f t="shared" ref="S262:S270" si="150">+L262-R262</f>
        <v>60747.3</v>
      </c>
    </row>
    <row r="263" spans="1:25" outlineLevel="1">
      <c r="A263" t="s">
        <v>155</v>
      </c>
      <c r="B263" s="5">
        <v>61074</v>
      </c>
      <c r="C263">
        <v>3561</v>
      </c>
      <c r="D263" t="s">
        <v>373</v>
      </c>
      <c r="E263">
        <v>2001</v>
      </c>
      <c r="F263">
        <v>4</v>
      </c>
      <c r="G263" s="26">
        <v>0</v>
      </c>
      <c r="H263" t="s">
        <v>78</v>
      </c>
      <c r="I263">
        <v>7</v>
      </c>
      <c r="J263">
        <f t="shared" si="144"/>
        <v>2008</v>
      </c>
      <c r="K263" s="24">
        <f t="shared" si="145"/>
        <v>2008.3333333333333</v>
      </c>
      <c r="L263" s="25">
        <f>'Orig Trucks 2183'!P19</f>
        <v>124885.656</v>
      </c>
      <c r="M263" s="25">
        <f>L263-L263*G263</f>
        <v>124885.656</v>
      </c>
      <c r="N263" s="25">
        <f t="shared" si="146"/>
        <v>1486.7340000000002</v>
      </c>
      <c r="O263" s="25">
        <f t="shared" si="147"/>
        <v>17840.808000000001</v>
      </c>
      <c r="P263" s="25">
        <f>+IF(K263&lt;=$M$5,0,IF(J263=$M$4,N263*F263,O263))</f>
        <v>17840.808000000001</v>
      </c>
      <c r="Q263" s="25">
        <f t="shared" si="148"/>
        <v>0</v>
      </c>
      <c r="R263" s="25">
        <f t="shared" si="149"/>
        <v>17840.808000000001</v>
      </c>
      <c r="S263" s="25">
        <f t="shared" si="150"/>
        <v>107044.848</v>
      </c>
      <c r="V263" s="49">
        <v>43465</v>
      </c>
      <c r="W263" s="48">
        <v>0</v>
      </c>
      <c r="X263" t="s">
        <v>807</v>
      </c>
      <c r="Y263" s="48">
        <v>1215.9000000000001</v>
      </c>
    </row>
    <row r="264" spans="1:25" outlineLevel="1">
      <c r="A264" s="62"/>
      <c r="C264" s="72">
        <v>3561</v>
      </c>
      <c r="D264" s="62" t="s">
        <v>651</v>
      </c>
      <c r="E264" s="62">
        <v>2018</v>
      </c>
      <c r="F264" s="62">
        <v>5</v>
      </c>
      <c r="G264" s="73">
        <v>0</v>
      </c>
      <c r="H264" s="62" t="s">
        <v>78</v>
      </c>
      <c r="I264" s="62">
        <f>+IF(J263-$M$4&gt;=3,J263-$M$4,3)</f>
        <v>2008</v>
      </c>
      <c r="J264" s="62">
        <f t="shared" si="144"/>
        <v>4026</v>
      </c>
      <c r="K264" s="74">
        <f t="shared" si="145"/>
        <v>4026.4166666666665</v>
      </c>
      <c r="L264" s="81">
        <f>'Orig Trucks 2183'!N19-'Trucks 2183'!L263</f>
        <v>31221.414000000004</v>
      </c>
      <c r="M264" s="81">
        <f>L264-Y263</f>
        <v>30005.514000000003</v>
      </c>
      <c r="N264" s="81">
        <f t="shared" si="146"/>
        <v>1.2452487549800797</v>
      </c>
      <c r="O264" s="81">
        <f t="shared" si="147"/>
        <v>14.942985059760957</v>
      </c>
      <c r="P264" s="81">
        <f>+IF(K264&lt;=$M$5,0,IF(J264=$M$4,N264*F264,O264))</f>
        <v>14.942985059760957</v>
      </c>
      <c r="Q264" s="81">
        <f t="shared" si="148"/>
        <v>0</v>
      </c>
      <c r="R264" s="81">
        <f t="shared" si="149"/>
        <v>14.942985059760957</v>
      </c>
      <c r="S264" s="81">
        <f t="shared" si="150"/>
        <v>31206.471014940242</v>
      </c>
      <c r="T264" t="s">
        <v>147</v>
      </c>
    </row>
    <row r="265" spans="1:25" outlineLevel="1">
      <c r="A265" t="s">
        <v>284</v>
      </c>
      <c r="C265">
        <v>3572</v>
      </c>
      <c r="D265" t="s">
        <v>380</v>
      </c>
      <c r="E265">
        <v>2003</v>
      </c>
      <c r="F265">
        <v>1</v>
      </c>
      <c r="G265" s="26">
        <v>0</v>
      </c>
      <c r="H265" t="s">
        <v>78</v>
      </c>
      <c r="I265">
        <v>7</v>
      </c>
      <c r="J265">
        <f t="shared" si="144"/>
        <v>2010</v>
      </c>
      <c r="K265" s="63">
        <f t="shared" si="145"/>
        <v>2010.0833333333333</v>
      </c>
      <c r="L265" s="25">
        <f>'Orig Trucks 2183'!P157</f>
        <v>128499.40800000001</v>
      </c>
      <c r="M265" s="25">
        <f>L265-L265*G265</f>
        <v>128499.40800000001</v>
      </c>
      <c r="N265" s="25">
        <f t="shared" si="146"/>
        <v>1529.7548571428572</v>
      </c>
      <c r="O265" s="25">
        <f t="shared" si="147"/>
        <v>18357.058285714287</v>
      </c>
      <c r="P265" s="25">
        <f>+IF(K265&lt;=$M$5,0,IF(J265&gt;$M$4,O265,N265*F265))</f>
        <v>18357.058285714287</v>
      </c>
      <c r="Q265" s="25">
        <f t="shared" si="148"/>
        <v>0</v>
      </c>
      <c r="R265" s="25">
        <f t="shared" si="149"/>
        <v>18357.058285714287</v>
      </c>
      <c r="S265" s="25">
        <f t="shared" si="150"/>
        <v>110142.34971428572</v>
      </c>
      <c r="V265" s="49">
        <v>43465</v>
      </c>
      <c r="W265" s="48">
        <v>0</v>
      </c>
      <c r="X265" t="s">
        <v>807</v>
      </c>
      <c r="Y265" s="48">
        <v>1215.9000000000001</v>
      </c>
    </row>
    <row r="266" spans="1:25" outlineLevel="1">
      <c r="A266" s="62"/>
      <c r="C266" s="72">
        <v>3572</v>
      </c>
      <c r="D266" s="62" t="s">
        <v>698</v>
      </c>
      <c r="E266" s="62">
        <v>2018</v>
      </c>
      <c r="F266" s="62">
        <v>5</v>
      </c>
      <c r="G266" s="73">
        <v>0</v>
      </c>
      <c r="H266" s="62" t="s">
        <v>78</v>
      </c>
      <c r="I266" s="62">
        <f>+IF(J265-$M$4&gt;=3,J265-$M$4,3)</f>
        <v>2010</v>
      </c>
      <c r="J266" s="62">
        <f t="shared" si="144"/>
        <v>4028</v>
      </c>
      <c r="K266" s="80">
        <f t="shared" si="145"/>
        <v>4028.4166666666665</v>
      </c>
      <c r="L266" s="81">
        <f>'Orig Trucks 2183'!N157-'Trucks 2183'!L265</f>
        <v>32124.851999999999</v>
      </c>
      <c r="M266" s="81">
        <f>L266-Y265</f>
        <v>30908.951999999997</v>
      </c>
      <c r="N266" s="81">
        <f t="shared" si="146"/>
        <v>1.2814656716417909</v>
      </c>
      <c r="O266" s="81">
        <f t="shared" si="147"/>
        <v>15.377588059701491</v>
      </c>
      <c r="P266" s="81">
        <f>+IF(K266&lt;=$M$5,0,IF(J266&gt;$M$4,O266,N266*F266))</f>
        <v>15.377588059701491</v>
      </c>
      <c r="Q266" s="81">
        <f t="shared" si="148"/>
        <v>0</v>
      </c>
      <c r="R266" s="81">
        <f t="shared" si="149"/>
        <v>15.377588059701491</v>
      </c>
      <c r="S266" s="81">
        <f t="shared" si="150"/>
        <v>32109.474411940297</v>
      </c>
      <c r="T266" t="s">
        <v>157</v>
      </c>
    </row>
    <row r="267" spans="1:25" outlineLevel="1">
      <c r="A267" t="s">
        <v>284</v>
      </c>
      <c r="C267">
        <v>3572</v>
      </c>
      <c r="D267" t="s">
        <v>340</v>
      </c>
      <c r="E267">
        <v>2009</v>
      </c>
      <c r="F267">
        <v>5</v>
      </c>
      <c r="G267" s="26">
        <v>0</v>
      </c>
      <c r="H267" t="s">
        <v>78</v>
      </c>
      <c r="I267">
        <v>3</v>
      </c>
      <c r="J267">
        <f t="shared" si="144"/>
        <v>2012</v>
      </c>
      <c r="K267" s="63">
        <f t="shared" si="145"/>
        <v>2012.4166666666667</v>
      </c>
      <c r="L267" s="25">
        <v>3162.58</v>
      </c>
      <c r="M267" s="25">
        <f>L267-L267*G267</f>
        <v>3162.58</v>
      </c>
      <c r="N267" s="25">
        <f t="shared" si="146"/>
        <v>87.849444444444444</v>
      </c>
      <c r="O267" s="25">
        <f t="shared" si="147"/>
        <v>1054.1933333333334</v>
      </c>
      <c r="P267" s="25">
        <f>+IF(K267&lt;=$M$5,0,IF(J267&gt;$M$4,O267,N267*F267))</f>
        <v>1054.1933333333334</v>
      </c>
      <c r="Q267" s="25">
        <f t="shared" si="148"/>
        <v>0</v>
      </c>
      <c r="R267" s="25">
        <f t="shared" si="149"/>
        <v>1054.1933333333334</v>
      </c>
      <c r="S267" s="25">
        <f t="shared" si="150"/>
        <v>2108.3866666666663</v>
      </c>
    </row>
    <row r="268" spans="1:25" outlineLevel="1">
      <c r="A268" t="s">
        <v>284</v>
      </c>
      <c r="C268">
        <v>3575</v>
      </c>
      <c r="D268" t="s">
        <v>159</v>
      </c>
      <c r="E268">
        <v>2004</v>
      </c>
      <c r="F268">
        <v>12</v>
      </c>
      <c r="G268" s="26">
        <v>0</v>
      </c>
      <c r="H268" t="s">
        <v>78</v>
      </c>
      <c r="I268">
        <v>7</v>
      </c>
      <c r="J268">
        <f t="shared" si="144"/>
        <v>2011</v>
      </c>
      <c r="K268" s="24">
        <f t="shared" si="145"/>
        <v>2012</v>
      </c>
      <c r="L268" s="25">
        <f>'Orig Trucks 2183'!P25</f>
        <v>134040.52799999999</v>
      </c>
      <c r="M268" s="25">
        <f>L268-L268*G268</f>
        <v>134040.52799999999</v>
      </c>
      <c r="N268" s="25">
        <f t="shared" si="146"/>
        <v>1595.7205714285712</v>
      </c>
      <c r="O268" s="25">
        <f t="shared" si="147"/>
        <v>19148.646857142856</v>
      </c>
      <c r="P268" s="25">
        <f>+IF(K268&lt;=$M$5,0,IF(J268=$M$4,N268*F268,O268))</f>
        <v>19148.646857142856</v>
      </c>
      <c r="Q268" s="25">
        <f t="shared" si="148"/>
        <v>0</v>
      </c>
      <c r="R268" s="25">
        <f t="shared" si="149"/>
        <v>19148.646857142856</v>
      </c>
      <c r="S268" s="25">
        <f t="shared" si="150"/>
        <v>114891.88114285714</v>
      </c>
      <c r="V268" s="49">
        <v>43465</v>
      </c>
      <c r="W268" s="48">
        <v>0</v>
      </c>
      <c r="X268" t="s">
        <v>807</v>
      </c>
      <c r="Y268" s="48">
        <v>1215.9000000000001</v>
      </c>
    </row>
    <row r="269" spans="1:25" outlineLevel="1">
      <c r="A269" s="62"/>
      <c r="C269" s="72">
        <v>3575</v>
      </c>
      <c r="D269" s="62" t="s">
        <v>653</v>
      </c>
      <c r="E269" s="62">
        <v>2018</v>
      </c>
      <c r="F269" s="62">
        <v>5</v>
      </c>
      <c r="G269" s="73">
        <v>0</v>
      </c>
      <c r="H269" s="62" t="s">
        <v>78</v>
      </c>
      <c r="I269" s="62">
        <f>+IF(J268-$M$4&gt;=3,J268-$M$4,3)</f>
        <v>2011</v>
      </c>
      <c r="J269" s="62">
        <f t="shared" si="144"/>
        <v>4029</v>
      </c>
      <c r="K269" s="74">
        <f t="shared" si="145"/>
        <v>4029.4166666666665</v>
      </c>
      <c r="L269" s="81">
        <f>'Orig Trucks 2183'!N25-'Trucks 2183'!L268</f>
        <v>33510.132000000012</v>
      </c>
      <c r="M269" s="81">
        <f>L269-Y268</f>
        <v>32294.232000000011</v>
      </c>
      <c r="N269" s="81">
        <f t="shared" si="146"/>
        <v>1.3382327200397814</v>
      </c>
      <c r="O269" s="81">
        <f t="shared" si="147"/>
        <v>16.058792640477378</v>
      </c>
      <c r="P269" s="81">
        <f>+IF(K269&lt;=$M$5,0,IF(J269=$M$4,N269*F269,O269))</f>
        <v>16.058792640477378</v>
      </c>
      <c r="Q269" s="81">
        <f t="shared" si="148"/>
        <v>0</v>
      </c>
      <c r="R269" s="81">
        <f t="shared" si="149"/>
        <v>16.058792640477378</v>
      </c>
      <c r="S269" s="81">
        <f t="shared" si="150"/>
        <v>33494.073207359535</v>
      </c>
      <c r="T269" t="s">
        <v>157</v>
      </c>
    </row>
    <row r="270" spans="1:25" outlineLevel="1">
      <c r="A270" t="s">
        <v>284</v>
      </c>
      <c r="C270">
        <v>3575</v>
      </c>
      <c r="D270" t="s">
        <v>320</v>
      </c>
      <c r="E270">
        <v>2009</v>
      </c>
      <c r="F270">
        <v>5</v>
      </c>
      <c r="G270" s="26">
        <v>0</v>
      </c>
      <c r="H270" t="s">
        <v>78</v>
      </c>
      <c r="I270">
        <v>3</v>
      </c>
      <c r="J270">
        <f t="shared" si="144"/>
        <v>2012</v>
      </c>
      <c r="K270" s="24">
        <f t="shared" si="145"/>
        <v>2012.4166666666667</v>
      </c>
      <c r="L270" s="25">
        <v>2786.78</v>
      </c>
      <c r="M270" s="25">
        <f>L270-L270*G270</f>
        <v>2786.78</v>
      </c>
      <c r="N270" s="25">
        <f t="shared" si="146"/>
        <v>77.410555555555561</v>
      </c>
      <c r="O270" s="25">
        <f t="shared" si="147"/>
        <v>928.92666666666673</v>
      </c>
      <c r="P270" s="25">
        <f>+IF(K270&lt;=$M$5,0,IF(J270=$M$4,N270*F270,O270))</f>
        <v>928.92666666666673</v>
      </c>
      <c r="Q270" s="25">
        <f t="shared" si="148"/>
        <v>0</v>
      </c>
      <c r="R270" s="25">
        <f t="shared" si="149"/>
        <v>928.92666666666673</v>
      </c>
      <c r="S270" s="25">
        <f t="shared" si="150"/>
        <v>1857.8533333333335</v>
      </c>
    </row>
    <row r="271" spans="1:25" outlineLevel="1">
      <c r="A271" t="s">
        <v>284</v>
      </c>
      <c r="C271">
        <v>3593</v>
      </c>
      <c r="D271" t="s">
        <v>376</v>
      </c>
      <c r="E271">
        <v>2006</v>
      </c>
      <c r="F271">
        <v>5</v>
      </c>
      <c r="G271" s="26">
        <v>0</v>
      </c>
      <c r="H271" t="s">
        <v>78</v>
      </c>
      <c r="I271">
        <v>7</v>
      </c>
      <c r="J271">
        <f>E271+I271</f>
        <v>2013</v>
      </c>
      <c r="K271" s="24">
        <f>+J271+(F271/12)</f>
        <v>2013.4166666666667</v>
      </c>
      <c r="L271" s="25">
        <f>'Orig Trucks 2183'!P34</f>
        <v>146842.576</v>
      </c>
      <c r="M271" s="25">
        <f>L271-L271*G271</f>
        <v>146842.576</v>
      </c>
      <c r="N271" s="25">
        <f>M271/I271/12</f>
        <v>1748.1259047619048</v>
      </c>
      <c r="O271" s="25">
        <f>+N271*12</f>
        <v>20977.510857142857</v>
      </c>
      <c r="P271" s="25">
        <f>+IF(K271&lt;=$M$5,0,IF(J271=$M$4,N271*F271,O271))</f>
        <v>20977.510857142857</v>
      </c>
      <c r="Q271" s="25">
        <f>+IF(P271=0,M271,IF($M$3-E271&lt;1,0,(($M$3-E271)*O271)))</f>
        <v>0</v>
      </c>
      <c r="R271" s="25">
        <f>+IF(P271=0,Q271,Q271+P271)</f>
        <v>20977.510857142857</v>
      </c>
      <c r="S271" s="25">
        <f>+L271-R271</f>
        <v>125865.06514285714</v>
      </c>
      <c r="V271" s="49">
        <v>43465</v>
      </c>
      <c r="W271" s="48">
        <v>0</v>
      </c>
      <c r="X271" t="s">
        <v>807</v>
      </c>
      <c r="Y271" s="48">
        <v>1215.9000000000001</v>
      </c>
    </row>
    <row r="272" spans="1:25" outlineLevel="1">
      <c r="A272" s="62"/>
      <c r="C272" s="72">
        <v>3593</v>
      </c>
      <c r="D272" s="62" t="s">
        <v>658</v>
      </c>
      <c r="E272" s="62">
        <v>2018</v>
      </c>
      <c r="F272" s="62">
        <v>5</v>
      </c>
      <c r="G272" s="73">
        <v>0</v>
      </c>
      <c r="H272" s="62" t="s">
        <v>78</v>
      </c>
      <c r="I272" s="62">
        <f>+IF(J271-$M$4&gt;=3,J271-$M$4,3)</f>
        <v>2013</v>
      </c>
      <c r="J272" s="62">
        <f>E272+I272</f>
        <v>4031</v>
      </c>
      <c r="K272" s="74">
        <f>+J272+(F272/12)</f>
        <v>4031.4166666666665</v>
      </c>
      <c r="L272" s="81">
        <f>'Orig Trucks 2183'!N34-'Trucks 2183'!L271</f>
        <v>36710.644</v>
      </c>
      <c r="M272" s="81">
        <f>L272-Y271</f>
        <v>35494.743999999999</v>
      </c>
      <c r="N272" s="81">
        <f>M272/I272/12</f>
        <v>1.4693965888392118</v>
      </c>
      <c r="O272" s="81">
        <f>+N272*12</f>
        <v>17.632759066070541</v>
      </c>
      <c r="P272" s="81">
        <f>+IF(K272&lt;=$M$5,0,IF(J272=$M$4,N272*F272,O272))</f>
        <v>17.632759066070541</v>
      </c>
      <c r="Q272" s="81">
        <f>+IF(P272=0,M272,IF($M$3-E272&lt;1,0,(($M$3-E272)*O272)))</f>
        <v>0</v>
      </c>
      <c r="R272" s="81">
        <f>+IF(P272=0,Q272,Q272+P272)</f>
        <v>17.632759066070541</v>
      </c>
      <c r="S272" s="81">
        <f>+L272-R272</f>
        <v>36693.011240933927</v>
      </c>
      <c r="T272" t="s">
        <v>147</v>
      </c>
    </row>
    <row r="273" spans="1:19" outlineLevel="1"/>
    <row r="274" spans="1:19" outlineLevel="1"/>
    <row r="275" spans="1:19" outlineLevel="1">
      <c r="D275" s="82" t="s">
        <v>910</v>
      </c>
    </row>
    <row r="276" spans="1:19" outlineLevel="1">
      <c r="A276" t="s">
        <v>527</v>
      </c>
      <c r="B276" s="5">
        <v>117320</v>
      </c>
      <c r="C276">
        <v>1071</v>
      </c>
      <c r="D276" t="s">
        <v>528</v>
      </c>
      <c r="E276">
        <v>2014</v>
      </c>
      <c r="F276">
        <v>11</v>
      </c>
      <c r="G276" s="26">
        <v>0</v>
      </c>
      <c r="H276" t="s">
        <v>78</v>
      </c>
      <c r="I276">
        <v>10</v>
      </c>
      <c r="J276">
        <f t="shared" ref="J276:J290" si="151">E276+I276</f>
        <v>2024</v>
      </c>
      <c r="K276" s="24">
        <f t="shared" ref="K276:K290" si="152">+J276+(F276/12)</f>
        <v>2024.9166666666667</v>
      </c>
      <c r="L276" s="29">
        <v>289667.86</v>
      </c>
      <c r="M276" s="29">
        <f>L276-L276*G276</f>
        <v>289667.86</v>
      </c>
      <c r="N276" s="29">
        <f t="shared" ref="N276:N290" si="153">M276/I276/12</f>
        <v>2413.8988333333332</v>
      </c>
      <c r="O276" s="29">
        <f t="shared" ref="O276:O290" si="154">+N276*12</f>
        <v>28966.786</v>
      </c>
      <c r="P276" s="29">
        <f t="shared" ref="P276:P286" si="155">+IF(K276&lt;=$M$5,0,IF(J276=$M$4,N276*F276,O276))</f>
        <v>28966.786</v>
      </c>
      <c r="Q276" s="29">
        <f t="shared" ref="Q276:Q290" si="156">+IF(P276=0,M276,IF($M$3-E276&lt;1,0,(($M$3-E276)*O276)))</f>
        <v>0</v>
      </c>
      <c r="R276" s="29">
        <f t="shared" ref="R276:R290" si="157">+IF(P276=0,Q276,Q276+P276)</f>
        <v>28966.786</v>
      </c>
      <c r="S276" s="29">
        <f t="shared" ref="S276:S290" si="158">+L276-R276</f>
        <v>260701.07399999999</v>
      </c>
    </row>
    <row r="277" spans="1:19" outlineLevel="1">
      <c r="A277" t="s">
        <v>288</v>
      </c>
      <c r="C277">
        <v>5012</v>
      </c>
      <c r="D277" t="s">
        <v>314</v>
      </c>
      <c r="E277">
        <v>2008</v>
      </c>
      <c r="F277">
        <v>11</v>
      </c>
      <c r="G277" s="26">
        <v>0</v>
      </c>
      <c r="H277" t="s">
        <v>78</v>
      </c>
      <c r="I277">
        <v>5</v>
      </c>
      <c r="J277">
        <f t="shared" si="151"/>
        <v>2013</v>
      </c>
      <c r="K277" s="24">
        <f t="shared" si="152"/>
        <v>2013.9166666666667</v>
      </c>
      <c r="L277" s="29">
        <f>'Orig Trucks 2183'!P45</f>
        <v>0</v>
      </c>
      <c r="M277" s="29">
        <f>L277-L277*G277</f>
        <v>0</v>
      </c>
      <c r="N277" s="29">
        <f t="shared" si="153"/>
        <v>0</v>
      </c>
      <c r="O277" s="29">
        <f t="shared" si="154"/>
        <v>0</v>
      </c>
      <c r="P277" s="29">
        <f t="shared" si="155"/>
        <v>0</v>
      </c>
      <c r="Q277" s="29">
        <f t="shared" si="156"/>
        <v>0</v>
      </c>
      <c r="R277" s="29">
        <f t="shared" si="157"/>
        <v>0</v>
      </c>
      <c r="S277" s="29">
        <f t="shared" si="158"/>
        <v>0</v>
      </c>
    </row>
    <row r="278" spans="1:19" outlineLevel="1">
      <c r="A278" s="62"/>
      <c r="C278" s="72">
        <v>5012</v>
      </c>
      <c r="D278" s="62" t="s">
        <v>666</v>
      </c>
      <c r="E278" s="62">
        <v>2019</v>
      </c>
      <c r="F278" s="62">
        <v>8</v>
      </c>
      <c r="G278" s="73">
        <v>0</v>
      </c>
      <c r="H278" s="62" t="s">
        <v>78</v>
      </c>
      <c r="I278" s="62">
        <f>+IF(J277-$M$4&gt;=3,J277-$M$4,3)</f>
        <v>2013</v>
      </c>
      <c r="J278" s="62">
        <f t="shared" si="151"/>
        <v>4032</v>
      </c>
      <c r="K278" s="74">
        <f t="shared" si="152"/>
        <v>4032.6666666666665</v>
      </c>
      <c r="L278" s="75">
        <f>'Orig Trucks 2183'!N45-'Trucks 2183'!L277</f>
        <v>0</v>
      </c>
      <c r="M278" s="75">
        <f>L278-(L278*G278)</f>
        <v>0</v>
      </c>
      <c r="N278" s="75">
        <f t="shared" si="153"/>
        <v>0</v>
      </c>
      <c r="O278" s="75">
        <f t="shared" si="154"/>
        <v>0</v>
      </c>
      <c r="P278" s="75">
        <f t="shared" si="155"/>
        <v>0</v>
      </c>
      <c r="Q278" s="75">
        <f t="shared" si="156"/>
        <v>0</v>
      </c>
      <c r="R278" s="75">
        <f t="shared" si="157"/>
        <v>0</v>
      </c>
      <c r="S278" s="75">
        <f t="shared" si="158"/>
        <v>0</v>
      </c>
    </row>
    <row r="279" spans="1:19" outlineLevel="1">
      <c r="A279" t="s">
        <v>284</v>
      </c>
      <c r="C279">
        <v>3586</v>
      </c>
      <c r="D279" t="s">
        <v>160</v>
      </c>
      <c r="E279">
        <v>2005</v>
      </c>
      <c r="F279">
        <v>12</v>
      </c>
      <c r="G279" s="26">
        <v>0</v>
      </c>
      <c r="H279" t="s">
        <v>78</v>
      </c>
      <c r="I279">
        <v>7</v>
      </c>
      <c r="J279">
        <f t="shared" si="151"/>
        <v>2012</v>
      </c>
      <c r="K279" s="24">
        <f t="shared" si="152"/>
        <v>2013</v>
      </c>
      <c r="L279" s="29">
        <f>'Orig Trucks 2183'!P28</f>
        <v>139667.60800000001</v>
      </c>
      <c r="M279" s="29">
        <f>L279-L279*G279</f>
        <v>139667.60800000001</v>
      </c>
      <c r="N279" s="29">
        <f t="shared" si="153"/>
        <v>1662.7096190476193</v>
      </c>
      <c r="O279" s="29">
        <f t="shared" si="154"/>
        <v>19952.515428571431</v>
      </c>
      <c r="P279" s="29">
        <f t="shared" si="155"/>
        <v>19952.515428571431</v>
      </c>
      <c r="Q279" s="29">
        <f t="shared" si="156"/>
        <v>0</v>
      </c>
      <c r="R279" s="29">
        <f t="shared" si="157"/>
        <v>19952.515428571431</v>
      </c>
      <c r="S279" s="29">
        <f t="shared" si="158"/>
        <v>119715.09257142857</v>
      </c>
    </row>
    <row r="280" spans="1:19" outlineLevel="1">
      <c r="A280" s="62"/>
      <c r="C280" s="72">
        <v>3586</v>
      </c>
      <c r="D280" s="62" t="s">
        <v>655</v>
      </c>
      <c r="E280" s="62">
        <v>2019</v>
      </c>
      <c r="F280" s="62">
        <v>8</v>
      </c>
      <c r="G280" s="73">
        <v>0</v>
      </c>
      <c r="H280" s="62" t="s">
        <v>78</v>
      </c>
      <c r="I280" s="62">
        <f>+IF(J279-$M$4&gt;=3,J279-$M$4,3)</f>
        <v>2012</v>
      </c>
      <c r="J280" s="62">
        <f t="shared" si="151"/>
        <v>4031</v>
      </c>
      <c r="K280" s="74">
        <f t="shared" si="152"/>
        <v>4031.6666666666665</v>
      </c>
      <c r="L280" s="75">
        <f>'Orig Trucks 2183'!N28-'Trucks 2183'!L279</f>
        <v>34916.902000000002</v>
      </c>
      <c r="M280" s="75">
        <f>L280-(L280*G280)</f>
        <v>34916.902000000002</v>
      </c>
      <c r="N280" s="75">
        <f t="shared" si="153"/>
        <v>1.4461937541418157</v>
      </c>
      <c r="O280" s="75">
        <f t="shared" si="154"/>
        <v>17.354325049701789</v>
      </c>
      <c r="P280" s="75">
        <f t="shared" si="155"/>
        <v>17.354325049701789</v>
      </c>
      <c r="Q280" s="75">
        <f t="shared" si="156"/>
        <v>0</v>
      </c>
      <c r="R280" s="75">
        <f t="shared" si="157"/>
        <v>17.354325049701789</v>
      </c>
      <c r="S280" s="75">
        <f t="shared" si="158"/>
        <v>34899.5476749503</v>
      </c>
    </row>
    <row r="281" spans="1:19" outlineLevel="1">
      <c r="A281" t="s">
        <v>284</v>
      </c>
      <c r="C281">
        <v>3586</v>
      </c>
      <c r="D281" t="s">
        <v>296</v>
      </c>
      <c r="E281">
        <v>2006</v>
      </c>
      <c r="F281">
        <v>1</v>
      </c>
      <c r="G281" s="26">
        <v>0</v>
      </c>
      <c r="H281" t="s">
        <v>78</v>
      </c>
      <c r="I281">
        <v>7</v>
      </c>
      <c r="J281">
        <f t="shared" si="151"/>
        <v>2013</v>
      </c>
      <c r="K281" s="24">
        <f t="shared" si="152"/>
        <v>2013.0833333333333</v>
      </c>
      <c r="L281" s="29">
        <f>'Orig Trucks 2183'!P30</f>
        <v>6670.7520000000004</v>
      </c>
      <c r="M281" s="29">
        <f>L281-L281*G281</f>
        <v>6670.7520000000004</v>
      </c>
      <c r="N281" s="29">
        <f t="shared" si="153"/>
        <v>79.413714285714292</v>
      </c>
      <c r="O281" s="29">
        <f t="shared" si="154"/>
        <v>952.9645714285715</v>
      </c>
      <c r="P281" s="29">
        <f t="shared" si="155"/>
        <v>952.9645714285715</v>
      </c>
      <c r="Q281" s="29">
        <f t="shared" si="156"/>
        <v>0</v>
      </c>
      <c r="R281" s="29">
        <f t="shared" si="157"/>
        <v>952.9645714285715</v>
      </c>
      <c r="S281" s="29">
        <f t="shared" si="158"/>
        <v>5717.7874285714288</v>
      </c>
    </row>
    <row r="282" spans="1:19" outlineLevel="1">
      <c r="A282" s="62"/>
      <c r="C282" s="72">
        <v>3586</v>
      </c>
      <c r="D282" s="62" t="s">
        <v>655</v>
      </c>
      <c r="E282" s="62">
        <v>2019</v>
      </c>
      <c r="F282" s="62">
        <v>8</v>
      </c>
      <c r="G282" s="73">
        <v>0</v>
      </c>
      <c r="H282" s="62" t="s">
        <v>78</v>
      </c>
      <c r="I282" s="62">
        <f>+IF(J281-$M$4&gt;=3,J281-$M$4,3)</f>
        <v>2013</v>
      </c>
      <c r="J282" s="62">
        <f t="shared" si="151"/>
        <v>4032</v>
      </c>
      <c r="K282" s="74">
        <f t="shared" si="152"/>
        <v>4032.6666666666665</v>
      </c>
      <c r="L282" s="75">
        <f>'Orig Trucks 2183'!N30-'Trucks 2183'!L281</f>
        <v>1667.6880000000001</v>
      </c>
      <c r="M282" s="75">
        <f>L282-(L282*G282)</f>
        <v>1667.6880000000001</v>
      </c>
      <c r="N282" s="75">
        <f t="shared" si="153"/>
        <v>6.9038251366120226E-2</v>
      </c>
      <c r="O282" s="75">
        <f t="shared" si="154"/>
        <v>0.82845901639344266</v>
      </c>
      <c r="P282" s="75">
        <f t="shared" si="155"/>
        <v>0.82845901639344266</v>
      </c>
      <c r="Q282" s="75">
        <f t="shared" si="156"/>
        <v>0</v>
      </c>
      <c r="R282" s="75">
        <f t="shared" si="157"/>
        <v>0.82845901639344266</v>
      </c>
      <c r="S282" s="75">
        <f t="shared" si="158"/>
        <v>1666.8595409836066</v>
      </c>
    </row>
    <row r="283" spans="1:19" outlineLevel="1">
      <c r="A283" t="s">
        <v>284</v>
      </c>
      <c r="C283">
        <v>3590</v>
      </c>
      <c r="D283" t="s">
        <v>160</v>
      </c>
      <c r="E283">
        <v>2006</v>
      </c>
      <c r="F283">
        <v>5</v>
      </c>
      <c r="G283" s="26">
        <v>0</v>
      </c>
      <c r="H283" t="s">
        <v>78</v>
      </c>
      <c r="I283">
        <v>7</v>
      </c>
      <c r="J283">
        <f t="shared" si="151"/>
        <v>2013</v>
      </c>
      <c r="K283" s="24">
        <f t="shared" si="152"/>
        <v>2013.4166666666667</v>
      </c>
      <c r="L283" s="29">
        <f>'Orig Trucks 2183'!P32</f>
        <v>146842.576</v>
      </c>
      <c r="M283" s="29">
        <f>L283-L283*G283</f>
        <v>146842.576</v>
      </c>
      <c r="N283" s="29">
        <f t="shared" si="153"/>
        <v>1748.1259047619048</v>
      </c>
      <c r="O283" s="29">
        <f t="shared" si="154"/>
        <v>20977.510857142857</v>
      </c>
      <c r="P283" s="29">
        <f t="shared" si="155"/>
        <v>20977.510857142857</v>
      </c>
      <c r="Q283" s="29">
        <f t="shared" si="156"/>
        <v>0</v>
      </c>
      <c r="R283" s="29">
        <f t="shared" si="157"/>
        <v>20977.510857142857</v>
      </c>
      <c r="S283" s="29">
        <f t="shared" si="158"/>
        <v>125865.06514285714</v>
      </c>
    </row>
    <row r="284" spans="1:19" outlineLevel="1">
      <c r="A284" s="62"/>
      <c r="C284" s="72">
        <v>3590</v>
      </c>
      <c r="D284" s="62" t="s">
        <v>656</v>
      </c>
      <c r="E284" s="62">
        <v>2019</v>
      </c>
      <c r="F284" s="62">
        <v>8</v>
      </c>
      <c r="G284" s="73">
        <v>0</v>
      </c>
      <c r="H284" s="62" t="s">
        <v>78</v>
      </c>
      <c r="I284" s="62">
        <f>+IF(J283-$M$4&gt;=3,J283-$M$4,3)</f>
        <v>2013</v>
      </c>
      <c r="J284" s="62">
        <f t="shared" si="151"/>
        <v>4032</v>
      </c>
      <c r="K284" s="74">
        <f t="shared" si="152"/>
        <v>4032.6666666666665</v>
      </c>
      <c r="L284" s="75">
        <f>'Orig Trucks 2183'!N32-'Trucks 2183'!L283</f>
        <v>36710.644</v>
      </c>
      <c r="M284" s="75">
        <f>L284-(L284*G284)</f>
        <v>36710.644</v>
      </c>
      <c r="N284" s="75">
        <f t="shared" si="153"/>
        <v>1.5197319092564994</v>
      </c>
      <c r="O284" s="75">
        <f t="shared" si="154"/>
        <v>18.236782911077992</v>
      </c>
      <c r="P284" s="75">
        <f t="shared" si="155"/>
        <v>18.236782911077992</v>
      </c>
      <c r="Q284" s="75">
        <f t="shared" si="156"/>
        <v>0</v>
      </c>
      <c r="R284" s="75">
        <f t="shared" si="157"/>
        <v>18.236782911077992</v>
      </c>
      <c r="S284" s="75">
        <f t="shared" si="158"/>
        <v>36692.407217088919</v>
      </c>
    </row>
    <row r="285" spans="1:19" outlineLevel="1">
      <c r="A285" t="s">
        <v>284</v>
      </c>
      <c r="C285">
        <v>3591</v>
      </c>
      <c r="D285" t="s">
        <v>376</v>
      </c>
      <c r="E285">
        <v>2006</v>
      </c>
      <c r="F285">
        <v>5</v>
      </c>
      <c r="G285" s="26">
        <v>0</v>
      </c>
      <c r="H285" t="s">
        <v>78</v>
      </c>
      <c r="I285">
        <v>7</v>
      </c>
      <c r="J285">
        <f t="shared" si="151"/>
        <v>2013</v>
      </c>
      <c r="K285" s="24">
        <f t="shared" si="152"/>
        <v>2013.4166666666667</v>
      </c>
      <c r="L285" s="29">
        <f>'Orig Trucks 2183'!P33</f>
        <v>146842.576</v>
      </c>
      <c r="M285" s="29">
        <f>L285-L285*G285</f>
        <v>146842.576</v>
      </c>
      <c r="N285" s="29">
        <f t="shared" si="153"/>
        <v>1748.1259047619048</v>
      </c>
      <c r="O285" s="29">
        <f t="shared" si="154"/>
        <v>20977.510857142857</v>
      </c>
      <c r="P285" s="29">
        <f t="shared" si="155"/>
        <v>20977.510857142857</v>
      </c>
      <c r="Q285" s="29">
        <f t="shared" si="156"/>
        <v>0</v>
      </c>
      <c r="R285" s="29">
        <f t="shared" si="157"/>
        <v>20977.510857142857</v>
      </c>
      <c r="S285" s="29">
        <f t="shared" si="158"/>
        <v>125865.06514285714</v>
      </c>
    </row>
    <row r="286" spans="1:19" outlineLevel="1">
      <c r="A286" s="62"/>
      <c r="C286" s="72">
        <v>3591</v>
      </c>
      <c r="D286" s="62" t="s">
        <v>657</v>
      </c>
      <c r="E286" s="62">
        <v>2019</v>
      </c>
      <c r="F286" s="62">
        <v>8</v>
      </c>
      <c r="G286" s="73">
        <v>0</v>
      </c>
      <c r="H286" s="62" t="s">
        <v>78</v>
      </c>
      <c r="I286" s="62">
        <f>+IF(J285-$M$4&gt;=3,J285-$M$4,3)</f>
        <v>2013</v>
      </c>
      <c r="J286" s="62">
        <f t="shared" si="151"/>
        <v>4032</v>
      </c>
      <c r="K286" s="74">
        <f t="shared" si="152"/>
        <v>4032.6666666666665</v>
      </c>
      <c r="L286" s="75">
        <f>'Orig Trucks 2183'!N33-'Trucks 2183'!L285</f>
        <v>36710.644</v>
      </c>
      <c r="M286" s="75">
        <f>L286-(L286*G286)</f>
        <v>36710.644</v>
      </c>
      <c r="N286" s="75">
        <f t="shared" si="153"/>
        <v>1.5197319092564994</v>
      </c>
      <c r="O286" s="75">
        <f t="shared" si="154"/>
        <v>18.236782911077992</v>
      </c>
      <c r="P286" s="75">
        <f t="shared" si="155"/>
        <v>18.236782911077992</v>
      </c>
      <c r="Q286" s="75">
        <f t="shared" si="156"/>
        <v>0</v>
      </c>
      <c r="R286" s="75">
        <f t="shared" si="157"/>
        <v>18.236782911077992</v>
      </c>
      <c r="S286" s="75">
        <f t="shared" si="158"/>
        <v>36692.407217088919</v>
      </c>
    </row>
    <row r="287" spans="1:19" outlineLevel="1">
      <c r="A287" t="s">
        <v>284</v>
      </c>
      <c r="C287">
        <v>3598</v>
      </c>
      <c r="D287" t="s">
        <v>161</v>
      </c>
      <c r="E287">
        <v>2007</v>
      </c>
      <c r="F287">
        <v>3</v>
      </c>
      <c r="G287" s="26">
        <v>0</v>
      </c>
      <c r="H287" t="s">
        <v>78</v>
      </c>
      <c r="I287">
        <v>7</v>
      </c>
      <c r="J287">
        <f t="shared" si="151"/>
        <v>2014</v>
      </c>
      <c r="K287" s="24">
        <f t="shared" si="152"/>
        <v>2014.25</v>
      </c>
      <c r="L287" s="29">
        <f>'Orig Trucks 2183'!P127</f>
        <v>155764.03200000001</v>
      </c>
      <c r="M287" s="29">
        <f>L287-L287*G287</f>
        <v>155764.03200000001</v>
      </c>
      <c r="N287" s="29">
        <f t="shared" si="153"/>
        <v>1854.3337142857144</v>
      </c>
      <c r="O287" s="29">
        <f t="shared" si="154"/>
        <v>22252.004571428573</v>
      </c>
      <c r="P287" s="29">
        <f>+IF(K287&lt;=$M$5,0,IF(J287&gt;$M$4,O287,N287*F287))</f>
        <v>22252.004571428573</v>
      </c>
      <c r="Q287" s="29">
        <f t="shared" si="156"/>
        <v>0</v>
      </c>
      <c r="R287" s="29">
        <f t="shared" si="157"/>
        <v>22252.004571428573</v>
      </c>
      <c r="S287" s="29">
        <f t="shared" si="158"/>
        <v>133512.02742857143</v>
      </c>
    </row>
    <row r="288" spans="1:19" outlineLevel="1">
      <c r="A288" s="62"/>
      <c r="C288" s="72">
        <v>3598</v>
      </c>
      <c r="D288" s="62" t="s">
        <v>689</v>
      </c>
      <c r="E288" s="62">
        <v>2019</v>
      </c>
      <c r="F288" s="62">
        <v>8</v>
      </c>
      <c r="G288" s="73">
        <v>0</v>
      </c>
      <c r="H288" s="62" t="s">
        <v>78</v>
      </c>
      <c r="I288" s="62">
        <f>+IF(J287-$M$4&gt;=3,J287-$M$4,3)</f>
        <v>2014</v>
      </c>
      <c r="J288" s="62">
        <f t="shared" si="151"/>
        <v>4033</v>
      </c>
      <c r="K288" s="74">
        <f t="shared" si="152"/>
        <v>4033.6666666666665</v>
      </c>
      <c r="L288" s="75">
        <f>'Orig Trucks 2183'!N127-'Trucks 2183'!L287</f>
        <v>38941.008000000002</v>
      </c>
      <c r="M288" s="75">
        <f>L288-(L288*G288)</f>
        <v>38941.008000000002</v>
      </c>
      <c r="N288" s="75">
        <f t="shared" si="153"/>
        <v>1.6112631578947367</v>
      </c>
      <c r="O288" s="75">
        <f t="shared" si="154"/>
        <v>19.335157894736842</v>
      </c>
      <c r="P288" s="75">
        <f>+IF(K288&lt;=$M$5,0,IF(J288&gt;$M$4,O288,N288*F288))</f>
        <v>19.335157894736842</v>
      </c>
      <c r="Q288" s="75">
        <f t="shared" si="156"/>
        <v>0</v>
      </c>
      <c r="R288" s="75">
        <f t="shared" si="157"/>
        <v>19.335157894736842</v>
      </c>
      <c r="S288" s="75">
        <f t="shared" si="158"/>
        <v>38921.672842105261</v>
      </c>
    </row>
    <row r="289" spans="1:19" outlineLevel="1">
      <c r="A289" t="s">
        <v>284</v>
      </c>
      <c r="C289">
        <v>3599</v>
      </c>
      <c r="D289" t="s">
        <v>161</v>
      </c>
      <c r="E289">
        <v>2007</v>
      </c>
      <c r="F289">
        <v>3</v>
      </c>
      <c r="G289" s="26">
        <v>0</v>
      </c>
      <c r="H289" t="s">
        <v>78</v>
      </c>
      <c r="I289">
        <v>7</v>
      </c>
      <c r="J289">
        <f t="shared" si="151"/>
        <v>2014</v>
      </c>
      <c r="K289" s="24">
        <f t="shared" si="152"/>
        <v>2014.25</v>
      </c>
      <c r="L289" s="29">
        <f>'Orig Trucks 2183'!P128</f>
        <v>156190.52799999999</v>
      </c>
      <c r="M289" s="29">
        <f>L289-L289*G289</f>
        <v>156190.52799999999</v>
      </c>
      <c r="N289" s="29">
        <f t="shared" si="153"/>
        <v>1859.4110476190474</v>
      </c>
      <c r="O289" s="29">
        <f t="shared" si="154"/>
        <v>22312.93257142857</v>
      </c>
      <c r="P289" s="29">
        <f>+IF(K289&lt;=$M$5,0,IF(J289&gt;$M$4,O289,N289*F289))</f>
        <v>22312.93257142857</v>
      </c>
      <c r="Q289" s="29">
        <f t="shared" si="156"/>
        <v>0</v>
      </c>
      <c r="R289" s="29">
        <f t="shared" si="157"/>
        <v>22312.93257142857</v>
      </c>
      <c r="S289" s="29">
        <f t="shared" si="158"/>
        <v>133877.59542857143</v>
      </c>
    </row>
    <row r="290" spans="1:19" outlineLevel="1">
      <c r="A290" s="62"/>
      <c r="C290" s="72">
        <v>3599</v>
      </c>
      <c r="D290" s="62" t="s">
        <v>690</v>
      </c>
      <c r="E290" s="62">
        <v>2019</v>
      </c>
      <c r="F290" s="62">
        <v>8</v>
      </c>
      <c r="G290" s="73">
        <v>0</v>
      </c>
      <c r="H290" s="62" t="s">
        <v>78</v>
      </c>
      <c r="I290" s="62">
        <f>+IF(J289-$M$4&gt;=3,J289-$M$4,3)</f>
        <v>2014</v>
      </c>
      <c r="J290" s="62">
        <f t="shared" si="151"/>
        <v>4033</v>
      </c>
      <c r="K290" s="74">
        <f t="shared" si="152"/>
        <v>4033.6666666666665</v>
      </c>
      <c r="L290" s="75">
        <f>'Orig Trucks 2183'!N128-'Trucks 2183'!L289</f>
        <v>39047.632000000012</v>
      </c>
      <c r="M290" s="75">
        <f>L290-(L290*G290)</f>
        <v>39047.632000000012</v>
      </c>
      <c r="N290" s="75">
        <f t="shared" si="153"/>
        <v>1.6156749420721621</v>
      </c>
      <c r="O290" s="75">
        <f t="shared" si="154"/>
        <v>19.388099304865946</v>
      </c>
      <c r="P290" s="75">
        <f>+IF(K290&lt;=$M$5,0,IF(J290&gt;$M$4,O290,N290*F290))</f>
        <v>19.388099304865946</v>
      </c>
      <c r="Q290" s="75">
        <f t="shared" si="156"/>
        <v>0</v>
      </c>
      <c r="R290" s="75">
        <f t="shared" si="157"/>
        <v>19.388099304865946</v>
      </c>
      <c r="S290" s="75">
        <f t="shared" si="158"/>
        <v>39028.243900695146</v>
      </c>
    </row>
    <row r="291" spans="1:19" outlineLevel="1">
      <c r="A291">
        <v>61092</v>
      </c>
      <c r="B291" s="5" t="s">
        <v>286</v>
      </c>
      <c r="C291">
        <v>2026</v>
      </c>
      <c r="D291" t="s">
        <v>152</v>
      </c>
      <c r="E291">
        <v>2006</v>
      </c>
      <c r="F291">
        <v>8</v>
      </c>
      <c r="G291" s="26">
        <v>0.2</v>
      </c>
      <c r="H291" t="s">
        <v>78</v>
      </c>
      <c r="I291">
        <v>7</v>
      </c>
      <c r="J291">
        <f>E291+I291</f>
        <v>2013</v>
      </c>
      <c r="K291" s="24">
        <f>+J291+(F291/12)</f>
        <v>2013.6666666666667</v>
      </c>
      <c r="L291" s="29">
        <v>208742.37</v>
      </c>
      <c r="M291" s="29">
        <f>L291</f>
        <v>208742.37</v>
      </c>
      <c r="N291" s="29">
        <f>M291/I291/12</f>
        <v>2485.0282142857145</v>
      </c>
      <c r="O291" s="29">
        <f>+N291*12</f>
        <v>29820.338571428576</v>
      </c>
      <c r="P291" s="29">
        <f>+IF(K291&lt;=$M$5,0,IF(J291=$M$4,N291*F291,O291))</f>
        <v>29820.338571428576</v>
      </c>
      <c r="Q291" s="29">
        <f>+IF(P291=0,M291,IF($M$3-E291&lt;1,0,(($M$3-E291)*O291)))</f>
        <v>0</v>
      </c>
      <c r="R291" s="29">
        <f>+IF(P291=0,Q291,Q291+P291)</f>
        <v>29820.338571428576</v>
      </c>
      <c r="S291" s="29">
        <f>+L291-R291</f>
        <v>178922.03142857141</v>
      </c>
    </row>
    <row r="292" spans="1:19" outlineLevel="1"/>
    <row r="293" spans="1:19" outlineLevel="1"/>
    <row r="294" spans="1:19" outlineLevel="1">
      <c r="D294" s="82" t="s">
        <v>911</v>
      </c>
    </row>
    <row r="295" spans="1:19" outlineLevel="1">
      <c r="A295" s="102" t="s">
        <v>288</v>
      </c>
      <c r="B295" s="103"/>
      <c r="C295" s="102">
        <v>5041</v>
      </c>
      <c r="D295" s="102" t="s">
        <v>333</v>
      </c>
      <c r="E295" s="102">
        <v>2001</v>
      </c>
      <c r="F295" s="102">
        <v>11</v>
      </c>
      <c r="G295" s="104">
        <v>0</v>
      </c>
      <c r="H295" s="102" t="s">
        <v>78</v>
      </c>
      <c r="I295" s="102">
        <v>7</v>
      </c>
      <c r="J295" s="102">
        <f t="shared" ref="J295:J307" si="159">E295+I295</f>
        <v>2008</v>
      </c>
      <c r="K295" s="105">
        <f t="shared" ref="K295:K307" si="160">+J295+(F295/12)</f>
        <v>2008.9166666666667</v>
      </c>
      <c r="L295" s="106">
        <f>'Orig Trucks 2183'!P123</f>
        <v>50531.815999999999</v>
      </c>
      <c r="M295" s="106">
        <f>L295-L295*G295</f>
        <v>50531.815999999999</v>
      </c>
      <c r="N295" s="106">
        <f t="shared" ref="N295:N307" si="161">M295/I295/12</f>
        <v>601.56923809523812</v>
      </c>
      <c r="O295" s="106">
        <f t="shared" ref="O295:O307" si="162">+N295*12</f>
        <v>7218.830857142857</v>
      </c>
      <c r="P295" s="106">
        <f t="shared" ref="P295:P307" si="163">+IF(K295&lt;=$M$5,0,IF(J295&gt;$M$4,O295,N295*F295))</f>
        <v>7218.830857142857</v>
      </c>
      <c r="Q295" s="106">
        <f t="shared" ref="Q295:Q307" si="164">+IF(P295=0,M295,IF($M$3-E295&lt;1,0,(($M$3-E295)*O295)))</f>
        <v>0</v>
      </c>
      <c r="R295" s="106">
        <f t="shared" ref="R295:R307" si="165">+IF(P295=0,Q295,Q295+P295)</f>
        <v>7218.830857142857</v>
      </c>
      <c r="S295" s="106">
        <f t="shared" ref="S295:S307" si="166">+L295-R295</f>
        <v>43312.985142857142</v>
      </c>
    </row>
    <row r="296" spans="1:19" outlineLevel="1">
      <c r="A296" s="107"/>
      <c r="B296" s="108">
        <v>5041</v>
      </c>
      <c r="C296" s="107"/>
      <c r="D296" s="107" t="s">
        <v>685</v>
      </c>
      <c r="E296" s="107">
        <v>2019</v>
      </c>
      <c r="F296" s="107">
        <v>8</v>
      </c>
      <c r="G296" s="109">
        <v>0</v>
      </c>
      <c r="H296" s="107" t="s">
        <v>78</v>
      </c>
      <c r="I296" s="107">
        <f>+IF(J295-$M$4&gt;=3,J295-$M$4,3)</f>
        <v>2008</v>
      </c>
      <c r="J296" s="107">
        <f t="shared" si="159"/>
        <v>4027</v>
      </c>
      <c r="K296" s="110">
        <f t="shared" si="160"/>
        <v>4027.6666666666665</v>
      </c>
      <c r="L296" s="111">
        <f>'Orig Trucks 2183'!N123-'Trucks 2183'!L295</f>
        <v>12632.953999999998</v>
      </c>
      <c r="M296" s="111">
        <f>L296-(L296*G296)</f>
        <v>12632.953999999998</v>
      </c>
      <c r="N296" s="111">
        <f t="shared" si="161"/>
        <v>0.5242759794156705</v>
      </c>
      <c r="O296" s="111">
        <f t="shared" si="162"/>
        <v>6.2913117529880456</v>
      </c>
      <c r="P296" s="111">
        <f t="shared" si="163"/>
        <v>6.2913117529880456</v>
      </c>
      <c r="Q296" s="111">
        <f t="shared" si="164"/>
        <v>0</v>
      </c>
      <c r="R296" s="111">
        <f t="shared" si="165"/>
        <v>6.2913117529880456</v>
      </c>
      <c r="S296" s="111">
        <f t="shared" si="166"/>
        <v>12626.66268824701</v>
      </c>
    </row>
    <row r="297" spans="1:19" outlineLevel="1">
      <c r="A297" s="102" t="s">
        <v>288</v>
      </c>
      <c r="B297" s="103"/>
      <c r="C297" s="102">
        <v>5041</v>
      </c>
      <c r="D297" s="102" t="s">
        <v>323</v>
      </c>
      <c r="E297" s="102">
        <v>2007</v>
      </c>
      <c r="F297" s="102">
        <v>7</v>
      </c>
      <c r="G297" s="104">
        <v>0</v>
      </c>
      <c r="H297" s="102" t="s">
        <v>78</v>
      </c>
      <c r="I297" s="102">
        <v>5</v>
      </c>
      <c r="J297" s="102">
        <f t="shared" si="159"/>
        <v>2012</v>
      </c>
      <c r="K297" s="105">
        <f t="shared" si="160"/>
        <v>2012.5833333333333</v>
      </c>
      <c r="L297" s="106">
        <f>'Orig Trucks 2183'!P133</f>
        <v>7989.08</v>
      </c>
      <c r="M297" s="106">
        <f>L297-L297*G297</f>
        <v>7989.08</v>
      </c>
      <c r="N297" s="106">
        <f t="shared" si="161"/>
        <v>133.15133333333333</v>
      </c>
      <c r="O297" s="106">
        <f t="shared" si="162"/>
        <v>1597.8159999999998</v>
      </c>
      <c r="P297" s="106">
        <f t="shared" si="163"/>
        <v>1597.8159999999998</v>
      </c>
      <c r="Q297" s="106">
        <f t="shared" si="164"/>
        <v>0</v>
      </c>
      <c r="R297" s="106">
        <f t="shared" si="165"/>
        <v>1597.8159999999998</v>
      </c>
      <c r="S297" s="106">
        <f t="shared" si="166"/>
        <v>6391.2640000000001</v>
      </c>
    </row>
    <row r="298" spans="1:19" outlineLevel="1">
      <c r="A298" s="107"/>
      <c r="B298" s="108">
        <v>5041</v>
      </c>
      <c r="C298" s="107"/>
      <c r="D298" s="107" t="s">
        <v>685</v>
      </c>
      <c r="E298" s="107">
        <v>2019</v>
      </c>
      <c r="F298" s="107">
        <v>8</v>
      </c>
      <c r="G298" s="109">
        <v>0</v>
      </c>
      <c r="H298" s="107" t="s">
        <v>78</v>
      </c>
      <c r="I298" s="107">
        <f>+IF(J297-$M$4&gt;=3,J297-$M$4,3)</f>
        <v>2012</v>
      </c>
      <c r="J298" s="107">
        <f t="shared" si="159"/>
        <v>4031</v>
      </c>
      <c r="K298" s="110">
        <f t="shared" si="160"/>
        <v>4031.6666666666665</v>
      </c>
      <c r="L298" s="111">
        <f>'Orig Trucks 2183'!N133-'Trucks 2183'!L297</f>
        <v>3934.92</v>
      </c>
      <c r="M298" s="111">
        <f>L298-(L298*G298)</f>
        <v>3934.92</v>
      </c>
      <c r="N298" s="111">
        <f t="shared" si="161"/>
        <v>0.16297713717693837</v>
      </c>
      <c r="O298" s="111">
        <f t="shared" si="162"/>
        <v>1.9557256461232604</v>
      </c>
      <c r="P298" s="111">
        <f t="shared" si="163"/>
        <v>1.9557256461232604</v>
      </c>
      <c r="Q298" s="111">
        <f t="shared" si="164"/>
        <v>0</v>
      </c>
      <c r="R298" s="111">
        <f t="shared" si="165"/>
        <v>1.9557256461232604</v>
      </c>
      <c r="S298" s="111">
        <f t="shared" si="166"/>
        <v>3932.9642743538766</v>
      </c>
    </row>
    <row r="299" spans="1:19" outlineLevel="1">
      <c r="A299" s="92" t="s">
        <v>292</v>
      </c>
      <c r="B299" s="93"/>
      <c r="C299" s="92">
        <v>5042</v>
      </c>
      <c r="D299" s="92" t="s">
        <v>452</v>
      </c>
      <c r="E299" s="92">
        <v>2002</v>
      </c>
      <c r="F299" s="92">
        <v>6</v>
      </c>
      <c r="G299" s="94">
        <v>0</v>
      </c>
      <c r="H299" s="92" t="s">
        <v>78</v>
      </c>
      <c r="I299" s="92">
        <v>7</v>
      </c>
      <c r="J299" s="92">
        <f t="shared" si="159"/>
        <v>2009</v>
      </c>
      <c r="K299" s="95">
        <f t="shared" si="160"/>
        <v>2009.5</v>
      </c>
      <c r="L299" s="96">
        <f>'Orig Trucks 2183'!P124</f>
        <v>60634.271999999997</v>
      </c>
      <c r="M299" s="96">
        <f>L299-L299*G299</f>
        <v>60634.271999999997</v>
      </c>
      <c r="N299" s="96">
        <f t="shared" si="161"/>
        <v>721.83657142857146</v>
      </c>
      <c r="O299" s="96">
        <f t="shared" si="162"/>
        <v>8662.0388571428575</v>
      </c>
      <c r="P299" s="96">
        <f t="shared" si="163"/>
        <v>8662.0388571428575</v>
      </c>
      <c r="Q299" s="96">
        <f t="shared" si="164"/>
        <v>0</v>
      </c>
      <c r="R299" s="96">
        <f t="shared" si="165"/>
        <v>8662.0388571428575</v>
      </c>
      <c r="S299" s="96">
        <f t="shared" si="166"/>
        <v>51972.233142857142</v>
      </c>
    </row>
    <row r="300" spans="1:19" outlineLevel="1">
      <c r="A300" s="97"/>
      <c r="B300" s="98">
        <v>5042</v>
      </c>
      <c r="C300" s="97"/>
      <c r="D300" s="97" t="s">
        <v>686</v>
      </c>
      <c r="E300" s="97">
        <v>2019</v>
      </c>
      <c r="F300" s="97">
        <v>8</v>
      </c>
      <c r="G300" s="99">
        <v>0</v>
      </c>
      <c r="H300" s="97" t="s">
        <v>78</v>
      </c>
      <c r="I300" s="97">
        <f>+IF(J299-$M$4&gt;=3,J299-$M$4,3)</f>
        <v>2009</v>
      </c>
      <c r="J300" s="97">
        <f t="shared" si="159"/>
        <v>4028</v>
      </c>
      <c r="K300" s="100">
        <f t="shared" si="160"/>
        <v>4028.6666666666665</v>
      </c>
      <c r="L300" s="101">
        <f>'Orig Trucks 2183'!N124-'Trucks 2183'!L299</f>
        <v>15158.567999999999</v>
      </c>
      <c r="M300" s="101">
        <f>L300-(L300*G300)</f>
        <v>15158.567999999999</v>
      </c>
      <c r="N300" s="101">
        <f t="shared" si="161"/>
        <v>0.62877750124440024</v>
      </c>
      <c r="O300" s="101">
        <f t="shared" si="162"/>
        <v>7.5453300149328033</v>
      </c>
      <c r="P300" s="101">
        <f t="shared" si="163"/>
        <v>7.5453300149328033</v>
      </c>
      <c r="Q300" s="101">
        <f t="shared" si="164"/>
        <v>0</v>
      </c>
      <c r="R300" s="101">
        <f t="shared" si="165"/>
        <v>7.5453300149328033</v>
      </c>
      <c r="S300" s="101">
        <f t="shared" si="166"/>
        <v>15151.022669985066</v>
      </c>
    </row>
    <row r="301" spans="1:19" outlineLevel="1">
      <c r="A301" s="92" t="s">
        <v>292</v>
      </c>
      <c r="B301" s="93"/>
      <c r="C301" s="92">
        <v>5042</v>
      </c>
      <c r="D301" s="92" t="s">
        <v>334</v>
      </c>
      <c r="E301" s="92">
        <v>2009</v>
      </c>
      <c r="F301" s="92">
        <v>5</v>
      </c>
      <c r="G301" s="94">
        <v>0</v>
      </c>
      <c r="H301" s="92" t="s">
        <v>78</v>
      </c>
      <c r="I301" s="92">
        <v>3</v>
      </c>
      <c r="J301" s="92">
        <f t="shared" si="159"/>
        <v>2012</v>
      </c>
      <c r="K301" s="95">
        <f t="shared" si="160"/>
        <v>2012.4166666666667</v>
      </c>
      <c r="L301" s="96">
        <v>7094.74</v>
      </c>
      <c r="M301" s="96">
        <f>L301-L301*G301</f>
        <v>7094.74</v>
      </c>
      <c r="N301" s="96">
        <f t="shared" si="161"/>
        <v>197.07611111111112</v>
      </c>
      <c r="O301" s="96">
        <f t="shared" si="162"/>
        <v>2364.9133333333334</v>
      </c>
      <c r="P301" s="96">
        <f t="shared" si="163"/>
        <v>2364.9133333333334</v>
      </c>
      <c r="Q301" s="96">
        <f t="shared" si="164"/>
        <v>0</v>
      </c>
      <c r="R301" s="96">
        <f t="shared" si="165"/>
        <v>2364.9133333333334</v>
      </c>
      <c r="S301" s="96">
        <f t="shared" si="166"/>
        <v>4729.8266666666659</v>
      </c>
    </row>
    <row r="302" spans="1:19" outlineLevel="1">
      <c r="A302" s="92" t="s">
        <v>292</v>
      </c>
      <c r="B302" s="93"/>
      <c r="C302" s="92">
        <v>5045</v>
      </c>
      <c r="D302" s="92" t="s">
        <v>452</v>
      </c>
      <c r="E302" s="92">
        <v>2002</v>
      </c>
      <c r="F302" s="92">
        <v>6</v>
      </c>
      <c r="G302" s="94">
        <v>0</v>
      </c>
      <c r="H302" s="92" t="s">
        <v>78</v>
      </c>
      <c r="I302" s="92">
        <v>7</v>
      </c>
      <c r="J302" s="92">
        <f t="shared" si="159"/>
        <v>2009</v>
      </c>
      <c r="K302" s="95">
        <f t="shared" si="160"/>
        <v>2009.5</v>
      </c>
      <c r="L302" s="96">
        <f>'Orig Trucks 2183'!P126</f>
        <v>60111.784</v>
      </c>
      <c r="M302" s="96">
        <f>L302-L302*G302</f>
        <v>60111.784</v>
      </c>
      <c r="N302" s="96">
        <f t="shared" si="161"/>
        <v>715.61647619047619</v>
      </c>
      <c r="O302" s="96">
        <f t="shared" si="162"/>
        <v>8587.3977142857148</v>
      </c>
      <c r="P302" s="96">
        <f t="shared" si="163"/>
        <v>8587.3977142857148</v>
      </c>
      <c r="Q302" s="96">
        <f t="shared" si="164"/>
        <v>0</v>
      </c>
      <c r="R302" s="96">
        <f t="shared" si="165"/>
        <v>8587.3977142857148</v>
      </c>
      <c r="S302" s="96">
        <f t="shared" si="166"/>
        <v>51524.386285714281</v>
      </c>
    </row>
    <row r="303" spans="1:19" outlineLevel="1">
      <c r="A303" s="97"/>
      <c r="B303" s="98">
        <v>5045</v>
      </c>
      <c r="C303" s="97"/>
      <c r="D303" s="97" t="s">
        <v>688</v>
      </c>
      <c r="E303" s="97">
        <v>2019</v>
      </c>
      <c r="F303" s="97">
        <v>8</v>
      </c>
      <c r="G303" s="99">
        <v>0</v>
      </c>
      <c r="H303" s="97" t="s">
        <v>78</v>
      </c>
      <c r="I303" s="97">
        <f>+IF(J302-$M$4&gt;=3,J302-$M$4,3)</f>
        <v>2009</v>
      </c>
      <c r="J303" s="97">
        <f t="shared" si="159"/>
        <v>4028</v>
      </c>
      <c r="K303" s="100">
        <f t="shared" si="160"/>
        <v>4028.6666666666665</v>
      </c>
      <c r="L303" s="101">
        <f>'Orig Trucks 2183'!N126-'Trucks 2183'!L302</f>
        <v>15027.945999999996</v>
      </c>
      <c r="M303" s="101">
        <f>L303-(L303*G303)</f>
        <v>15027.945999999996</v>
      </c>
      <c r="N303" s="101">
        <f t="shared" si="161"/>
        <v>0.62335929981748783</v>
      </c>
      <c r="O303" s="101">
        <f t="shared" si="162"/>
        <v>7.4803115978098536</v>
      </c>
      <c r="P303" s="101">
        <f t="shared" si="163"/>
        <v>7.4803115978098536</v>
      </c>
      <c r="Q303" s="101">
        <f t="shared" si="164"/>
        <v>0</v>
      </c>
      <c r="R303" s="101">
        <f t="shared" si="165"/>
        <v>7.4803115978098536</v>
      </c>
      <c r="S303" s="101">
        <f t="shared" si="166"/>
        <v>15020.465688402186</v>
      </c>
    </row>
    <row r="304" spans="1:19" outlineLevel="1">
      <c r="A304" s="92" t="s">
        <v>284</v>
      </c>
      <c r="B304" s="93"/>
      <c r="C304" s="92">
        <v>3602</v>
      </c>
      <c r="D304" s="92" t="s">
        <v>161</v>
      </c>
      <c r="E304" s="92">
        <v>2007</v>
      </c>
      <c r="F304" s="92">
        <v>3</v>
      </c>
      <c r="G304" s="94">
        <v>0</v>
      </c>
      <c r="H304" s="92" t="s">
        <v>78</v>
      </c>
      <c r="I304" s="92">
        <v>7</v>
      </c>
      <c r="J304" s="92">
        <f t="shared" si="159"/>
        <v>2014</v>
      </c>
      <c r="K304" s="95">
        <f t="shared" si="160"/>
        <v>2014.25</v>
      </c>
      <c r="L304" s="96">
        <f>'Orig Trucks 2183'!P131</f>
        <v>155764.03200000001</v>
      </c>
      <c r="M304" s="96">
        <f>L304-L304*G304</f>
        <v>155764.03200000001</v>
      </c>
      <c r="N304" s="96">
        <f t="shared" si="161"/>
        <v>1854.3337142857144</v>
      </c>
      <c r="O304" s="96">
        <f t="shared" si="162"/>
        <v>22252.004571428573</v>
      </c>
      <c r="P304" s="96">
        <f t="shared" si="163"/>
        <v>22252.004571428573</v>
      </c>
      <c r="Q304" s="96">
        <f t="shared" si="164"/>
        <v>0</v>
      </c>
      <c r="R304" s="96">
        <f t="shared" si="165"/>
        <v>22252.004571428573</v>
      </c>
      <c r="S304" s="96">
        <f t="shared" si="166"/>
        <v>133512.02742857143</v>
      </c>
    </row>
    <row r="305" spans="1:19" outlineLevel="1">
      <c r="A305" s="97"/>
      <c r="B305" s="98">
        <v>3602</v>
      </c>
      <c r="C305" s="97"/>
      <c r="D305" s="97" t="s">
        <v>693</v>
      </c>
      <c r="E305" s="97">
        <v>2019</v>
      </c>
      <c r="F305" s="97">
        <v>8</v>
      </c>
      <c r="G305" s="99">
        <v>0</v>
      </c>
      <c r="H305" s="97" t="s">
        <v>78</v>
      </c>
      <c r="I305" s="97">
        <f>+IF(J304-$M$4&gt;=3,J304-$M$4,3)</f>
        <v>2014</v>
      </c>
      <c r="J305" s="97">
        <f t="shared" si="159"/>
        <v>4033</v>
      </c>
      <c r="K305" s="100">
        <f t="shared" si="160"/>
        <v>4033.6666666666665</v>
      </c>
      <c r="L305" s="101">
        <f>'Orig Trucks 2183'!N131-'Trucks 2183'!L304</f>
        <v>38941.008000000002</v>
      </c>
      <c r="M305" s="101">
        <f>L305-(L305*G305)</f>
        <v>38941.008000000002</v>
      </c>
      <c r="N305" s="101">
        <f t="shared" si="161"/>
        <v>1.6112631578947367</v>
      </c>
      <c r="O305" s="101">
        <f t="shared" si="162"/>
        <v>19.335157894736842</v>
      </c>
      <c r="P305" s="101">
        <f t="shared" si="163"/>
        <v>19.335157894736842</v>
      </c>
      <c r="Q305" s="101">
        <f t="shared" si="164"/>
        <v>0</v>
      </c>
      <c r="R305" s="101">
        <f t="shared" si="165"/>
        <v>19.335157894736842</v>
      </c>
      <c r="S305" s="101">
        <f t="shared" si="166"/>
        <v>38921.672842105261</v>
      </c>
    </row>
    <row r="306" spans="1:19" outlineLevel="1">
      <c r="A306" s="92">
        <v>114277</v>
      </c>
      <c r="B306" s="93" t="s">
        <v>283</v>
      </c>
      <c r="C306" s="92">
        <v>4512</v>
      </c>
      <c r="D306" s="92" t="s">
        <v>536</v>
      </c>
      <c r="E306" s="92">
        <v>1998</v>
      </c>
      <c r="F306" s="92">
        <v>2</v>
      </c>
      <c r="G306" s="94">
        <v>0</v>
      </c>
      <c r="H306" s="92" t="s">
        <v>78</v>
      </c>
      <c r="I306" s="92">
        <v>5</v>
      </c>
      <c r="J306" s="92">
        <f t="shared" si="159"/>
        <v>2003</v>
      </c>
      <c r="K306" s="95">
        <f t="shared" si="160"/>
        <v>2003.1666666666667</v>
      </c>
      <c r="L306" s="96">
        <v>0</v>
      </c>
      <c r="M306" s="96">
        <f>L306-L306*G306</f>
        <v>0</v>
      </c>
      <c r="N306" s="96">
        <f t="shared" si="161"/>
        <v>0</v>
      </c>
      <c r="O306" s="96">
        <f t="shared" si="162"/>
        <v>0</v>
      </c>
      <c r="P306" s="96">
        <f t="shared" si="163"/>
        <v>0</v>
      </c>
      <c r="Q306" s="96">
        <f t="shared" si="164"/>
        <v>0</v>
      </c>
      <c r="R306" s="96">
        <f t="shared" si="165"/>
        <v>0</v>
      </c>
      <c r="S306" s="96">
        <f t="shared" si="166"/>
        <v>0</v>
      </c>
    </row>
    <row r="307" spans="1:19" outlineLevel="1">
      <c r="A307" s="97"/>
      <c r="B307" s="98">
        <v>4512</v>
      </c>
      <c r="C307" s="97"/>
      <c r="D307" s="97" t="s">
        <v>700</v>
      </c>
      <c r="E307" s="97">
        <v>2019</v>
      </c>
      <c r="F307" s="97">
        <v>8</v>
      </c>
      <c r="G307" s="99">
        <v>0</v>
      </c>
      <c r="H307" s="97" t="s">
        <v>78</v>
      </c>
      <c r="I307" s="97">
        <f>+IF(J306-$M$4&gt;=3,J306-$M$4,3)</f>
        <v>2003</v>
      </c>
      <c r="J307" s="97">
        <f t="shared" si="159"/>
        <v>4022</v>
      </c>
      <c r="K307" s="100">
        <f t="shared" si="160"/>
        <v>4022.6666666666665</v>
      </c>
      <c r="L307" s="101">
        <v>0</v>
      </c>
      <c r="M307" s="101">
        <f>L307-(L307*G307)</f>
        <v>0</v>
      </c>
      <c r="N307" s="101">
        <f t="shared" si="161"/>
        <v>0</v>
      </c>
      <c r="O307" s="101">
        <f t="shared" si="162"/>
        <v>0</v>
      </c>
      <c r="P307" s="101">
        <f t="shared" si="163"/>
        <v>0</v>
      </c>
      <c r="Q307" s="101">
        <f t="shared" si="164"/>
        <v>0</v>
      </c>
      <c r="R307" s="101">
        <f t="shared" si="165"/>
        <v>0</v>
      </c>
      <c r="S307" s="101">
        <f t="shared" si="166"/>
        <v>0</v>
      </c>
    </row>
    <row r="308" spans="1:19" outlineLevel="1">
      <c r="A308" t="s">
        <v>283</v>
      </c>
      <c r="C308">
        <v>4033</v>
      </c>
      <c r="D308" t="s">
        <v>82</v>
      </c>
      <c r="E308">
        <v>2009</v>
      </c>
      <c r="F308">
        <v>5</v>
      </c>
      <c r="G308" s="26">
        <v>0</v>
      </c>
      <c r="H308" t="s">
        <v>78</v>
      </c>
      <c r="I308">
        <v>3</v>
      </c>
      <c r="J308">
        <f>E308+I308</f>
        <v>2012</v>
      </c>
      <c r="K308" s="63">
        <f>+J308+(F308/12)</f>
        <v>2012.4166666666667</v>
      </c>
      <c r="L308" s="25">
        <v>3577.2</v>
      </c>
      <c r="M308" s="25">
        <f>L308-L308*G308</f>
        <v>3577.2</v>
      </c>
      <c r="N308" s="25">
        <f>M308/I308/12</f>
        <v>99.36666666666666</v>
      </c>
      <c r="O308" s="25">
        <f>+N308*12</f>
        <v>1192.3999999999999</v>
      </c>
      <c r="P308" s="25">
        <f>+IF(K308&lt;=$M$5,0,IF(J308&gt;$M$4,O308,N308*F308))</f>
        <v>1192.3999999999999</v>
      </c>
      <c r="Q308" s="25">
        <f>+IF(P308=0,M308,IF($M$3-E308&lt;1,0,(($M$3-E308)*O308)))</f>
        <v>0</v>
      </c>
      <c r="R308" s="25">
        <f>+IF(P308=0,Q308,Q308+P308)</f>
        <v>1192.3999999999999</v>
      </c>
      <c r="S308" s="25">
        <f>+L308-R308</f>
        <v>2384.8000000000002</v>
      </c>
    </row>
    <row r="309" spans="1:19" outlineLevel="1">
      <c r="A309" t="s">
        <v>283</v>
      </c>
      <c r="C309">
        <v>4033</v>
      </c>
      <c r="D309" t="s">
        <v>331</v>
      </c>
      <c r="E309">
        <v>2009</v>
      </c>
      <c r="F309">
        <v>5</v>
      </c>
      <c r="G309" s="26">
        <v>0</v>
      </c>
      <c r="H309" t="s">
        <v>78</v>
      </c>
      <c r="I309">
        <v>3</v>
      </c>
      <c r="J309">
        <f>E309+I309</f>
        <v>2012</v>
      </c>
      <c r="K309" s="63">
        <f>+J309+(F309/12)</f>
        <v>2012.4166666666667</v>
      </c>
      <c r="L309" s="25">
        <v>5775.33</v>
      </c>
      <c r="M309" s="25">
        <f>L309-L309*G309</f>
        <v>5775.33</v>
      </c>
      <c r="N309" s="25">
        <f>M309/I309/12</f>
        <v>160.42583333333332</v>
      </c>
      <c r="O309" s="25">
        <f>+N309*12</f>
        <v>1925.1099999999997</v>
      </c>
      <c r="P309" s="25">
        <f>+IF(K309&lt;=$M$5,0,IF(J309&gt;$M$4,O309,N309*F309))</f>
        <v>1925.1099999999997</v>
      </c>
      <c r="Q309" s="25">
        <f>+IF(P309=0,M309,IF($M$3-E309&lt;1,0,(($M$3-E309)*O309)))</f>
        <v>0</v>
      </c>
      <c r="R309" s="25">
        <f>+IF(P309=0,Q309,Q309+P309)</f>
        <v>1925.1099999999997</v>
      </c>
      <c r="S309" s="25">
        <f>+L309-R309</f>
        <v>3850.2200000000003</v>
      </c>
    </row>
    <row r="310" spans="1:19" outlineLevel="1">
      <c r="B310" s="5">
        <v>117825</v>
      </c>
      <c r="C310">
        <v>4033</v>
      </c>
      <c r="D310" t="s">
        <v>530</v>
      </c>
      <c r="E310">
        <v>2014</v>
      </c>
      <c r="F310">
        <v>11</v>
      </c>
      <c r="G310" s="26">
        <v>0</v>
      </c>
      <c r="H310" t="s">
        <v>78</v>
      </c>
      <c r="I310">
        <v>3</v>
      </c>
      <c r="J310">
        <f>E310+I310</f>
        <v>2017</v>
      </c>
      <c r="K310" s="63">
        <f>+J310+(F310/12)</f>
        <v>2017.9166666666667</v>
      </c>
      <c r="L310" s="25">
        <v>7331.82</v>
      </c>
      <c r="M310" s="25">
        <f>L310-L310*G310</f>
        <v>7331.82</v>
      </c>
      <c r="N310" s="25">
        <f>M310/I310/12</f>
        <v>203.66166666666666</v>
      </c>
      <c r="O310" s="25">
        <f>+N310*12</f>
        <v>2443.94</v>
      </c>
      <c r="P310" s="25">
        <f>+IF(K310&lt;=$M$5,0,IF(J310&gt;$M$4,O310,N310*F310))</f>
        <v>2443.94</v>
      </c>
      <c r="Q310" s="25">
        <f>+IF(P310=0,M310,IF($M$3-E310&lt;1,0,(($M$3-E310)*O310)))</f>
        <v>0</v>
      </c>
      <c r="R310" s="25">
        <f>+IF(P310=0,Q310,Q310+P310)</f>
        <v>2443.94</v>
      </c>
      <c r="S310" s="25">
        <f>+L310-R310</f>
        <v>4887.8799999999992</v>
      </c>
    </row>
    <row r="311" spans="1:19" outlineLevel="1">
      <c r="A311" t="s">
        <v>288</v>
      </c>
      <c r="C311">
        <v>5001</v>
      </c>
      <c r="D311" t="s">
        <v>304</v>
      </c>
      <c r="E311">
        <v>2005</v>
      </c>
      <c r="F311">
        <v>8</v>
      </c>
      <c r="G311" s="26">
        <v>0</v>
      </c>
      <c r="H311" t="s">
        <v>78</v>
      </c>
      <c r="I311">
        <v>5</v>
      </c>
      <c r="J311">
        <f>E311+I311</f>
        <v>2010</v>
      </c>
      <c r="K311" s="24">
        <f>+J311+(F311/12)</f>
        <v>2010.6666666666667</v>
      </c>
      <c r="L311" s="29">
        <f>'Orig Trucks 2183'!P26</f>
        <v>6536.52</v>
      </c>
      <c r="M311" s="29">
        <f>L311-L311*G311</f>
        <v>6536.52</v>
      </c>
      <c r="N311" s="29">
        <f>M311/I311/12</f>
        <v>108.94200000000001</v>
      </c>
      <c r="O311" s="29">
        <f>+N311*12</f>
        <v>1307.3040000000001</v>
      </c>
      <c r="P311" s="29">
        <f>+IF(K311&lt;=$M$5,0,IF(J311=$M$4,N311*F311,O311))</f>
        <v>1307.3040000000001</v>
      </c>
      <c r="Q311" s="29">
        <f>+IF(P311=0,M311,IF($M$3-E311&lt;1,0,(($M$3-E311)*O311)))</f>
        <v>0</v>
      </c>
      <c r="R311" s="29">
        <f>+IF(P311=0,Q311,Q311+P311)</f>
        <v>1307.3040000000001</v>
      </c>
      <c r="S311" s="29">
        <f>+L311-R311</f>
        <v>5229.2160000000003</v>
      </c>
    </row>
    <row r="312" spans="1:19" outlineLevel="1">
      <c r="A312" s="116"/>
      <c r="B312" s="117"/>
      <c r="C312" s="117">
        <v>5001</v>
      </c>
      <c r="D312" s="116" t="s">
        <v>654</v>
      </c>
      <c r="E312" s="116">
        <v>2019</v>
      </c>
      <c r="F312" s="116">
        <v>8</v>
      </c>
      <c r="G312" s="118">
        <v>0</v>
      </c>
      <c r="H312" s="116" t="s">
        <v>78</v>
      </c>
      <c r="I312" s="116">
        <f>+IF(J311-$M$4&gt;=3,J311-$M$4,3)</f>
        <v>2010</v>
      </c>
      <c r="J312" s="116">
        <f>E312+I312</f>
        <v>4029</v>
      </c>
      <c r="K312" s="119">
        <f>+J312+(F312/12)</f>
        <v>4029.6666666666665</v>
      </c>
      <c r="L312" s="120">
        <f>'Orig Trucks 2183'!N26-'Trucks 2183'!L311</f>
        <v>3219.4799999999996</v>
      </c>
      <c r="M312" s="120">
        <f>L312-(L312*G312)</f>
        <v>3219.4799999999996</v>
      </c>
      <c r="N312" s="120">
        <f>M312/I312/12</f>
        <v>0.13347761194029847</v>
      </c>
      <c r="O312" s="120">
        <f>+N312*12</f>
        <v>1.6017313432835816</v>
      </c>
      <c r="P312" s="120">
        <f>+IF(K312&lt;=$M$5,0,IF(J312=$M$4,N312*F312,O312))</f>
        <v>1.6017313432835816</v>
      </c>
      <c r="Q312" s="120">
        <f>+IF(P312=0,M312,IF($M$3-E312&lt;1,0,(($M$3-E312)*O312)))</f>
        <v>0</v>
      </c>
      <c r="R312" s="120">
        <f>+IF(P312=0,Q312,Q312+P312)</f>
        <v>1.6017313432835816</v>
      </c>
      <c r="S312" s="120">
        <f>+L312-R312</f>
        <v>3217.878268656716</v>
      </c>
    </row>
    <row r="313" spans="1:19" outlineLevel="1"/>
    <row r="314" spans="1:19" outlineLevel="1"/>
    <row r="315" spans="1:19" outlineLevel="1"/>
    <row r="316" spans="1:19" outlineLevel="1"/>
    <row r="317" spans="1:19" outlineLevel="1">
      <c r="B317" s="86" t="s">
        <v>1858</v>
      </c>
    </row>
    <row r="318" spans="1:19" outlineLevel="1">
      <c r="A318" t="s">
        <v>284</v>
      </c>
      <c r="C318">
        <v>3600</v>
      </c>
      <c r="D318" t="s">
        <v>161</v>
      </c>
      <c r="E318">
        <v>2007</v>
      </c>
      <c r="F318">
        <v>3</v>
      </c>
      <c r="G318" s="26">
        <v>0</v>
      </c>
      <c r="H318" t="s">
        <v>78</v>
      </c>
      <c r="I318">
        <v>7</v>
      </c>
      <c r="J318">
        <f t="shared" ref="J318:J326" si="167">E318+I318</f>
        <v>2014</v>
      </c>
      <c r="K318" s="24">
        <f t="shared" ref="K318:K326" si="168">+J318+(F318/12)</f>
        <v>2014.25</v>
      </c>
      <c r="L318" s="29">
        <f>'Orig Trucks 2183'!P129</f>
        <v>155764.03200000001</v>
      </c>
      <c r="M318" s="29">
        <f>L318-L318*G318</f>
        <v>155764.03200000001</v>
      </c>
      <c r="N318" s="29">
        <f t="shared" ref="N318:N326" si="169">M318/I318/12</f>
        <v>1854.3337142857144</v>
      </c>
      <c r="O318" s="29">
        <f t="shared" ref="O318:O326" si="170">+N318*12</f>
        <v>22252.004571428573</v>
      </c>
      <c r="P318" s="29">
        <f>+IF(K318&lt;=$M$5,0,IF(J318&gt;$M$4,O318,N318*F318))</f>
        <v>22252.004571428573</v>
      </c>
      <c r="Q318" s="29">
        <f t="shared" ref="Q318:Q326" si="171">+IF(P318=0,M318,IF($M$3-E318&lt;1,0,(($M$3-E318)*O318)))</f>
        <v>0</v>
      </c>
      <c r="R318" s="29">
        <f t="shared" ref="R318:R326" si="172">+IF(P318=0,Q318,Q318+P318)</f>
        <v>22252.004571428573</v>
      </c>
      <c r="S318" s="29">
        <f t="shared" ref="S318:S326" si="173">+L318-R318</f>
        <v>133512.02742857143</v>
      </c>
    </row>
    <row r="319" spans="1:19" outlineLevel="1">
      <c r="A319" s="116"/>
      <c r="B319" s="116"/>
      <c r="C319" s="117">
        <v>3600</v>
      </c>
      <c r="D319" s="116" t="s">
        <v>691</v>
      </c>
      <c r="E319" s="116">
        <v>2019</v>
      </c>
      <c r="F319" s="116">
        <v>8</v>
      </c>
      <c r="G319" s="118">
        <v>0</v>
      </c>
      <c r="H319" s="116" t="s">
        <v>78</v>
      </c>
      <c r="I319" s="116">
        <f>+IF(J318-$M$4&gt;=3,J318-$M$4,3)</f>
        <v>2014</v>
      </c>
      <c r="J319" s="116">
        <f t="shared" si="167"/>
        <v>4033</v>
      </c>
      <c r="K319" s="119">
        <f t="shared" si="168"/>
        <v>4033.6666666666665</v>
      </c>
      <c r="L319" s="120">
        <f>'Orig Trucks 2183'!N129-'Trucks 2183'!L318</f>
        <v>38941.008000000002</v>
      </c>
      <c r="M319" s="120">
        <f>L319-(L319*G319)</f>
        <v>38941.008000000002</v>
      </c>
      <c r="N319" s="120">
        <f t="shared" si="169"/>
        <v>1.6112631578947367</v>
      </c>
      <c r="O319" s="120">
        <f t="shared" si="170"/>
        <v>19.335157894736842</v>
      </c>
      <c r="P319" s="120">
        <f>+IF(K319&lt;=$M$5,0,IF(J319&gt;$M$4,O319,N319*F319))</f>
        <v>19.335157894736842</v>
      </c>
      <c r="Q319" s="120">
        <f t="shared" si="171"/>
        <v>0</v>
      </c>
      <c r="R319" s="120">
        <f t="shared" si="172"/>
        <v>19.335157894736842</v>
      </c>
      <c r="S319" s="120">
        <f t="shared" si="173"/>
        <v>38921.672842105261</v>
      </c>
    </row>
    <row r="320" spans="1:19" outlineLevel="1">
      <c r="A320" t="s">
        <v>284</v>
      </c>
      <c r="C320">
        <v>3601</v>
      </c>
      <c r="D320" t="s">
        <v>161</v>
      </c>
      <c r="E320">
        <v>2007</v>
      </c>
      <c r="F320">
        <v>3</v>
      </c>
      <c r="G320" s="26">
        <v>0</v>
      </c>
      <c r="H320" t="s">
        <v>78</v>
      </c>
      <c r="I320">
        <v>7</v>
      </c>
      <c r="J320">
        <f t="shared" si="167"/>
        <v>2014</v>
      </c>
      <c r="K320" s="24">
        <f t="shared" si="168"/>
        <v>2014.25</v>
      </c>
      <c r="L320" s="29">
        <f>'Orig Trucks 2183'!P130</f>
        <v>155764.03200000001</v>
      </c>
      <c r="M320" s="29">
        <f>L320-L320*G320</f>
        <v>155764.03200000001</v>
      </c>
      <c r="N320" s="29">
        <f t="shared" si="169"/>
        <v>1854.3337142857144</v>
      </c>
      <c r="O320" s="29">
        <f t="shared" si="170"/>
        <v>22252.004571428573</v>
      </c>
      <c r="P320" s="29">
        <f>+IF(K320&lt;=$M$5,0,IF(J320&gt;$M$4,O320,N320*F320))</f>
        <v>22252.004571428573</v>
      </c>
      <c r="Q320" s="29">
        <f t="shared" si="171"/>
        <v>0</v>
      </c>
      <c r="R320" s="29">
        <f t="shared" si="172"/>
        <v>22252.004571428573</v>
      </c>
      <c r="S320" s="29">
        <f t="shared" si="173"/>
        <v>133512.02742857143</v>
      </c>
    </row>
    <row r="321" spans="1:19" outlineLevel="1">
      <c r="A321" s="116"/>
      <c r="B321" s="116"/>
      <c r="C321" s="117">
        <v>3601</v>
      </c>
      <c r="D321" s="116" t="s">
        <v>692</v>
      </c>
      <c r="E321" s="116">
        <v>2019</v>
      </c>
      <c r="F321" s="116">
        <v>8</v>
      </c>
      <c r="G321" s="118">
        <v>0</v>
      </c>
      <c r="H321" s="116" t="s">
        <v>78</v>
      </c>
      <c r="I321" s="116">
        <f>+IF(J320-$M$4&gt;=3,J320-$M$4,3)</f>
        <v>2014</v>
      </c>
      <c r="J321" s="116">
        <f t="shared" si="167"/>
        <v>4033</v>
      </c>
      <c r="K321" s="119">
        <f t="shared" si="168"/>
        <v>4033.6666666666665</v>
      </c>
      <c r="L321" s="120">
        <f>'Orig Trucks 2183'!N130-'Trucks 2183'!L320</f>
        <v>38941.008000000002</v>
      </c>
      <c r="M321" s="120">
        <f>L321-(L321*G321)</f>
        <v>38941.008000000002</v>
      </c>
      <c r="N321" s="120">
        <f t="shared" si="169"/>
        <v>1.6112631578947367</v>
      </c>
      <c r="O321" s="120">
        <f t="shared" si="170"/>
        <v>19.335157894736842</v>
      </c>
      <c r="P321" s="120">
        <f>+IF(K321&lt;=$M$5,0,IF(J321&gt;$M$4,O321,N321*F321))</f>
        <v>19.335157894736842</v>
      </c>
      <c r="Q321" s="120">
        <f t="shared" si="171"/>
        <v>0</v>
      </c>
      <c r="R321" s="120">
        <f t="shared" si="172"/>
        <v>19.335157894736842</v>
      </c>
      <c r="S321" s="120">
        <f t="shared" si="173"/>
        <v>38921.672842105261</v>
      </c>
    </row>
    <row r="322" spans="1:19" outlineLevel="1">
      <c r="A322" t="s">
        <v>284</v>
      </c>
      <c r="C322">
        <v>3603</v>
      </c>
      <c r="D322" t="s">
        <v>161</v>
      </c>
      <c r="E322">
        <v>2007</v>
      </c>
      <c r="F322">
        <v>3</v>
      </c>
      <c r="G322" s="26">
        <v>0</v>
      </c>
      <c r="H322" t="s">
        <v>78</v>
      </c>
      <c r="I322">
        <v>7</v>
      </c>
      <c r="J322">
        <f t="shared" si="167"/>
        <v>2014</v>
      </c>
      <c r="K322" s="24">
        <f t="shared" si="168"/>
        <v>2014.25</v>
      </c>
      <c r="L322" s="29">
        <f>'Orig Trucks 2183'!P38</f>
        <v>155764.03200000001</v>
      </c>
      <c r="M322" s="29">
        <f>L322-L322*G322</f>
        <v>155764.03200000001</v>
      </c>
      <c r="N322" s="29">
        <f t="shared" si="169"/>
        <v>1854.3337142857144</v>
      </c>
      <c r="O322" s="29">
        <f t="shared" si="170"/>
        <v>22252.004571428573</v>
      </c>
      <c r="P322" s="29">
        <f>+IF(K322&lt;=$M$5,0,IF(J322=$M$4,N322*F322,O322))</f>
        <v>22252.004571428573</v>
      </c>
      <c r="Q322" s="29">
        <f t="shared" si="171"/>
        <v>0</v>
      </c>
      <c r="R322" s="29">
        <f t="shared" si="172"/>
        <v>22252.004571428573</v>
      </c>
      <c r="S322" s="29">
        <f t="shared" si="173"/>
        <v>133512.02742857143</v>
      </c>
    </row>
    <row r="323" spans="1:19" outlineLevel="1">
      <c r="A323" s="116"/>
      <c r="B323" s="116"/>
      <c r="C323" s="117">
        <v>3603</v>
      </c>
      <c r="D323" s="116" t="s">
        <v>660</v>
      </c>
      <c r="E323" s="116">
        <v>2019</v>
      </c>
      <c r="F323" s="116">
        <v>8</v>
      </c>
      <c r="G323" s="118">
        <v>0</v>
      </c>
      <c r="H323" s="116" t="s">
        <v>78</v>
      </c>
      <c r="I323" s="116">
        <f>+IF(J322-$M$4&gt;=3,J322-$M$4,3)</f>
        <v>2014</v>
      </c>
      <c r="J323" s="116">
        <f t="shared" si="167"/>
        <v>4033</v>
      </c>
      <c r="K323" s="119">
        <f t="shared" si="168"/>
        <v>4033.6666666666665</v>
      </c>
      <c r="L323" s="120">
        <f>'Orig Trucks 2183'!N38-'Trucks 2183'!L322</f>
        <v>38941.008000000002</v>
      </c>
      <c r="M323" s="120">
        <f>L323-(L323*G323)</f>
        <v>38941.008000000002</v>
      </c>
      <c r="N323" s="120">
        <f t="shared" si="169"/>
        <v>1.6112631578947367</v>
      </c>
      <c r="O323" s="120">
        <f t="shared" si="170"/>
        <v>19.335157894736842</v>
      </c>
      <c r="P323" s="120">
        <f>+IF(K323&lt;=$M$5,0,IF(J323=$M$4,N323*F323,O323))</f>
        <v>19.335157894736842</v>
      </c>
      <c r="Q323" s="120">
        <f t="shared" si="171"/>
        <v>0</v>
      </c>
      <c r="R323" s="120">
        <f t="shared" si="172"/>
        <v>19.335157894736842</v>
      </c>
      <c r="S323" s="120">
        <f t="shared" si="173"/>
        <v>38921.672842105261</v>
      </c>
    </row>
    <row r="324" spans="1:19" outlineLevel="1">
      <c r="A324">
        <v>114278</v>
      </c>
      <c r="B324" s="5" t="s">
        <v>285</v>
      </c>
      <c r="C324">
        <v>1029</v>
      </c>
      <c r="D324" t="s">
        <v>537</v>
      </c>
      <c r="E324">
        <v>2000</v>
      </c>
      <c r="F324">
        <v>6</v>
      </c>
      <c r="G324" s="26">
        <v>0.2</v>
      </c>
      <c r="H324" t="s">
        <v>78</v>
      </c>
      <c r="I324">
        <v>7</v>
      </c>
      <c r="J324">
        <f t="shared" si="167"/>
        <v>2007</v>
      </c>
      <c r="K324" s="24">
        <f t="shared" si="168"/>
        <v>2007.5</v>
      </c>
      <c r="L324" s="29">
        <v>95126.41</v>
      </c>
      <c r="M324" s="29">
        <f>L324</f>
        <v>95126.41</v>
      </c>
      <c r="N324" s="29">
        <f t="shared" si="169"/>
        <v>1132.4572619047619</v>
      </c>
      <c r="O324" s="29">
        <f t="shared" si="170"/>
        <v>13589.487142857142</v>
      </c>
      <c r="P324" s="29">
        <f>+IF(K324&lt;=$M$5,0,IF(J324&gt;$M$4,O324,N324*F324))</f>
        <v>13589.487142857142</v>
      </c>
      <c r="Q324" s="29">
        <f t="shared" si="171"/>
        <v>0</v>
      </c>
      <c r="R324" s="29">
        <f t="shared" si="172"/>
        <v>13589.487142857142</v>
      </c>
      <c r="S324" s="29">
        <f t="shared" si="173"/>
        <v>81536.922857142868</v>
      </c>
    </row>
    <row r="325" spans="1:19" outlineLevel="1">
      <c r="A325">
        <v>114279</v>
      </c>
      <c r="B325" s="5" t="s">
        <v>285</v>
      </c>
      <c r="C325">
        <v>1029</v>
      </c>
      <c r="D325" t="s">
        <v>544</v>
      </c>
      <c r="E325">
        <v>2009</v>
      </c>
      <c r="F325">
        <v>6</v>
      </c>
      <c r="G325" s="26">
        <v>0</v>
      </c>
      <c r="H325" t="s">
        <v>78</v>
      </c>
      <c r="I325">
        <v>3</v>
      </c>
      <c r="J325">
        <f t="shared" si="167"/>
        <v>2012</v>
      </c>
      <c r="K325" s="24">
        <f t="shared" si="168"/>
        <v>2012.5</v>
      </c>
      <c r="L325" s="29">
        <v>2915.87</v>
      </c>
      <c r="M325" s="29">
        <f>L325</f>
        <v>2915.87</v>
      </c>
      <c r="N325" s="29">
        <f t="shared" si="169"/>
        <v>80.996388888888887</v>
      </c>
      <c r="O325" s="29">
        <f t="shared" si="170"/>
        <v>971.95666666666671</v>
      </c>
      <c r="P325" s="29">
        <f>+IF(K325&lt;=$M$5,0,IF(J325&gt;$M$4,O325,N325*F325))</f>
        <v>971.95666666666671</v>
      </c>
      <c r="Q325" s="29">
        <f t="shared" si="171"/>
        <v>0</v>
      </c>
      <c r="R325" s="29">
        <f t="shared" si="172"/>
        <v>971.95666666666671</v>
      </c>
      <c r="S325" s="29">
        <f t="shared" si="173"/>
        <v>1943.9133333333332</v>
      </c>
    </row>
    <row r="326" spans="1:19" outlineLevel="1">
      <c r="A326" t="s">
        <v>151</v>
      </c>
      <c r="B326" s="5">
        <v>114280</v>
      </c>
      <c r="C326">
        <v>1035</v>
      </c>
      <c r="D326" t="s">
        <v>538</v>
      </c>
      <c r="E326">
        <v>2002</v>
      </c>
      <c r="F326">
        <v>6</v>
      </c>
      <c r="G326" s="26">
        <v>0.2</v>
      </c>
      <c r="H326" t="s">
        <v>78</v>
      </c>
      <c r="I326">
        <v>7</v>
      </c>
      <c r="J326">
        <f t="shared" si="167"/>
        <v>2009</v>
      </c>
      <c r="K326" s="24">
        <f t="shared" si="168"/>
        <v>2009.5</v>
      </c>
      <c r="L326" s="29">
        <v>101881.5</v>
      </c>
      <c r="M326" s="29">
        <f>L326</f>
        <v>101881.5</v>
      </c>
      <c r="N326" s="29">
        <f t="shared" si="169"/>
        <v>1212.875</v>
      </c>
      <c r="O326" s="29">
        <f t="shared" si="170"/>
        <v>14554.5</v>
      </c>
      <c r="P326" s="29">
        <f>+IF(K326&lt;=$M$5,0,IF(J326=$M$4,N326*F326,O326))</f>
        <v>14554.5</v>
      </c>
      <c r="Q326" s="29">
        <f t="shared" si="171"/>
        <v>0</v>
      </c>
      <c r="R326" s="29">
        <f t="shared" si="172"/>
        <v>14554.5</v>
      </c>
      <c r="S326" s="29">
        <f t="shared" si="173"/>
        <v>87327</v>
      </c>
    </row>
    <row r="327" spans="1:19">
      <c r="B327" s="5">
        <v>114284</v>
      </c>
      <c r="C327">
        <v>4049</v>
      </c>
      <c r="D327" t="s">
        <v>553</v>
      </c>
      <c r="E327">
        <v>2013</v>
      </c>
      <c r="F327">
        <v>10</v>
      </c>
      <c r="G327" s="26">
        <v>0</v>
      </c>
      <c r="H327" t="s">
        <v>78</v>
      </c>
      <c r="I327">
        <v>3</v>
      </c>
      <c r="J327">
        <f t="shared" ref="J327:J334" si="174">E327+I327</f>
        <v>2016</v>
      </c>
      <c r="K327" s="24">
        <f t="shared" ref="K327:K334" si="175">+J327+(F327/12)</f>
        <v>2016.8333333333333</v>
      </c>
      <c r="L327" s="29">
        <v>8837.86</v>
      </c>
      <c r="M327" s="29">
        <f>L327-L327*G327</f>
        <v>8837.86</v>
      </c>
      <c r="N327" s="29">
        <f t="shared" ref="N327:N334" si="176">M327/I327/12</f>
        <v>245.49611111111111</v>
      </c>
      <c r="O327" s="29">
        <f t="shared" ref="O327:O334" si="177">+N327*12</f>
        <v>2945.9533333333334</v>
      </c>
      <c r="P327" s="29">
        <f>+IF(K327&lt;=$M$5,0,IF(J327&gt;$M$4,O327,N327*F327))</f>
        <v>2945.9533333333334</v>
      </c>
      <c r="Q327" s="29">
        <f t="shared" ref="Q327:Q334" si="178">+IF(P327=0,M327,IF($M$3-E327&lt;1,0,(($M$3-E327)*O327)))</f>
        <v>0</v>
      </c>
      <c r="R327" s="29">
        <f t="shared" ref="R327:R334" si="179">+IF(P327=0,Q327,Q327+P327)</f>
        <v>2945.9533333333334</v>
      </c>
      <c r="S327" s="29">
        <f t="shared" ref="S327:S334" si="180">+L327-R327</f>
        <v>5891.9066666666677</v>
      </c>
    </row>
    <row r="328" spans="1:19">
      <c r="B328" s="5">
        <v>109992</v>
      </c>
      <c r="C328">
        <v>3603</v>
      </c>
      <c r="D328" t="s">
        <v>490</v>
      </c>
      <c r="E328">
        <v>2013</v>
      </c>
      <c r="F328">
        <v>12</v>
      </c>
      <c r="G328" s="26">
        <v>0</v>
      </c>
      <c r="H328" t="s">
        <v>78</v>
      </c>
      <c r="I328">
        <v>3</v>
      </c>
      <c r="J328">
        <f t="shared" si="174"/>
        <v>2016</v>
      </c>
      <c r="K328" s="24">
        <f t="shared" si="175"/>
        <v>2017</v>
      </c>
      <c r="L328" s="29">
        <v>24943.74</v>
      </c>
      <c r="M328" s="29">
        <f>L328-L328*G328</f>
        <v>24943.74</v>
      </c>
      <c r="N328" s="29">
        <f t="shared" si="176"/>
        <v>692.88166666666666</v>
      </c>
      <c r="O328" s="29">
        <f t="shared" si="177"/>
        <v>8314.58</v>
      </c>
      <c r="P328" s="29">
        <f>+IF(K328&lt;=$M$5,0,IF(J328=$M$4,N328*F328,O328))</f>
        <v>8314.58</v>
      </c>
      <c r="Q328" s="29">
        <f t="shared" si="178"/>
        <v>0</v>
      </c>
      <c r="R328" s="29">
        <f t="shared" si="179"/>
        <v>8314.58</v>
      </c>
      <c r="S328" s="29">
        <f t="shared" si="180"/>
        <v>16629.160000000003</v>
      </c>
    </row>
    <row r="329" spans="1:19">
      <c r="B329" s="5">
        <v>124606</v>
      </c>
      <c r="C329">
        <v>3603</v>
      </c>
      <c r="D329" t="s">
        <v>570</v>
      </c>
      <c r="E329">
        <v>2015</v>
      </c>
      <c r="F329">
        <v>6</v>
      </c>
      <c r="G329" s="26">
        <v>0</v>
      </c>
      <c r="H329" t="s">
        <v>78</v>
      </c>
      <c r="I329">
        <v>3</v>
      </c>
      <c r="J329">
        <f t="shared" si="174"/>
        <v>2018</v>
      </c>
      <c r="K329" s="24">
        <f t="shared" si="175"/>
        <v>2018.5</v>
      </c>
      <c r="L329" s="29">
        <v>10023.450000000001</v>
      </c>
      <c r="M329" s="29">
        <f>L329-L329*G329</f>
        <v>10023.450000000001</v>
      </c>
      <c r="N329" s="29">
        <f t="shared" si="176"/>
        <v>278.42916666666667</v>
      </c>
      <c r="O329" s="29">
        <f t="shared" si="177"/>
        <v>3341.15</v>
      </c>
      <c r="P329" s="29">
        <f>+IF(K329&lt;=$M$5,0,IF(J329=$M$4,N329*F329,O329))</f>
        <v>3341.15</v>
      </c>
      <c r="Q329" s="29">
        <f t="shared" si="178"/>
        <v>0</v>
      </c>
      <c r="R329" s="29">
        <f t="shared" si="179"/>
        <v>3341.15</v>
      </c>
      <c r="S329" s="29">
        <f t="shared" si="180"/>
        <v>6682.3000000000011</v>
      </c>
    </row>
    <row r="330" spans="1:19">
      <c r="A330" t="s">
        <v>283</v>
      </c>
      <c r="B330" s="5">
        <v>114283</v>
      </c>
      <c r="C330">
        <v>4049</v>
      </c>
      <c r="D330" t="s">
        <v>550</v>
      </c>
      <c r="E330">
        <v>2006</v>
      </c>
      <c r="F330">
        <v>4</v>
      </c>
      <c r="G330" s="26">
        <v>0</v>
      </c>
      <c r="H330" t="s">
        <v>78</v>
      </c>
      <c r="I330">
        <v>7</v>
      </c>
      <c r="J330">
        <f t="shared" si="174"/>
        <v>2013</v>
      </c>
      <c r="K330" s="24">
        <f t="shared" si="175"/>
        <v>2013.3333333333333</v>
      </c>
      <c r="L330" s="29">
        <v>0</v>
      </c>
      <c r="M330" s="29">
        <f>L330-L330*G330</f>
        <v>0</v>
      </c>
      <c r="N330" s="29">
        <f t="shared" si="176"/>
        <v>0</v>
      </c>
      <c r="O330" s="29">
        <f t="shared" si="177"/>
        <v>0</v>
      </c>
      <c r="P330" s="29">
        <f>+IF(K330&lt;=$M$5,0,IF(J330&gt;$M$4,O330,N330*F330))</f>
        <v>0</v>
      </c>
      <c r="Q330" s="29">
        <f t="shared" si="178"/>
        <v>0</v>
      </c>
      <c r="R330" s="29">
        <f t="shared" si="179"/>
        <v>0</v>
      </c>
      <c r="S330" s="29">
        <f t="shared" si="180"/>
        <v>0</v>
      </c>
    </row>
    <row r="331" spans="1:19">
      <c r="A331" s="116"/>
      <c r="B331" s="116"/>
      <c r="C331" s="117">
        <v>4049</v>
      </c>
      <c r="D331" s="116" t="s">
        <v>678</v>
      </c>
      <c r="E331" s="116">
        <v>2019</v>
      </c>
      <c r="F331" s="116">
        <v>8</v>
      </c>
      <c r="G331" s="118">
        <v>0</v>
      </c>
      <c r="H331" s="116" t="s">
        <v>78</v>
      </c>
      <c r="I331" s="116">
        <f>+IF(J330-$M$4&gt;=3,J330-$M$4,3)</f>
        <v>2013</v>
      </c>
      <c r="J331" s="116">
        <f t="shared" si="174"/>
        <v>4032</v>
      </c>
      <c r="K331" s="119">
        <f t="shared" si="175"/>
        <v>4032.6666666666665</v>
      </c>
      <c r="L331" s="120">
        <v>0</v>
      </c>
      <c r="M331" s="120">
        <f>L331-(L331*G331)</f>
        <v>0</v>
      </c>
      <c r="N331" s="120">
        <f t="shared" si="176"/>
        <v>0</v>
      </c>
      <c r="O331" s="120">
        <f t="shared" si="177"/>
        <v>0</v>
      </c>
      <c r="P331" s="120">
        <f>+IF(K331&lt;=$M$5,0,IF(J331=$M$4,N331*F331,O331))/3</f>
        <v>0</v>
      </c>
      <c r="Q331" s="120">
        <f t="shared" si="178"/>
        <v>0</v>
      </c>
      <c r="R331" s="120">
        <f t="shared" si="179"/>
        <v>0</v>
      </c>
      <c r="S331" s="120">
        <f t="shared" si="180"/>
        <v>0</v>
      </c>
    </row>
    <row r="332" spans="1:19">
      <c r="B332" s="5" t="s">
        <v>714</v>
      </c>
      <c r="C332">
        <v>4059</v>
      </c>
      <c r="D332" t="s">
        <v>715</v>
      </c>
      <c r="E332">
        <v>2018</v>
      </c>
      <c r="F332">
        <v>1</v>
      </c>
      <c r="G332" s="26">
        <v>0</v>
      </c>
      <c r="H332" t="s">
        <v>78</v>
      </c>
      <c r="I332">
        <v>3</v>
      </c>
      <c r="J332">
        <f t="shared" si="174"/>
        <v>2021</v>
      </c>
      <c r="K332" s="24">
        <f t="shared" si="175"/>
        <v>2021.0833333333333</v>
      </c>
      <c r="L332" s="29">
        <v>60725.69</v>
      </c>
      <c r="M332" s="29">
        <f>L332-L332*G332</f>
        <v>60725.69</v>
      </c>
      <c r="N332" s="29">
        <f t="shared" si="176"/>
        <v>1686.8247222222224</v>
      </c>
      <c r="O332" s="29">
        <f t="shared" si="177"/>
        <v>20241.896666666667</v>
      </c>
      <c r="P332" s="29">
        <f>+IF(K332&lt;=$M$5,0,IF(J332&gt;$M$4,O332,N332*F332))</f>
        <v>20241.896666666667</v>
      </c>
      <c r="Q332" s="29">
        <f t="shared" si="178"/>
        <v>0</v>
      </c>
      <c r="R332" s="29">
        <f t="shared" si="179"/>
        <v>20241.896666666667</v>
      </c>
      <c r="S332" s="29">
        <f t="shared" si="180"/>
        <v>40483.793333333335</v>
      </c>
    </row>
    <row r="333" spans="1:19">
      <c r="A333" t="s">
        <v>283</v>
      </c>
      <c r="C333">
        <v>4049</v>
      </c>
      <c r="D333" t="s">
        <v>549</v>
      </c>
      <c r="E333">
        <v>2006</v>
      </c>
      <c r="F333">
        <v>4</v>
      </c>
      <c r="G333" s="26">
        <v>0</v>
      </c>
      <c r="H333" t="s">
        <v>78</v>
      </c>
      <c r="I333">
        <v>7</v>
      </c>
      <c r="J333">
        <f t="shared" si="174"/>
        <v>2013</v>
      </c>
      <c r="K333" s="24">
        <f t="shared" si="175"/>
        <v>2013.3333333333333</v>
      </c>
      <c r="L333" s="29">
        <v>0</v>
      </c>
      <c r="M333" s="29">
        <f>L333-L333*G333</f>
        <v>0</v>
      </c>
      <c r="N333" s="29">
        <f t="shared" si="176"/>
        <v>0</v>
      </c>
      <c r="O333" s="29">
        <f t="shared" si="177"/>
        <v>0</v>
      </c>
      <c r="P333" s="29">
        <f>+IF(K333&lt;=$M$5,0,IF(J333&gt;$M$4,O333,N333*F333))</f>
        <v>0</v>
      </c>
      <c r="Q333" s="29">
        <f t="shared" si="178"/>
        <v>0</v>
      </c>
      <c r="R333" s="29">
        <f t="shared" si="179"/>
        <v>0</v>
      </c>
      <c r="S333" s="29">
        <f t="shared" si="180"/>
        <v>0</v>
      </c>
    </row>
    <row r="334" spans="1:19">
      <c r="A334" s="116"/>
      <c r="B334" s="116"/>
      <c r="C334" s="117">
        <v>4049</v>
      </c>
      <c r="D334" s="116" t="s">
        <v>678</v>
      </c>
      <c r="E334" s="116">
        <v>2019</v>
      </c>
      <c r="F334" s="116">
        <v>8</v>
      </c>
      <c r="G334" s="118">
        <v>0</v>
      </c>
      <c r="H334" s="116" t="s">
        <v>78</v>
      </c>
      <c r="I334" s="116">
        <f>+IF(J333-$M$4&gt;=3,J333-$M$4,3)</f>
        <v>2013</v>
      </c>
      <c r="J334" s="116">
        <f t="shared" si="174"/>
        <v>4032</v>
      </c>
      <c r="K334" s="119">
        <f t="shared" si="175"/>
        <v>4032.6666666666665</v>
      </c>
      <c r="L334" s="120">
        <v>0</v>
      </c>
      <c r="M334" s="120">
        <f>L334-(L334*G334)</f>
        <v>0</v>
      </c>
      <c r="N334" s="120">
        <f t="shared" si="176"/>
        <v>0</v>
      </c>
      <c r="O334" s="120">
        <f t="shared" si="177"/>
        <v>0</v>
      </c>
      <c r="P334" s="120">
        <f>+IF(K334&lt;=$M$5,0,IF(J334=$M$4,N334*F334,O334))/3</f>
        <v>0</v>
      </c>
      <c r="Q334" s="120">
        <f t="shared" si="178"/>
        <v>0</v>
      </c>
      <c r="R334" s="120">
        <f t="shared" si="179"/>
        <v>0</v>
      </c>
      <c r="S334" s="120">
        <f t="shared" si="180"/>
        <v>0</v>
      </c>
    </row>
  </sheetData>
  <sortState xmlns:xlrd2="http://schemas.microsoft.com/office/spreadsheetml/2017/richdata2" ref="A107:S132">
    <sortCondition ref="F107:F132"/>
  </sortState>
  <phoneticPr fontId="17" type="noConversion"/>
  <pageMargins left="0" right="0" top="0" bottom="0" header="0.5" footer="0.5"/>
  <pageSetup scale="57" fitToHeight="0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59999389629810485"/>
  </sheetPr>
  <dimension ref="A1:S537"/>
  <sheetViews>
    <sheetView tabSelected="1" view="pageBreakPreview" topLeftCell="A320" zoomScale="60" zoomScaleNormal="100" workbookViewId="0">
      <selection activeCell="R41" sqref="R41"/>
    </sheetView>
  </sheetViews>
  <sheetFormatPr defaultColWidth="11.42578125" defaultRowHeight="12.75" outlineLevelRow="1"/>
  <cols>
    <col min="1" max="1" width="25.42578125" style="44" bestFit="1" customWidth="1"/>
    <col min="2" max="2" width="8.7109375" bestFit="1" customWidth="1"/>
    <col min="3" max="3" width="49.85546875" bestFit="1" customWidth="1"/>
    <col min="4" max="4" width="11" bestFit="1" customWidth="1"/>
    <col min="5" max="5" width="4.28515625" bestFit="1" customWidth="1"/>
    <col min="6" max="6" width="9.140625" bestFit="1" customWidth="1"/>
    <col min="7" max="7" width="8.7109375" bestFit="1" customWidth="1"/>
    <col min="8" max="8" width="6.42578125" style="5" bestFit="1" customWidth="1"/>
    <col min="9" max="9" width="6" bestFit="1" customWidth="1"/>
    <col min="10" max="10" width="9.28515625" bestFit="1" customWidth="1"/>
    <col min="11" max="12" width="14" bestFit="1" customWidth="1"/>
    <col min="13" max="13" width="12.28515625" customWidth="1"/>
    <col min="14" max="14" width="14" bestFit="1" customWidth="1"/>
    <col min="15" max="15" width="11.42578125" bestFit="1" customWidth="1"/>
    <col min="16" max="17" width="14" bestFit="1" customWidth="1"/>
    <col min="18" max="18" width="13.5703125" customWidth="1"/>
    <col min="22" max="22" width="11.5703125" bestFit="1" customWidth="1"/>
  </cols>
  <sheetData>
    <row r="1" spans="1:18">
      <c r="C1" s="2" t="s">
        <v>341</v>
      </c>
    </row>
    <row r="2" spans="1:18" ht="15">
      <c r="C2" s="2" t="s">
        <v>26</v>
      </c>
      <c r="M2" s="64"/>
      <c r="N2" s="139">
        <f>+'Trucks 2183'!N2</f>
        <v>5</v>
      </c>
      <c r="O2" s="140" t="s">
        <v>1987</v>
      </c>
    </row>
    <row r="3" spans="1:18" ht="15">
      <c r="C3" s="65">
        <f>'Summary 2183'!H8</f>
        <v>45412</v>
      </c>
      <c r="M3" s="64"/>
      <c r="N3" s="139">
        <f>+'Trucks 2183'!N3</f>
        <v>4</v>
      </c>
      <c r="O3" s="140" t="s">
        <v>1986</v>
      </c>
    </row>
    <row r="4" spans="1:18" ht="15">
      <c r="M4" s="64"/>
      <c r="N4" s="139">
        <f>+'Trucks 2183'!N4</f>
        <v>2023</v>
      </c>
      <c r="O4" s="140" t="s">
        <v>742</v>
      </c>
    </row>
    <row r="5" spans="1:18" ht="15">
      <c r="L5" s="4"/>
      <c r="M5" s="64"/>
      <c r="N5" s="139">
        <f>+'Trucks 2183'!N5</f>
        <v>2024</v>
      </c>
      <c r="O5" s="140" t="s">
        <v>34</v>
      </c>
    </row>
    <row r="6" spans="1:18" ht="15">
      <c r="K6" s="46"/>
      <c r="N6" s="143">
        <f>+'Trucks 2183'!N6</f>
        <v>2024.3333333333333</v>
      </c>
      <c r="O6" s="140" t="s">
        <v>1985</v>
      </c>
    </row>
    <row r="7" spans="1:18" ht="15">
      <c r="D7" s="14"/>
      <c r="E7" s="14"/>
      <c r="F7" s="14"/>
      <c r="G7" s="14"/>
      <c r="H7" s="14"/>
      <c r="I7" s="14"/>
      <c r="J7" s="14"/>
      <c r="K7" s="83"/>
      <c r="L7" s="14"/>
      <c r="M7" s="14"/>
      <c r="N7" s="143">
        <f>+'Trucks 2183'!N7</f>
        <v>2023.4166666666667</v>
      </c>
      <c r="O7" s="141" t="s">
        <v>1984</v>
      </c>
      <c r="P7" s="14"/>
      <c r="Q7" s="14"/>
      <c r="R7" s="14"/>
    </row>
    <row r="8" spans="1:18"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 t="s">
        <v>188</v>
      </c>
      <c r="Q8" s="14" t="s">
        <v>43</v>
      </c>
      <c r="R8" s="14"/>
    </row>
    <row r="9" spans="1:18">
      <c r="B9" t="s">
        <v>45</v>
      </c>
      <c r="D9" s="14" t="s">
        <v>46</v>
      </c>
      <c r="E9" s="14"/>
      <c r="F9" s="14" t="s">
        <v>47</v>
      </c>
      <c r="G9" s="14" t="s">
        <v>45</v>
      </c>
      <c r="H9" s="14"/>
      <c r="I9" s="14" t="s">
        <v>48</v>
      </c>
      <c r="J9" s="14"/>
      <c r="K9" s="14" t="s">
        <v>45</v>
      </c>
      <c r="L9" s="14" t="s">
        <v>45</v>
      </c>
      <c r="M9" s="14"/>
      <c r="N9" s="14"/>
      <c r="O9" s="14"/>
      <c r="P9" s="14" t="s">
        <v>54</v>
      </c>
      <c r="Q9" s="14" t="s">
        <v>54</v>
      </c>
      <c r="R9" s="14" t="s">
        <v>55</v>
      </c>
    </row>
    <row r="10" spans="1:18">
      <c r="B10" t="s">
        <v>189</v>
      </c>
      <c r="D10" s="14" t="s">
        <v>57</v>
      </c>
      <c r="E10" s="14"/>
      <c r="F10" s="14" t="s">
        <v>58</v>
      </c>
      <c r="G10" s="14" t="s">
        <v>100</v>
      </c>
      <c r="H10" s="14" t="s">
        <v>59</v>
      </c>
      <c r="I10" s="14" t="s">
        <v>60</v>
      </c>
      <c r="J10" s="14" t="s">
        <v>740</v>
      </c>
      <c r="K10" s="14" t="s">
        <v>49</v>
      </c>
      <c r="L10" s="14" t="s">
        <v>62</v>
      </c>
      <c r="M10" s="14" t="s">
        <v>63</v>
      </c>
      <c r="N10" s="14" t="s">
        <v>743</v>
      </c>
      <c r="O10" s="14" t="s">
        <v>65</v>
      </c>
      <c r="P10" s="14" t="s">
        <v>68</v>
      </c>
      <c r="Q10" s="14" t="s">
        <v>68</v>
      </c>
      <c r="R10" s="14" t="s">
        <v>6</v>
      </c>
    </row>
    <row r="11" spans="1:18">
      <c r="A11" s="44" t="s">
        <v>71</v>
      </c>
      <c r="B11" t="s">
        <v>72</v>
      </c>
      <c r="C11" t="s">
        <v>73</v>
      </c>
      <c r="D11" s="14" t="s">
        <v>48</v>
      </c>
      <c r="E11" s="14" t="s">
        <v>74</v>
      </c>
      <c r="F11" s="14" t="s">
        <v>51</v>
      </c>
      <c r="G11" s="14" t="s">
        <v>75</v>
      </c>
      <c r="H11" s="14" t="s">
        <v>76</v>
      </c>
      <c r="I11" s="14" t="s">
        <v>62</v>
      </c>
      <c r="J11" s="14" t="s">
        <v>741</v>
      </c>
      <c r="K11" s="14" t="s">
        <v>173</v>
      </c>
      <c r="L11" s="14" t="s">
        <v>173</v>
      </c>
      <c r="M11" s="14" t="s">
        <v>62</v>
      </c>
      <c r="N11" s="14" t="s">
        <v>62</v>
      </c>
      <c r="O11" s="14" t="s">
        <v>77</v>
      </c>
      <c r="P11" s="84">
        <f>+'Summary 2183'!F8</f>
        <v>45047</v>
      </c>
      <c r="Q11" s="84">
        <f>+C3</f>
        <v>45412</v>
      </c>
      <c r="R11" s="84">
        <f>Q11</f>
        <v>45412</v>
      </c>
    </row>
    <row r="12" spans="1:18">
      <c r="C12" s="82" t="s">
        <v>390</v>
      </c>
    </row>
    <row r="13" spans="1:18" outlineLevel="1">
      <c r="B13">
        <v>15</v>
      </c>
      <c r="C13" t="s">
        <v>193</v>
      </c>
      <c r="D13">
        <v>1993</v>
      </c>
      <c r="E13">
        <v>10</v>
      </c>
      <c r="F13">
        <v>0</v>
      </c>
      <c r="G13" t="s">
        <v>78</v>
      </c>
      <c r="H13" s="5" t="s">
        <v>9</v>
      </c>
      <c r="I13">
        <f t="shared" ref="I13:I44" si="0">D13+H13</f>
        <v>2003</v>
      </c>
      <c r="J13" s="4">
        <f t="shared" ref="J13:J44" si="1">+I13+(E13/12)</f>
        <v>2003.8333333333333</v>
      </c>
      <c r="K13" s="29">
        <v>4039</v>
      </c>
      <c r="L13" s="29">
        <f t="shared" ref="L13:L44" si="2">K13-K13*F13</f>
        <v>4039</v>
      </c>
      <c r="M13" s="29">
        <f>L13/H13/12</f>
        <v>33.658333333333331</v>
      </c>
      <c r="N13" s="29">
        <f>+M13*12</f>
        <v>403.9</v>
      </c>
      <c r="O13" s="29">
        <f>IF(J13&lt;=$N$6,0,N13)</f>
        <v>0</v>
      </c>
      <c r="P13" s="29">
        <f>+IF($J13&lt;=$N$7,$L13,IF(($D13+($E13/12))&gt;=$N$7,0,((($L13-((($J13-$N$7)*12)*$M13))))))</f>
        <v>4039</v>
      </c>
      <c r="Q13" s="29">
        <f>IF(O13=0,L13,O13+P13)</f>
        <v>4039</v>
      </c>
      <c r="R13" s="29">
        <f>+K13-Q13</f>
        <v>0</v>
      </c>
    </row>
    <row r="14" spans="1:18" outlineLevel="1">
      <c r="B14">
        <v>18</v>
      </c>
      <c r="C14" t="s">
        <v>243</v>
      </c>
      <c r="D14">
        <v>1993</v>
      </c>
      <c r="E14">
        <v>7</v>
      </c>
      <c r="F14">
        <v>0</v>
      </c>
      <c r="G14" t="s">
        <v>78</v>
      </c>
      <c r="H14" s="5" t="s">
        <v>9</v>
      </c>
      <c r="I14">
        <f t="shared" si="0"/>
        <v>2003</v>
      </c>
      <c r="J14" s="4">
        <f t="shared" si="1"/>
        <v>2003.5833333333333</v>
      </c>
      <c r="K14" s="29">
        <v>5477</v>
      </c>
      <c r="L14" s="29">
        <f t="shared" si="2"/>
        <v>5477</v>
      </c>
      <c r="M14" s="29">
        <f t="shared" ref="M14:M77" si="3">L14/H14/12</f>
        <v>45.641666666666673</v>
      </c>
      <c r="N14" s="29">
        <f t="shared" ref="N14:N77" si="4">+M14*12</f>
        <v>547.70000000000005</v>
      </c>
      <c r="O14" s="29">
        <f t="shared" ref="O14:O77" si="5">IF(J14&lt;=$N$6,0,N14)</f>
        <v>0</v>
      </c>
      <c r="P14" s="29">
        <f t="shared" ref="P14:P77" si="6">+IF($J14&lt;=$N$7,$L14,IF(($D14+($E14/12))&gt;=$N$7,0,((($L14-((($J14-$N$7)*12)*$M14))))))</f>
        <v>5477</v>
      </c>
      <c r="Q14" s="29">
        <f t="shared" ref="Q14:Q77" si="7">IF(O14=0,L14,O14+P14)</f>
        <v>5477</v>
      </c>
      <c r="R14" s="29">
        <f t="shared" ref="R14:R77" si="8">+K14-Q14</f>
        <v>0</v>
      </c>
    </row>
    <row r="15" spans="1:18" outlineLevel="1">
      <c r="B15">
        <v>2</v>
      </c>
      <c r="C15" t="s">
        <v>242</v>
      </c>
      <c r="D15">
        <v>1993</v>
      </c>
      <c r="E15">
        <v>8</v>
      </c>
      <c r="F15">
        <v>0</v>
      </c>
      <c r="G15" t="s">
        <v>78</v>
      </c>
      <c r="H15" s="5" t="s">
        <v>9</v>
      </c>
      <c r="I15">
        <f t="shared" si="0"/>
        <v>2003</v>
      </c>
      <c r="J15" s="4">
        <f t="shared" si="1"/>
        <v>2003.6666666666667</v>
      </c>
      <c r="K15" s="29">
        <v>609</v>
      </c>
      <c r="L15" s="29">
        <f t="shared" si="2"/>
        <v>609</v>
      </c>
      <c r="M15" s="29">
        <f t="shared" si="3"/>
        <v>5.0750000000000002</v>
      </c>
      <c r="N15" s="29">
        <f t="shared" si="4"/>
        <v>60.900000000000006</v>
      </c>
      <c r="O15" s="29">
        <f t="shared" si="5"/>
        <v>0</v>
      </c>
      <c r="P15" s="29">
        <f t="shared" si="6"/>
        <v>609</v>
      </c>
      <c r="Q15" s="29">
        <f t="shared" si="7"/>
        <v>609</v>
      </c>
      <c r="R15" s="29">
        <f t="shared" si="8"/>
        <v>0</v>
      </c>
    </row>
    <row r="16" spans="1:18" outlineLevel="1">
      <c r="B16">
        <v>4</v>
      </c>
      <c r="C16" t="s">
        <v>178</v>
      </c>
      <c r="D16">
        <v>1993</v>
      </c>
      <c r="E16">
        <v>5</v>
      </c>
      <c r="F16">
        <v>0</v>
      </c>
      <c r="G16" t="s">
        <v>78</v>
      </c>
      <c r="H16" s="5" t="s">
        <v>9</v>
      </c>
      <c r="I16">
        <f t="shared" si="0"/>
        <v>2003</v>
      </c>
      <c r="J16" s="4">
        <f t="shared" si="1"/>
        <v>2003.4166666666667</v>
      </c>
      <c r="K16" s="29">
        <v>2007</v>
      </c>
      <c r="L16" s="29">
        <f t="shared" si="2"/>
        <v>2007</v>
      </c>
      <c r="M16" s="29">
        <f t="shared" si="3"/>
        <v>16.724999999999998</v>
      </c>
      <c r="N16" s="29">
        <f t="shared" si="4"/>
        <v>200.7</v>
      </c>
      <c r="O16" s="29">
        <f t="shared" si="5"/>
        <v>0</v>
      </c>
      <c r="P16" s="29">
        <f t="shared" si="6"/>
        <v>2007</v>
      </c>
      <c r="Q16" s="29">
        <f t="shared" si="7"/>
        <v>2007</v>
      </c>
      <c r="R16" s="29">
        <f t="shared" si="8"/>
        <v>0</v>
      </c>
    </row>
    <row r="17" spans="2:18" outlineLevel="1">
      <c r="B17">
        <v>3</v>
      </c>
      <c r="C17" t="s">
        <v>178</v>
      </c>
      <c r="D17">
        <v>1993</v>
      </c>
      <c r="E17">
        <v>5</v>
      </c>
      <c r="F17">
        <v>0</v>
      </c>
      <c r="G17" t="s">
        <v>78</v>
      </c>
      <c r="H17" s="5" t="s">
        <v>9</v>
      </c>
      <c r="I17">
        <f t="shared" si="0"/>
        <v>2003</v>
      </c>
      <c r="J17" s="4">
        <f t="shared" si="1"/>
        <v>2003.4166666666667</v>
      </c>
      <c r="K17" s="29">
        <v>1505</v>
      </c>
      <c r="L17" s="29">
        <f t="shared" si="2"/>
        <v>1505</v>
      </c>
      <c r="M17" s="29">
        <f t="shared" si="3"/>
        <v>12.541666666666666</v>
      </c>
      <c r="N17" s="29">
        <f t="shared" si="4"/>
        <v>150.5</v>
      </c>
      <c r="O17" s="29">
        <f t="shared" si="5"/>
        <v>0</v>
      </c>
      <c r="P17" s="29">
        <f t="shared" si="6"/>
        <v>1505</v>
      </c>
      <c r="Q17" s="29">
        <f t="shared" si="7"/>
        <v>1505</v>
      </c>
      <c r="R17" s="29">
        <f t="shared" si="8"/>
        <v>0</v>
      </c>
    </row>
    <row r="18" spans="2:18" outlineLevel="1">
      <c r="B18">
        <v>3</v>
      </c>
      <c r="C18" t="s">
        <v>178</v>
      </c>
      <c r="D18">
        <v>1993</v>
      </c>
      <c r="E18">
        <v>5</v>
      </c>
      <c r="F18">
        <v>0</v>
      </c>
      <c r="G18" t="s">
        <v>78</v>
      </c>
      <c r="H18" s="5" t="s">
        <v>9</v>
      </c>
      <c r="I18">
        <f t="shared" si="0"/>
        <v>2003</v>
      </c>
      <c r="J18" s="4">
        <f t="shared" si="1"/>
        <v>2003.4166666666667</v>
      </c>
      <c r="K18" s="29">
        <v>1505</v>
      </c>
      <c r="L18" s="29">
        <f t="shared" si="2"/>
        <v>1505</v>
      </c>
      <c r="M18" s="29">
        <f t="shared" si="3"/>
        <v>12.541666666666666</v>
      </c>
      <c r="N18" s="29">
        <f t="shared" si="4"/>
        <v>150.5</v>
      </c>
      <c r="O18" s="29">
        <f t="shared" si="5"/>
        <v>0</v>
      </c>
      <c r="P18" s="29">
        <f t="shared" si="6"/>
        <v>1505</v>
      </c>
      <c r="Q18" s="29">
        <f t="shared" si="7"/>
        <v>1505</v>
      </c>
      <c r="R18" s="29">
        <f t="shared" si="8"/>
        <v>0</v>
      </c>
    </row>
    <row r="19" spans="2:18" outlineLevel="1">
      <c r="B19">
        <v>20</v>
      </c>
      <c r="C19" t="s">
        <v>194</v>
      </c>
      <c r="D19">
        <v>1994</v>
      </c>
      <c r="E19">
        <v>7</v>
      </c>
      <c r="F19">
        <v>0</v>
      </c>
      <c r="G19" t="s">
        <v>78</v>
      </c>
      <c r="H19" s="5" t="s">
        <v>9</v>
      </c>
      <c r="I19">
        <f t="shared" si="0"/>
        <v>2004</v>
      </c>
      <c r="J19" s="4">
        <f t="shared" si="1"/>
        <v>2004.5833333333333</v>
      </c>
      <c r="K19" s="29">
        <v>5578</v>
      </c>
      <c r="L19" s="29">
        <f t="shared" si="2"/>
        <v>5578</v>
      </c>
      <c r="M19" s="29">
        <f t="shared" si="3"/>
        <v>46.483333333333327</v>
      </c>
      <c r="N19" s="29">
        <f t="shared" si="4"/>
        <v>557.79999999999995</v>
      </c>
      <c r="O19" s="29">
        <f t="shared" si="5"/>
        <v>0</v>
      </c>
      <c r="P19" s="29">
        <f t="shared" si="6"/>
        <v>5578</v>
      </c>
      <c r="Q19" s="29">
        <f t="shared" si="7"/>
        <v>5578</v>
      </c>
      <c r="R19" s="29">
        <f t="shared" si="8"/>
        <v>0</v>
      </c>
    </row>
    <row r="20" spans="2:18" outlineLevel="1">
      <c r="B20">
        <v>22</v>
      </c>
      <c r="C20" t="s">
        <v>195</v>
      </c>
      <c r="D20">
        <v>1994</v>
      </c>
      <c r="E20">
        <v>8</v>
      </c>
      <c r="F20">
        <v>0</v>
      </c>
      <c r="G20" t="s">
        <v>78</v>
      </c>
      <c r="H20" s="5" t="s">
        <v>8</v>
      </c>
      <c r="I20">
        <f t="shared" si="0"/>
        <v>1999</v>
      </c>
      <c r="J20" s="4">
        <f t="shared" si="1"/>
        <v>1999.6666666666667</v>
      </c>
      <c r="K20" s="29">
        <v>7033</v>
      </c>
      <c r="L20" s="29">
        <f t="shared" si="2"/>
        <v>7033</v>
      </c>
      <c r="M20" s="29">
        <f t="shared" si="3"/>
        <v>117.21666666666665</v>
      </c>
      <c r="N20" s="29">
        <f t="shared" si="4"/>
        <v>1406.6</v>
      </c>
      <c r="O20" s="29">
        <f t="shared" si="5"/>
        <v>0</v>
      </c>
      <c r="P20" s="29">
        <f t="shared" si="6"/>
        <v>7033</v>
      </c>
      <c r="Q20" s="29">
        <f t="shared" si="7"/>
        <v>7033</v>
      </c>
      <c r="R20" s="29">
        <f t="shared" si="8"/>
        <v>0</v>
      </c>
    </row>
    <row r="21" spans="2:18" outlineLevel="1">
      <c r="B21">
        <v>5</v>
      </c>
      <c r="C21" t="s">
        <v>175</v>
      </c>
      <c r="D21">
        <v>1994</v>
      </c>
      <c r="E21">
        <v>9</v>
      </c>
      <c r="F21">
        <v>0</v>
      </c>
      <c r="G21" t="s">
        <v>78</v>
      </c>
      <c r="H21" s="5" t="s">
        <v>9</v>
      </c>
      <c r="I21">
        <f t="shared" si="0"/>
        <v>2004</v>
      </c>
      <c r="J21" s="4">
        <f t="shared" si="1"/>
        <v>2004.75</v>
      </c>
      <c r="K21" s="29">
        <v>1812</v>
      </c>
      <c r="L21" s="29">
        <f t="shared" si="2"/>
        <v>1812</v>
      </c>
      <c r="M21" s="29">
        <f t="shared" si="3"/>
        <v>15.1</v>
      </c>
      <c r="N21" s="29">
        <f t="shared" si="4"/>
        <v>181.2</v>
      </c>
      <c r="O21" s="29">
        <f t="shared" si="5"/>
        <v>0</v>
      </c>
      <c r="P21" s="29">
        <f t="shared" si="6"/>
        <v>1812</v>
      </c>
      <c r="Q21" s="29">
        <f t="shared" si="7"/>
        <v>1812</v>
      </c>
      <c r="R21" s="29">
        <f t="shared" si="8"/>
        <v>0</v>
      </c>
    </row>
    <row r="22" spans="2:18" outlineLevel="1">
      <c r="B22">
        <v>2</v>
      </c>
      <c r="C22" t="s">
        <v>299</v>
      </c>
      <c r="D22">
        <v>1994</v>
      </c>
      <c r="E22">
        <v>9</v>
      </c>
      <c r="F22">
        <v>0</v>
      </c>
      <c r="G22" t="s">
        <v>78</v>
      </c>
      <c r="H22" s="5" t="s">
        <v>9</v>
      </c>
      <c r="I22">
        <f t="shared" si="0"/>
        <v>2004</v>
      </c>
      <c r="J22" s="4">
        <f t="shared" si="1"/>
        <v>2004.75</v>
      </c>
      <c r="K22" s="29">
        <v>8396</v>
      </c>
      <c r="L22" s="29">
        <f t="shared" si="2"/>
        <v>8396</v>
      </c>
      <c r="M22" s="29">
        <f t="shared" si="3"/>
        <v>69.966666666666669</v>
      </c>
      <c r="N22" s="29">
        <f t="shared" si="4"/>
        <v>839.6</v>
      </c>
      <c r="O22" s="29">
        <f t="shared" si="5"/>
        <v>0</v>
      </c>
      <c r="P22" s="29">
        <f t="shared" si="6"/>
        <v>8396</v>
      </c>
      <c r="Q22" s="29">
        <f t="shared" si="7"/>
        <v>8396</v>
      </c>
      <c r="R22" s="29">
        <f t="shared" si="8"/>
        <v>0</v>
      </c>
    </row>
    <row r="23" spans="2:18" outlineLevel="1">
      <c r="B23">
        <v>6</v>
      </c>
      <c r="C23" t="s">
        <v>300</v>
      </c>
      <c r="D23">
        <v>1994</v>
      </c>
      <c r="E23">
        <v>9</v>
      </c>
      <c r="F23">
        <v>0</v>
      </c>
      <c r="G23" t="s">
        <v>78</v>
      </c>
      <c r="H23" s="5" t="s">
        <v>9</v>
      </c>
      <c r="I23">
        <f t="shared" si="0"/>
        <v>2004</v>
      </c>
      <c r="J23" s="4">
        <f t="shared" si="1"/>
        <v>2004.75</v>
      </c>
      <c r="K23" s="29">
        <v>2099</v>
      </c>
      <c r="L23" s="29">
        <f t="shared" si="2"/>
        <v>2099</v>
      </c>
      <c r="M23" s="29">
        <f t="shared" si="3"/>
        <v>17.491666666666667</v>
      </c>
      <c r="N23" s="29">
        <f t="shared" si="4"/>
        <v>209.9</v>
      </c>
      <c r="O23" s="29">
        <f t="shared" si="5"/>
        <v>0</v>
      </c>
      <c r="P23" s="29">
        <f t="shared" si="6"/>
        <v>2099</v>
      </c>
      <c r="Q23" s="29">
        <f t="shared" si="7"/>
        <v>2099</v>
      </c>
      <c r="R23" s="29">
        <f t="shared" si="8"/>
        <v>0</v>
      </c>
    </row>
    <row r="24" spans="2:18" outlineLevel="1">
      <c r="B24">
        <v>3</v>
      </c>
      <c r="C24" t="s">
        <v>137</v>
      </c>
      <c r="D24">
        <v>1994</v>
      </c>
      <c r="E24">
        <v>4</v>
      </c>
      <c r="F24">
        <v>0</v>
      </c>
      <c r="G24" t="s">
        <v>78</v>
      </c>
      <c r="H24" s="5" t="s">
        <v>9</v>
      </c>
      <c r="I24">
        <f t="shared" si="0"/>
        <v>2004</v>
      </c>
      <c r="J24" s="4">
        <f t="shared" si="1"/>
        <v>2004.3333333333333</v>
      </c>
      <c r="K24" s="29">
        <v>1602</v>
      </c>
      <c r="L24" s="29">
        <f t="shared" si="2"/>
        <v>1602</v>
      </c>
      <c r="M24" s="29">
        <f t="shared" si="3"/>
        <v>13.35</v>
      </c>
      <c r="N24" s="29">
        <f t="shared" si="4"/>
        <v>160.19999999999999</v>
      </c>
      <c r="O24" s="29">
        <f t="shared" si="5"/>
        <v>0</v>
      </c>
      <c r="P24" s="29">
        <f t="shared" si="6"/>
        <v>1602</v>
      </c>
      <c r="Q24" s="29">
        <f t="shared" si="7"/>
        <v>1602</v>
      </c>
      <c r="R24" s="29">
        <f t="shared" si="8"/>
        <v>0</v>
      </c>
    </row>
    <row r="25" spans="2:18" outlineLevel="1">
      <c r="B25">
        <v>7</v>
      </c>
      <c r="C25" t="s">
        <v>179</v>
      </c>
      <c r="D25">
        <v>1994</v>
      </c>
      <c r="E25">
        <v>4</v>
      </c>
      <c r="F25">
        <v>0</v>
      </c>
      <c r="G25" t="s">
        <v>78</v>
      </c>
      <c r="H25" s="5" t="s">
        <v>9</v>
      </c>
      <c r="I25">
        <f t="shared" si="0"/>
        <v>2004</v>
      </c>
      <c r="J25" s="4">
        <f t="shared" si="1"/>
        <v>2004.3333333333333</v>
      </c>
      <c r="K25" s="29">
        <v>3739</v>
      </c>
      <c r="L25" s="29">
        <f t="shared" si="2"/>
        <v>3739</v>
      </c>
      <c r="M25" s="29">
        <f t="shared" si="3"/>
        <v>31.158333333333331</v>
      </c>
      <c r="N25" s="29">
        <f t="shared" si="4"/>
        <v>373.9</v>
      </c>
      <c r="O25" s="29">
        <f t="shared" si="5"/>
        <v>0</v>
      </c>
      <c r="P25" s="29">
        <f t="shared" si="6"/>
        <v>3739</v>
      </c>
      <c r="Q25" s="29">
        <f t="shared" si="7"/>
        <v>3739</v>
      </c>
      <c r="R25" s="29">
        <f t="shared" si="8"/>
        <v>0</v>
      </c>
    </row>
    <row r="26" spans="2:18" outlineLevel="1">
      <c r="B26">
        <v>20</v>
      </c>
      <c r="C26" t="s">
        <v>263</v>
      </c>
      <c r="D26">
        <v>1995</v>
      </c>
      <c r="E26">
        <v>11</v>
      </c>
      <c r="F26">
        <v>0</v>
      </c>
      <c r="G26" t="s">
        <v>78</v>
      </c>
      <c r="H26" s="5" t="s">
        <v>9</v>
      </c>
      <c r="I26">
        <f t="shared" si="0"/>
        <v>2005</v>
      </c>
      <c r="J26" s="4">
        <f t="shared" si="1"/>
        <v>2005.9166666666667</v>
      </c>
      <c r="K26" s="29">
        <v>7466</v>
      </c>
      <c r="L26" s="29">
        <f t="shared" si="2"/>
        <v>7466</v>
      </c>
      <c r="M26" s="29">
        <f t="shared" si="3"/>
        <v>62.216666666666669</v>
      </c>
      <c r="N26" s="29">
        <f t="shared" si="4"/>
        <v>746.6</v>
      </c>
      <c r="O26" s="29">
        <f t="shared" si="5"/>
        <v>0</v>
      </c>
      <c r="P26" s="29">
        <f t="shared" si="6"/>
        <v>7466</v>
      </c>
      <c r="Q26" s="29">
        <f t="shared" si="7"/>
        <v>7466</v>
      </c>
      <c r="R26" s="29">
        <f t="shared" si="8"/>
        <v>0</v>
      </c>
    </row>
    <row r="27" spans="2:18" outlineLevel="1">
      <c r="B27">
        <v>15</v>
      </c>
      <c r="C27" t="s">
        <v>201</v>
      </c>
      <c r="D27">
        <v>1995</v>
      </c>
      <c r="E27">
        <v>7</v>
      </c>
      <c r="F27">
        <v>0</v>
      </c>
      <c r="G27" t="s">
        <v>78</v>
      </c>
      <c r="H27" s="5" t="s">
        <v>9</v>
      </c>
      <c r="I27">
        <f t="shared" si="0"/>
        <v>2005</v>
      </c>
      <c r="J27" s="4">
        <f t="shared" si="1"/>
        <v>2005.5833333333333</v>
      </c>
      <c r="K27" s="29">
        <v>4950</v>
      </c>
      <c r="L27" s="29">
        <f t="shared" si="2"/>
        <v>4950</v>
      </c>
      <c r="M27" s="29">
        <f t="shared" si="3"/>
        <v>41.25</v>
      </c>
      <c r="N27" s="29">
        <f t="shared" si="4"/>
        <v>495</v>
      </c>
      <c r="O27" s="29">
        <f t="shared" si="5"/>
        <v>0</v>
      </c>
      <c r="P27" s="29">
        <f t="shared" si="6"/>
        <v>4950</v>
      </c>
      <c r="Q27" s="29">
        <f t="shared" si="7"/>
        <v>4950</v>
      </c>
      <c r="R27" s="29">
        <f t="shared" si="8"/>
        <v>0</v>
      </c>
    </row>
    <row r="28" spans="2:18" outlineLevel="1">
      <c r="B28">
        <v>15</v>
      </c>
      <c r="C28" t="s">
        <v>23</v>
      </c>
      <c r="D28">
        <v>1995</v>
      </c>
      <c r="E28">
        <v>11</v>
      </c>
      <c r="F28">
        <v>0</v>
      </c>
      <c r="G28" t="s">
        <v>78</v>
      </c>
      <c r="H28" s="5" t="s">
        <v>9</v>
      </c>
      <c r="I28">
        <f t="shared" si="0"/>
        <v>2005</v>
      </c>
      <c r="J28" s="4">
        <f t="shared" si="1"/>
        <v>2005.9166666666667</v>
      </c>
      <c r="K28" s="29">
        <v>9251</v>
      </c>
      <c r="L28" s="29">
        <f t="shared" si="2"/>
        <v>9251</v>
      </c>
      <c r="M28" s="29">
        <f t="shared" si="3"/>
        <v>77.091666666666669</v>
      </c>
      <c r="N28" s="29">
        <f t="shared" si="4"/>
        <v>925.1</v>
      </c>
      <c r="O28" s="29">
        <f t="shared" si="5"/>
        <v>0</v>
      </c>
      <c r="P28" s="29">
        <f t="shared" si="6"/>
        <v>9251</v>
      </c>
      <c r="Q28" s="29">
        <f t="shared" si="7"/>
        <v>9251</v>
      </c>
      <c r="R28" s="29">
        <f t="shared" si="8"/>
        <v>0</v>
      </c>
    </row>
    <row r="29" spans="2:18" outlineLevel="1">
      <c r="B29">
        <v>50</v>
      </c>
      <c r="C29" t="s">
        <v>191</v>
      </c>
      <c r="D29">
        <v>1996</v>
      </c>
      <c r="E29">
        <v>9</v>
      </c>
      <c r="F29">
        <v>0</v>
      </c>
      <c r="G29" t="s">
        <v>78</v>
      </c>
      <c r="H29" s="5" t="s">
        <v>9</v>
      </c>
      <c r="I29">
        <f t="shared" si="0"/>
        <v>2006</v>
      </c>
      <c r="J29" s="4">
        <f t="shared" si="1"/>
        <v>2006.75</v>
      </c>
      <c r="K29" s="29">
        <v>17853</v>
      </c>
      <c r="L29" s="29">
        <f t="shared" si="2"/>
        <v>17853</v>
      </c>
      <c r="M29" s="29">
        <f t="shared" si="3"/>
        <v>148.77500000000001</v>
      </c>
      <c r="N29" s="29">
        <f t="shared" si="4"/>
        <v>1785.3000000000002</v>
      </c>
      <c r="O29" s="29">
        <f t="shared" si="5"/>
        <v>0</v>
      </c>
      <c r="P29" s="29">
        <f t="shared" si="6"/>
        <v>17853</v>
      </c>
      <c r="Q29" s="29">
        <f t="shared" si="7"/>
        <v>17853</v>
      </c>
      <c r="R29" s="29">
        <f t="shared" si="8"/>
        <v>0</v>
      </c>
    </row>
    <row r="30" spans="2:18" outlineLevel="1">
      <c r="B30">
        <v>50</v>
      </c>
      <c r="C30" t="s">
        <v>191</v>
      </c>
      <c r="D30">
        <v>1996</v>
      </c>
      <c r="E30">
        <v>12</v>
      </c>
      <c r="F30">
        <v>0</v>
      </c>
      <c r="G30" t="s">
        <v>78</v>
      </c>
      <c r="H30" s="5" t="s">
        <v>9</v>
      </c>
      <c r="I30">
        <f t="shared" si="0"/>
        <v>2006</v>
      </c>
      <c r="J30" s="4">
        <f t="shared" si="1"/>
        <v>2007</v>
      </c>
      <c r="K30" s="29">
        <v>17853</v>
      </c>
      <c r="L30" s="29">
        <f t="shared" si="2"/>
        <v>17853</v>
      </c>
      <c r="M30" s="29">
        <f t="shared" si="3"/>
        <v>148.77500000000001</v>
      </c>
      <c r="N30" s="29">
        <f t="shared" si="4"/>
        <v>1785.3000000000002</v>
      </c>
      <c r="O30" s="29">
        <f t="shared" si="5"/>
        <v>0</v>
      </c>
      <c r="P30" s="29">
        <f t="shared" si="6"/>
        <v>17853</v>
      </c>
      <c r="Q30" s="29">
        <f t="shared" si="7"/>
        <v>17853</v>
      </c>
      <c r="R30" s="29">
        <f t="shared" si="8"/>
        <v>0</v>
      </c>
    </row>
    <row r="31" spans="2:18" outlineLevel="1">
      <c r="B31">
        <v>25</v>
      </c>
      <c r="C31" t="s">
        <v>263</v>
      </c>
      <c r="D31">
        <v>1996</v>
      </c>
      <c r="E31">
        <v>7</v>
      </c>
      <c r="F31">
        <v>0</v>
      </c>
      <c r="G31" t="s">
        <v>78</v>
      </c>
      <c r="H31" s="5" t="s">
        <v>9</v>
      </c>
      <c r="I31">
        <f t="shared" si="0"/>
        <v>2006</v>
      </c>
      <c r="J31" s="4">
        <f t="shared" si="1"/>
        <v>2006.5833333333333</v>
      </c>
      <c r="K31" s="29">
        <v>9332</v>
      </c>
      <c r="L31" s="29">
        <f t="shared" si="2"/>
        <v>9332</v>
      </c>
      <c r="M31" s="29">
        <f t="shared" si="3"/>
        <v>77.766666666666666</v>
      </c>
      <c r="N31" s="29">
        <f t="shared" si="4"/>
        <v>933.2</v>
      </c>
      <c r="O31" s="29">
        <f t="shared" si="5"/>
        <v>0</v>
      </c>
      <c r="P31" s="29">
        <f t="shared" si="6"/>
        <v>9332</v>
      </c>
      <c r="Q31" s="29">
        <f t="shared" si="7"/>
        <v>9332</v>
      </c>
      <c r="R31" s="29">
        <f t="shared" si="8"/>
        <v>0</v>
      </c>
    </row>
    <row r="32" spans="2:18" outlineLevel="1">
      <c r="B32">
        <v>12</v>
      </c>
      <c r="C32" t="s">
        <v>221</v>
      </c>
      <c r="D32">
        <v>1996</v>
      </c>
      <c r="E32">
        <v>3</v>
      </c>
      <c r="F32">
        <v>0</v>
      </c>
      <c r="G32" t="s">
        <v>78</v>
      </c>
      <c r="H32" s="5" t="s">
        <v>9</v>
      </c>
      <c r="I32">
        <f t="shared" si="0"/>
        <v>2006</v>
      </c>
      <c r="J32" s="4">
        <f t="shared" si="1"/>
        <v>2006.25</v>
      </c>
      <c r="K32" s="29">
        <v>2072</v>
      </c>
      <c r="L32" s="29">
        <f t="shared" si="2"/>
        <v>2072</v>
      </c>
      <c r="M32" s="29">
        <f t="shared" si="3"/>
        <v>17.266666666666666</v>
      </c>
      <c r="N32" s="29">
        <f t="shared" si="4"/>
        <v>207.2</v>
      </c>
      <c r="O32" s="29">
        <f t="shared" si="5"/>
        <v>0</v>
      </c>
      <c r="P32" s="29">
        <f t="shared" si="6"/>
        <v>2072</v>
      </c>
      <c r="Q32" s="29">
        <f t="shared" si="7"/>
        <v>2072</v>
      </c>
      <c r="R32" s="29">
        <f t="shared" si="8"/>
        <v>0</v>
      </c>
    </row>
    <row r="33" spans="2:18" outlineLevel="1">
      <c r="B33">
        <v>10</v>
      </c>
      <c r="C33" t="s">
        <v>221</v>
      </c>
      <c r="D33">
        <v>1996</v>
      </c>
      <c r="E33">
        <v>8</v>
      </c>
      <c r="F33">
        <v>0</v>
      </c>
      <c r="G33" t="s">
        <v>78</v>
      </c>
      <c r="H33" s="5" t="s">
        <v>9</v>
      </c>
      <c r="I33">
        <f t="shared" si="0"/>
        <v>2006</v>
      </c>
      <c r="J33" s="4">
        <f t="shared" si="1"/>
        <v>2006.6666666666667</v>
      </c>
      <c r="K33" s="29">
        <v>4155</v>
      </c>
      <c r="L33" s="29">
        <f t="shared" si="2"/>
        <v>4155</v>
      </c>
      <c r="M33" s="29">
        <f t="shared" si="3"/>
        <v>34.625</v>
      </c>
      <c r="N33" s="29">
        <f t="shared" si="4"/>
        <v>415.5</v>
      </c>
      <c r="O33" s="29">
        <f t="shared" si="5"/>
        <v>0</v>
      </c>
      <c r="P33" s="29">
        <f t="shared" si="6"/>
        <v>4155</v>
      </c>
      <c r="Q33" s="29">
        <f t="shared" si="7"/>
        <v>4155</v>
      </c>
      <c r="R33" s="29">
        <f t="shared" si="8"/>
        <v>0</v>
      </c>
    </row>
    <row r="34" spans="2:18" outlineLevel="1">
      <c r="B34">
        <v>12</v>
      </c>
      <c r="C34" t="s">
        <v>222</v>
      </c>
      <c r="D34">
        <v>1996</v>
      </c>
      <c r="E34">
        <v>9</v>
      </c>
      <c r="F34">
        <v>0</v>
      </c>
      <c r="G34" t="s">
        <v>78</v>
      </c>
      <c r="H34" s="5" t="s">
        <v>9</v>
      </c>
      <c r="I34">
        <f t="shared" si="0"/>
        <v>2006</v>
      </c>
      <c r="J34" s="4">
        <f t="shared" si="1"/>
        <v>2006.75</v>
      </c>
      <c r="K34" s="29">
        <v>4986</v>
      </c>
      <c r="L34" s="29">
        <f t="shared" si="2"/>
        <v>4986</v>
      </c>
      <c r="M34" s="29">
        <f t="shared" si="3"/>
        <v>41.550000000000004</v>
      </c>
      <c r="N34" s="29">
        <f t="shared" si="4"/>
        <v>498.6</v>
      </c>
      <c r="O34" s="29">
        <f t="shared" si="5"/>
        <v>0</v>
      </c>
      <c r="P34" s="29">
        <f t="shared" si="6"/>
        <v>4986</v>
      </c>
      <c r="Q34" s="29">
        <f t="shared" si="7"/>
        <v>4986</v>
      </c>
      <c r="R34" s="29">
        <f t="shared" si="8"/>
        <v>0</v>
      </c>
    </row>
    <row r="35" spans="2:18" outlineLevel="1">
      <c r="B35">
        <v>4</v>
      </c>
      <c r="C35" t="s">
        <v>198</v>
      </c>
      <c r="D35">
        <v>1997</v>
      </c>
      <c r="E35">
        <v>12</v>
      </c>
      <c r="F35">
        <v>0</v>
      </c>
      <c r="G35" t="s">
        <v>78</v>
      </c>
      <c r="H35" s="5" t="s">
        <v>9</v>
      </c>
      <c r="I35">
        <f t="shared" si="0"/>
        <v>2007</v>
      </c>
      <c r="J35" s="4">
        <f t="shared" si="1"/>
        <v>2008</v>
      </c>
      <c r="K35" s="29">
        <v>1620</v>
      </c>
      <c r="L35" s="29">
        <f t="shared" si="2"/>
        <v>1620</v>
      </c>
      <c r="M35" s="29">
        <f t="shared" si="3"/>
        <v>13.5</v>
      </c>
      <c r="N35" s="29">
        <f t="shared" si="4"/>
        <v>162</v>
      </c>
      <c r="O35" s="29">
        <f t="shared" si="5"/>
        <v>0</v>
      </c>
      <c r="P35" s="29">
        <f t="shared" si="6"/>
        <v>1620</v>
      </c>
      <c r="Q35" s="29">
        <f t="shared" si="7"/>
        <v>1620</v>
      </c>
      <c r="R35" s="29">
        <f t="shared" si="8"/>
        <v>0</v>
      </c>
    </row>
    <row r="36" spans="2:18" outlineLevel="1">
      <c r="B36">
        <v>10</v>
      </c>
      <c r="C36" t="s">
        <v>200</v>
      </c>
      <c r="D36">
        <v>1997</v>
      </c>
      <c r="E36">
        <v>8</v>
      </c>
      <c r="F36">
        <v>0</v>
      </c>
      <c r="G36" t="s">
        <v>78</v>
      </c>
      <c r="H36" s="5" t="s">
        <v>9</v>
      </c>
      <c r="I36">
        <f t="shared" si="0"/>
        <v>2007</v>
      </c>
      <c r="J36" s="4">
        <f t="shared" si="1"/>
        <v>2007.6666666666667</v>
      </c>
      <c r="K36" s="29">
        <v>3475.2</v>
      </c>
      <c r="L36" s="29">
        <f t="shared" si="2"/>
        <v>3475.2</v>
      </c>
      <c r="M36" s="29">
        <f t="shared" si="3"/>
        <v>28.959999999999997</v>
      </c>
      <c r="N36" s="29">
        <f t="shared" si="4"/>
        <v>347.52</v>
      </c>
      <c r="O36" s="29">
        <f t="shared" si="5"/>
        <v>0</v>
      </c>
      <c r="P36" s="29">
        <f t="shared" si="6"/>
        <v>3475.2</v>
      </c>
      <c r="Q36" s="29">
        <f t="shared" si="7"/>
        <v>3475.2</v>
      </c>
      <c r="R36" s="29">
        <f t="shared" si="8"/>
        <v>0</v>
      </c>
    </row>
    <row r="37" spans="2:18" outlineLevel="1">
      <c r="B37">
        <v>10</v>
      </c>
      <c r="C37" t="s">
        <v>200</v>
      </c>
      <c r="D37">
        <v>1997</v>
      </c>
      <c r="E37">
        <v>11</v>
      </c>
      <c r="F37">
        <v>0</v>
      </c>
      <c r="G37" t="s">
        <v>78</v>
      </c>
      <c r="H37" s="5" t="s">
        <v>9</v>
      </c>
      <c r="I37">
        <f t="shared" si="0"/>
        <v>2007</v>
      </c>
      <c r="J37" s="4">
        <f t="shared" si="1"/>
        <v>2007.9166666666667</v>
      </c>
      <c r="K37" s="29">
        <v>3475.2</v>
      </c>
      <c r="L37" s="29">
        <f t="shared" si="2"/>
        <v>3475.2</v>
      </c>
      <c r="M37" s="29">
        <f t="shared" si="3"/>
        <v>28.959999999999997</v>
      </c>
      <c r="N37" s="29">
        <f t="shared" si="4"/>
        <v>347.52</v>
      </c>
      <c r="O37" s="29">
        <f t="shared" si="5"/>
        <v>0</v>
      </c>
      <c r="P37" s="29">
        <f t="shared" si="6"/>
        <v>3475.2</v>
      </c>
      <c r="Q37" s="29">
        <f t="shared" si="7"/>
        <v>3475.2</v>
      </c>
      <c r="R37" s="29">
        <f t="shared" si="8"/>
        <v>0</v>
      </c>
    </row>
    <row r="38" spans="2:18" outlineLevel="1">
      <c r="B38">
        <v>10</v>
      </c>
      <c r="C38" t="s">
        <v>200</v>
      </c>
      <c r="D38">
        <v>1998</v>
      </c>
      <c r="E38">
        <v>3</v>
      </c>
      <c r="F38">
        <v>0</v>
      </c>
      <c r="G38" t="s">
        <v>78</v>
      </c>
      <c r="H38" s="5" t="s">
        <v>9</v>
      </c>
      <c r="I38">
        <f t="shared" si="0"/>
        <v>2008</v>
      </c>
      <c r="J38" s="4">
        <f t="shared" si="1"/>
        <v>2008.25</v>
      </c>
      <c r="K38" s="29">
        <v>3475.2</v>
      </c>
      <c r="L38" s="29">
        <f t="shared" si="2"/>
        <v>3475.2</v>
      </c>
      <c r="M38" s="29">
        <f t="shared" si="3"/>
        <v>28.959999999999997</v>
      </c>
      <c r="N38" s="29">
        <f t="shared" si="4"/>
        <v>347.52</v>
      </c>
      <c r="O38" s="29">
        <f t="shared" si="5"/>
        <v>0</v>
      </c>
      <c r="P38" s="29">
        <f t="shared" si="6"/>
        <v>3475.2</v>
      </c>
      <c r="Q38" s="29">
        <f t="shared" si="7"/>
        <v>3475.2</v>
      </c>
      <c r="R38" s="29">
        <f t="shared" si="8"/>
        <v>0</v>
      </c>
    </row>
    <row r="39" spans="2:18" outlineLevel="1">
      <c r="B39">
        <v>20</v>
      </c>
      <c r="C39" t="s">
        <v>298</v>
      </c>
      <c r="D39">
        <v>1998</v>
      </c>
      <c r="E39">
        <v>9</v>
      </c>
      <c r="F39">
        <v>0</v>
      </c>
      <c r="G39" t="s">
        <v>78</v>
      </c>
      <c r="H39" s="5" t="s">
        <v>9</v>
      </c>
      <c r="I39">
        <f t="shared" si="0"/>
        <v>2008</v>
      </c>
      <c r="J39" s="4">
        <f t="shared" si="1"/>
        <v>2008.75</v>
      </c>
      <c r="K39" s="29">
        <v>6950.4</v>
      </c>
      <c r="L39" s="29">
        <f t="shared" si="2"/>
        <v>6950.4</v>
      </c>
      <c r="M39" s="29">
        <f t="shared" si="3"/>
        <v>57.919999999999995</v>
      </c>
      <c r="N39" s="29">
        <f t="shared" si="4"/>
        <v>695.04</v>
      </c>
      <c r="O39" s="29">
        <f t="shared" si="5"/>
        <v>0</v>
      </c>
      <c r="P39" s="29">
        <f t="shared" si="6"/>
        <v>6950.4</v>
      </c>
      <c r="Q39" s="29">
        <f t="shared" si="7"/>
        <v>6950.4</v>
      </c>
      <c r="R39" s="29">
        <f t="shared" si="8"/>
        <v>0</v>
      </c>
    </row>
    <row r="40" spans="2:18" outlineLevel="1">
      <c r="B40">
        <v>17</v>
      </c>
      <c r="C40" t="s">
        <v>178</v>
      </c>
      <c r="D40">
        <v>1998</v>
      </c>
      <c r="E40">
        <v>6</v>
      </c>
      <c r="F40">
        <v>0</v>
      </c>
      <c r="G40" t="s">
        <v>78</v>
      </c>
      <c r="H40" s="5" t="s">
        <v>9</v>
      </c>
      <c r="I40">
        <f t="shared" si="0"/>
        <v>2008</v>
      </c>
      <c r="J40" s="4">
        <f t="shared" si="1"/>
        <v>2008.5</v>
      </c>
      <c r="K40" s="29">
        <v>7387.2</v>
      </c>
      <c r="L40" s="29">
        <f t="shared" si="2"/>
        <v>7387.2</v>
      </c>
      <c r="M40" s="29">
        <f t="shared" si="3"/>
        <v>61.56</v>
      </c>
      <c r="N40" s="29">
        <f t="shared" si="4"/>
        <v>738.72</v>
      </c>
      <c r="O40" s="29">
        <f t="shared" si="5"/>
        <v>0</v>
      </c>
      <c r="P40" s="29">
        <f t="shared" si="6"/>
        <v>7387.2</v>
      </c>
      <c r="Q40" s="29">
        <f t="shared" si="7"/>
        <v>7387.2</v>
      </c>
      <c r="R40" s="29">
        <f t="shared" si="8"/>
        <v>0</v>
      </c>
    </row>
    <row r="41" spans="2:18" outlineLevel="1">
      <c r="B41">
        <v>24</v>
      </c>
      <c r="C41" t="s">
        <v>279</v>
      </c>
      <c r="D41">
        <v>1999</v>
      </c>
      <c r="E41">
        <v>12</v>
      </c>
      <c r="F41">
        <v>0</v>
      </c>
      <c r="G41" t="s">
        <v>78</v>
      </c>
      <c r="H41" s="5" t="s">
        <v>9</v>
      </c>
      <c r="I41">
        <f t="shared" si="0"/>
        <v>2009</v>
      </c>
      <c r="J41" s="4">
        <f t="shared" si="1"/>
        <v>2010</v>
      </c>
      <c r="K41" s="29">
        <v>6906.96</v>
      </c>
      <c r="L41" s="29">
        <f t="shared" si="2"/>
        <v>6906.96</v>
      </c>
      <c r="M41" s="29">
        <f t="shared" si="3"/>
        <v>57.558</v>
      </c>
      <c r="N41" s="29">
        <f t="shared" si="4"/>
        <v>690.69600000000003</v>
      </c>
      <c r="O41" s="29">
        <f t="shared" si="5"/>
        <v>0</v>
      </c>
      <c r="P41" s="29">
        <f t="shared" si="6"/>
        <v>6906.96</v>
      </c>
      <c r="Q41" s="29">
        <f t="shared" si="7"/>
        <v>6906.96</v>
      </c>
      <c r="R41" s="29">
        <f t="shared" si="8"/>
        <v>0</v>
      </c>
    </row>
    <row r="42" spans="2:18" outlineLevel="1">
      <c r="B42">
        <v>25</v>
      </c>
      <c r="C42" t="s">
        <v>297</v>
      </c>
      <c r="D42">
        <v>1999</v>
      </c>
      <c r="E42">
        <v>4</v>
      </c>
      <c r="F42">
        <v>0</v>
      </c>
      <c r="G42" t="s">
        <v>78</v>
      </c>
      <c r="H42" s="5" t="s">
        <v>9</v>
      </c>
      <c r="I42">
        <f t="shared" si="0"/>
        <v>2009</v>
      </c>
      <c r="J42" s="4">
        <f t="shared" si="1"/>
        <v>2009.3333333333333</v>
      </c>
      <c r="K42" s="29">
        <v>6689.76</v>
      </c>
      <c r="L42" s="29">
        <f t="shared" si="2"/>
        <v>6689.76</v>
      </c>
      <c r="M42" s="29">
        <f t="shared" si="3"/>
        <v>55.747999999999998</v>
      </c>
      <c r="N42" s="29">
        <f t="shared" si="4"/>
        <v>668.976</v>
      </c>
      <c r="O42" s="29">
        <f t="shared" si="5"/>
        <v>0</v>
      </c>
      <c r="P42" s="29">
        <f t="shared" si="6"/>
        <v>6689.76</v>
      </c>
      <c r="Q42" s="29">
        <f t="shared" si="7"/>
        <v>6689.76</v>
      </c>
      <c r="R42" s="29">
        <f t="shared" si="8"/>
        <v>0</v>
      </c>
    </row>
    <row r="43" spans="2:18" outlineLevel="1">
      <c r="B43">
        <v>20</v>
      </c>
      <c r="C43" t="s">
        <v>297</v>
      </c>
      <c r="D43">
        <v>1999</v>
      </c>
      <c r="E43">
        <v>7</v>
      </c>
      <c r="F43">
        <v>0</v>
      </c>
      <c r="G43" t="s">
        <v>78</v>
      </c>
      <c r="H43" s="5" t="s">
        <v>9</v>
      </c>
      <c r="I43">
        <f t="shared" si="0"/>
        <v>2009</v>
      </c>
      <c r="J43" s="4">
        <f t="shared" si="1"/>
        <v>2009.5833333333333</v>
      </c>
      <c r="K43" s="29">
        <v>4013.86</v>
      </c>
      <c r="L43" s="29">
        <f t="shared" si="2"/>
        <v>4013.86</v>
      </c>
      <c r="M43" s="29">
        <f t="shared" si="3"/>
        <v>33.448833333333333</v>
      </c>
      <c r="N43" s="29">
        <f t="shared" si="4"/>
        <v>401.38599999999997</v>
      </c>
      <c r="O43" s="29">
        <f t="shared" si="5"/>
        <v>0</v>
      </c>
      <c r="P43" s="29">
        <f t="shared" si="6"/>
        <v>4013.86</v>
      </c>
      <c r="Q43" s="29">
        <f t="shared" si="7"/>
        <v>4013.86</v>
      </c>
      <c r="R43" s="29">
        <f t="shared" si="8"/>
        <v>0</v>
      </c>
    </row>
    <row r="44" spans="2:18" outlineLevel="1">
      <c r="B44">
        <v>23</v>
      </c>
      <c r="C44" t="s">
        <v>190</v>
      </c>
      <c r="D44">
        <v>1999</v>
      </c>
      <c r="E44">
        <v>12</v>
      </c>
      <c r="F44">
        <v>0</v>
      </c>
      <c r="G44" t="s">
        <v>78</v>
      </c>
      <c r="H44" s="5" t="s">
        <v>9</v>
      </c>
      <c r="I44">
        <f t="shared" si="0"/>
        <v>2009</v>
      </c>
      <c r="J44" s="4">
        <f t="shared" si="1"/>
        <v>2010</v>
      </c>
      <c r="K44" s="29">
        <v>6429.12</v>
      </c>
      <c r="L44" s="29">
        <f t="shared" si="2"/>
        <v>6429.12</v>
      </c>
      <c r="M44" s="29">
        <f t="shared" si="3"/>
        <v>53.576000000000001</v>
      </c>
      <c r="N44" s="29">
        <f t="shared" si="4"/>
        <v>642.91200000000003</v>
      </c>
      <c r="O44" s="29">
        <f t="shared" si="5"/>
        <v>0</v>
      </c>
      <c r="P44" s="29">
        <f t="shared" si="6"/>
        <v>6429.12</v>
      </c>
      <c r="Q44" s="29">
        <f t="shared" si="7"/>
        <v>6429.12</v>
      </c>
      <c r="R44" s="29">
        <f t="shared" si="8"/>
        <v>0</v>
      </c>
    </row>
    <row r="45" spans="2:18" outlineLevel="1">
      <c r="B45">
        <v>22</v>
      </c>
      <c r="C45" t="s">
        <v>95</v>
      </c>
      <c r="D45">
        <v>1999</v>
      </c>
      <c r="E45">
        <v>7</v>
      </c>
      <c r="F45">
        <v>0</v>
      </c>
      <c r="G45" t="s">
        <v>78</v>
      </c>
      <c r="H45" s="5" t="s">
        <v>9</v>
      </c>
      <c r="I45">
        <f t="shared" ref="I45:I76" si="9">D45+H45</f>
        <v>2009</v>
      </c>
      <c r="J45" s="4">
        <f t="shared" ref="J45:J76" si="10">+I45+(E45/12)</f>
        <v>2009.5833333333333</v>
      </c>
      <c r="K45" s="29">
        <v>6298.8</v>
      </c>
      <c r="L45" s="29">
        <f t="shared" ref="L45:L76" si="11">K45-K45*F45</f>
        <v>6298.8</v>
      </c>
      <c r="M45" s="29">
        <f t="shared" si="3"/>
        <v>52.49</v>
      </c>
      <c r="N45" s="29">
        <f t="shared" si="4"/>
        <v>629.88</v>
      </c>
      <c r="O45" s="29">
        <f t="shared" si="5"/>
        <v>0</v>
      </c>
      <c r="P45" s="29">
        <f t="shared" si="6"/>
        <v>6298.8</v>
      </c>
      <c r="Q45" s="29">
        <f t="shared" si="7"/>
        <v>6298.8</v>
      </c>
      <c r="R45" s="29">
        <f t="shared" si="8"/>
        <v>0</v>
      </c>
    </row>
    <row r="46" spans="2:18" outlineLevel="1">
      <c r="B46">
        <v>25</v>
      </c>
      <c r="C46" t="s">
        <v>97</v>
      </c>
      <c r="D46">
        <v>1999</v>
      </c>
      <c r="E46">
        <v>10</v>
      </c>
      <c r="F46">
        <v>0</v>
      </c>
      <c r="G46" t="s">
        <v>78</v>
      </c>
      <c r="H46" s="5" t="s">
        <v>9</v>
      </c>
      <c r="I46">
        <f t="shared" si="9"/>
        <v>2009</v>
      </c>
      <c r="J46" s="4">
        <f t="shared" si="10"/>
        <v>2009.8333333333333</v>
      </c>
      <c r="K46" s="29">
        <v>8427.36</v>
      </c>
      <c r="L46" s="29">
        <f t="shared" si="11"/>
        <v>8427.36</v>
      </c>
      <c r="M46" s="29">
        <f t="shared" si="3"/>
        <v>70.228000000000009</v>
      </c>
      <c r="N46" s="29">
        <f t="shared" si="4"/>
        <v>842.7360000000001</v>
      </c>
      <c r="O46" s="29">
        <f t="shared" si="5"/>
        <v>0</v>
      </c>
      <c r="P46" s="29">
        <f t="shared" si="6"/>
        <v>8427.36</v>
      </c>
      <c r="Q46" s="29">
        <f t="shared" si="7"/>
        <v>8427.36</v>
      </c>
      <c r="R46" s="29">
        <f t="shared" si="8"/>
        <v>0</v>
      </c>
    </row>
    <row r="47" spans="2:18" outlineLevel="1">
      <c r="B47">
        <v>20</v>
      </c>
      <c r="C47" t="s">
        <v>199</v>
      </c>
      <c r="D47">
        <v>1999</v>
      </c>
      <c r="E47">
        <v>4</v>
      </c>
      <c r="F47">
        <v>0</v>
      </c>
      <c r="G47" t="s">
        <v>78</v>
      </c>
      <c r="H47" s="5" t="s">
        <v>9</v>
      </c>
      <c r="I47">
        <f t="shared" si="9"/>
        <v>2009</v>
      </c>
      <c r="J47" s="4">
        <f t="shared" si="10"/>
        <v>2009.3333333333333</v>
      </c>
      <c r="K47" s="29">
        <v>6739.2</v>
      </c>
      <c r="L47" s="29">
        <f t="shared" si="11"/>
        <v>6739.2</v>
      </c>
      <c r="M47" s="29">
        <f t="shared" si="3"/>
        <v>56.16</v>
      </c>
      <c r="N47" s="29">
        <f t="shared" si="4"/>
        <v>673.92</v>
      </c>
      <c r="O47" s="29">
        <f t="shared" si="5"/>
        <v>0</v>
      </c>
      <c r="P47" s="29">
        <f t="shared" si="6"/>
        <v>6739.2</v>
      </c>
      <c r="Q47" s="29">
        <f t="shared" si="7"/>
        <v>6739.2</v>
      </c>
      <c r="R47" s="29">
        <f t="shared" si="8"/>
        <v>0</v>
      </c>
    </row>
    <row r="48" spans="2:18" outlineLevel="1">
      <c r="B48">
        <v>22</v>
      </c>
      <c r="C48" t="s">
        <v>230</v>
      </c>
      <c r="D48">
        <v>1999</v>
      </c>
      <c r="E48">
        <v>12</v>
      </c>
      <c r="F48">
        <v>0</v>
      </c>
      <c r="G48" t="s">
        <v>78</v>
      </c>
      <c r="H48" s="5" t="s">
        <v>9</v>
      </c>
      <c r="I48">
        <f t="shared" si="9"/>
        <v>2009</v>
      </c>
      <c r="J48" s="4">
        <f t="shared" si="10"/>
        <v>2010</v>
      </c>
      <c r="K48" s="29">
        <v>7645.44</v>
      </c>
      <c r="L48" s="29">
        <f t="shared" si="11"/>
        <v>7645.44</v>
      </c>
      <c r="M48" s="29">
        <f t="shared" si="3"/>
        <v>63.711999999999996</v>
      </c>
      <c r="N48" s="29">
        <f t="shared" si="4"/>
        <v>764.54399999999998</v>
      </c>
      <c r="O48" s="29">
        <f t="shared" si="5"/>
        <v>0</v>
      </c>
      <c r="P48" s="29">
        <f t="shared" si="6"/>
        <v>7645.44</v>
      </c>
      <c r="Q48" s="29">
        <f t="shared" si="7"/>
        <v>7645.44</v>
      </c>
      <c r="R48" s="29">
        <f t="shared" si="8"/>
        <v>0</v>
      </c>
    </row>
    <row r="49" spans="2:18" outlineLevel="1">
      <c r="B49">
        <v>20</v>
      </c>
      <c r="C49" t="s">
        <v>94</v>
      </c>
      <c r="D49">
        <v>1999</v>
      </c>
      <c r="E49">
        <v>5</v>
      </c>
      <c r="F49">
        <v>0</v>
      </c>
      <c r="G49" t="s">
        <v>78</v>
      </c>
      <c r="H49" s="5" t="s">
        <v>9</v>
      </c>
      <c r="I49">
        <f t="shared" si="9"/>
        <v>2009</v>
      </c>
      <c r="J49" s="4">
        <f t="shared" si="10"/>
        <v>2009.4166666666667</v>
      </c>
      <c r="K49" s="29">
        <v>6950.4</v>
      </c>
      <c r="L49" s="29">
        <f t="shared" si="11"/>
        <v>6950.4</v>
      </c>
      <c r="M49" s="29">
        <f t="shared" si="3"/>
        <v>57.919999999999995</v>
      </c>
      <c r="N49" s="29">
        <f t="shared" si="4"/>
        <v>695.04</v>
      </c>
      <c r="O49" s="29">
        <f t="shared" si="5"/>
        <v>0</v>
      </c>
      <c r="P49" s="29">
        <f t="shared" si="6"/>
        <v>6950.4</v>
      </c>
      <c r="Q49" s="29">
        <f t="shared" si="7"/>
        <v>6950.4</v>
      </c>
      <c r="R49" s="29">
        <f t="shared" si="8"/>
        <v>0</v>
      </c>
    </row>
    <row r="50" spans="2:18" outlineLevel="1">
      <c r="B50">
        <v>24</v>
      </c>
      <c r="C50" t="s">
        <v>96</v>
      </c>
      <c r="D50">
        <v>1999</v>
      </c>
      <c r="E50">
        <v>7</v>
      </c>
      <c r="F50">
        <v>0</v>
      </c>
      <c r="G50" t="s">
        <v>78</v>
      </c>
      <c r="H50" s="5" t="s">
        <v>9</v>
      </c>
      <c r="I50">
        <f t="shared" si="9"/>
        <v>2009</v>
      </c>
      <c r="J50" s="4">
        <f t="shared" si="10"/>
        <v>2009.5833333333333</v>
      </c>
      <c r="K50" s="29">
        <v>9035.52</v>
      </c>
      <c r="L50" s="29">
        <f t="shared" si="11"/>
        <v>9035.52</v>
      </c>
      <c r="M50" s="29">
        <f t="shared" si="3"/>
        <v>75.296000000000006</v>
      </c>
      <c r="N50" s="29">
        <f t="shared" si="4"/>
        <v>903.55200000000013</v>
      </c>
      <c r="O50" s="29">
        <f t="shared" si="5"/>
        <v>0</v>
      </c>
      <c r="P50" s="29">
        <f t="shared" si="6"/>
        <v>9035.52</v>
      </c>
      <c r="Q50" s="29">
        <f t="shared" si="7"/>
        <v>9035.52</v>
      </c>
      <c r="R50" s="29">
        <f t="shared" si="8"/>
        <v>0</v>
      </c>
    </row>
    <row r="51" spans="2:18" outlineLevel="1">
      <c r="B51">
        <v>30</v>
      </c>
      <c r="C51" t="s">
        <v>279</v>
      </c>
      <c r="D51">
        <v>2000</v>
      </c>
      <c r="E51">
        <v>5</v>
      </c>
      <c r="F51">
        <v>0</v>
      </c>
      <c r="G51" t="s">
        <v>78</v>
      </c>
      <c r="H51" s="5" t="s">
        <v>9</v>
      </c>
      <c r="I51">
        <f t="shared" si="9"/>
        <v>2010</v>
      </c>
      <c r="J51" s="4">
        <f t="shared" si="10"/>
        <v>2010.4166666666667</v>
      </c>
      <c r="K51" s="29">
        <v>8688</v>
      </c>
      <c r="L51" s="29">
        <f t="shared" si="11"/>
        <v>8688</v>
      </c>
      <c r="M51" s="29">
        <f t="shared" si="3"/>
        <v>72.399999999999991</v>
      </c>
      <c r="N51" s="29">
        <f t="shared" si="4"/>
        <v>868.8</v>
      </c>
      <c r="O51" s="29">
        <f t="shared" si="5"/>
        <v>0</v>
      </c>
      <c r="P51" s="29">
        <f t="shared" si="6"/>
        <v>8688</v>
      </c>
      <c r="Q51" s="29">
        <f t="shared" si="7"/>
        <v>8688</v>
      </c>
      <c r="R51" s="29">
        <f t="shared" si="8"/>
        <v>0</v>
      </c>
    </row>
    <row r="52" spans="2:18" outlineLevel="1">
      <c r="B52">
        <v>23</v>
      </c>
      <c r="C52" t="s">
        <v>98</v>
      </c>
      <c r="D52">
        <v>2000</v>
      </c>
      <c r="E52">
        <v>4</v>
      </c>
      <c r="F52">
        <v>0</v>
      </c>
      <c r="G52" t="s">
        <v>78</v>
      </c>
      <c r="H52" s="5" t="s">
        <v>9</v>
      </c>
      <c r="I52">
        <f t="shared" si="9"/>
        <v>2010</v>
      </c>
      <c r="J52" s="4">
        <f t="shared" si="10"/>
        <v>2010.3333333333333</v>
      </c>
      <c r="K52" s="29">
        <v>6429.12</v>
      </c>
      <c r="L52" s="29">
        <f t="shared" si="11"/>
        <v>6429.12</v>
      </c>
      <c r="M52" s="29">
        <f t="shared" si="3"/>
        <v>53.576000000000001</v>
      </c>
      <c r="N52" s="29">
        <f t="shared" si="4"/>
        <v>642.91200000000003</v>
      </c>
      <c r="O52" s="29">
        <f t="shared" si="5"/>
        <v>0</v>
      </c>
      <c r="P52" s="29">
        <f t="shared" si="6"/>
        <v>6429.12</v>
      </c>
      <c r="Q52" s="29">
        <f t="shared" si="7"/>
        <v>6429.12</v>
      </c>
      <c r="R52" s="29">
        <f t="shared" si="8"/>
        <v>0</v>
      </c>
    </row>
    <row r="53" spans="2:18" outlineLevel="1">
      <c r="B53">
        <v>23</v>
      </c>
      <c r="C53" t="s">
        <v>134</v>
      </c>
      <c r="D53">
        <v>2000</v>
      </c>
      <c r="E53">
        <v>5</v>
      </c>
      <c r="F53">
        <v>0</v>
      </c>
      <c r="G53" t="s">
        <v>78</v>
      </c>
      <c r="H53" s="5" t="s">
        <v>9</v>
      </c>
      <c r="I53">
        <f t="shared" si="9"/>
        <v>2010</v>
      </c>
      <c r="J53" s="4">
        <f t="shared" si="10"/>
        <v>2010.4166666666667</v>
      </c>
      <c r="K53" s="29">
        <v>7384.8</v>
      </c>
      <c r="L53" s="29">
        <f t="shared" si="11"/>
        <v>7384.8</v>
      </c>
      <c r="M53" s="29">
        <f t="shared" si="3"/>
        <v>61.54</v>
      </c>
      <c r="N53" s="29">
        <f t="shared" si="4"/>
        <v>738.48</v>
      </c>
      <c r="O53" s="29">
        <f t="shared" si="5"/>
        <v>0</v>
      </c>
      <c r="P53" s="29">
        <f t="shared" si="6"/>
        <v>7384.8</v>
      </c>
      <c r="Q53" s="29">
        <f t="shared" si="7"/>
        <v>7384.8</v>
      </c>
      <c r="R53" s="29">
        <f t="shared" si="8"/>
        <v>0</v>
      </c>
    </row>
    <row r="54" spans="2:18" outlineLevel="1">
      <c r="B54">
        <v>21</v>
      </c>
      <c r="C54" t="s">
        <v>133</v>
      </c>
      <c r="D54">
        <v>2000</v>
      </c>
      <c r="E54">
        <v>9</v>
      </c>
      <c r="F54">
        <v>0</v>
      </c>
      <c r="G54" t="s">
        <v>78</v>
      </c>
      <c r="H54" s="5" t="s">
        <v>9</v>
      </c>
      <c r="I54">
        <f t="shared" si="9"/>
        <v>2010</v>
      </c>
      <c r="J54" s="4">
        <f t="shared" si="10"/>
        <v>2010.75</v>
      </c>
      <c r="K54" s="29">
        <v>6550.18</v>
      </c>
      <c r="L54" s="29">
        <f t="shared" si="11"/>
        <v>6550.18</v>
      </c>
      <c r="M54" s="29">
        <f t="shared" si="3"/>
        <v>54.584833333333336</v>
      </c>
      <c r="N54" s="29">
        <f t="shared" si="4"/>
        <v>655.01800000000003</v>
      </c>
      <c r="O54" s="29">
        <f t="shared" si="5"/>
        <v>0</v>
      </c>
      <c r="P54" s="29">
        <f t="shared" si="6"/>
        <v>6550.18</v>
      </c>
      <c r="Q54" s="29">
        <f t="shared" si="7"/>
        <v>6550.18</v>
      </c>
      <c r="R54" s="29">
        <f t="shared" si="8"/>
        <v>0</v>
      </c>
    </row>
    <row r="55" spans="2:18" outlineLevel="1">
      <c r="B55">
        <v>24</v>
      </c>
      <c r="C55" t="s">
        <v>263</v>
      </c>
      <c r="D55">
        <v>2000</v>
      </c>
      <c r="E55">
        <v>2</v>
      </c>
      <c r="F55">
        <v>0</v>
      </c>
      <c r="G55" t="s">
        <v>78</v>
      </c>
      <c r="H55" s="5" t="s">
        <v>9</v>
      </c>
      <c r="I55">
        <f t="shared" si="9"/>
        <v>2010</v>
      </c>
      <c r="J55" s="4">
        <f t="shared" si="10"/>
        <v>2010.1666666666667</v>
      </c>
      <c r="K55" s="29">
        <v>8145</v>
      </c>
      <c r="L55" s="29">
        <f t="shared" si="11"/>
        <v>8145</v>
      </c>
      <c r="M55" s="29">
        <f t="shared" si="3"/>
        <v>67.875</v>
      </c>
      <c r="N55" s="29">
        <f t="shared" si="4"/>
        <v>814.5</v>
      </c>
      <c r="O55" s="29">
        <f t="shared" si="5"/>
        <v>0</v>
      </c>
      <c r="P55" s="29">
        <f t="shared" si="6"/>
        <v>8145</v>
      </c>
      <c r="Q55" s="29">
        <f t="shared" si="7"/>
        <v>8145</v>
      </c>
      <c r="R55" s="29">
        <f t="shared" si="8"/>
        <v>0</v>
      </c>
    </row>
    <row r="56" spans="2:18" outlineLevel="1">
      <c r="B56">
        <v>25</v>
      </c>
      <c r="C56" t="s">
        <v>263</v>
      </c>
      <c r="D56">
        <v>2000</v>
      </c>
      <c r="E56">
        <v>6</v>
      </c>
      <c r="F56">
        <v>0</v>
      </c>
      <c r="G56" t="s">
        <v>78</v>
      </c>
      <c r="H56" s="5" t="s">
        <v>9</v>
      </c>
      <c r="I56">
        <f t="shared" si="9"/>
        <v>2010</v>
      </c>
      <c r="J56" s="4">
        <f t="shared" si="10"/>
        <v>2010.5</v>
      </c>
      <c r="K56" s="29">
        <v>8427.36</v>
      </c>
      <c r="L56" s="29">
        <f t="shared" si="11"/>
        <v>8427.36</v>
      </c>
      <c r="M56" s="29">
        <f t="shared" si="3"/>
        <v>70.228000000000009</v>
      </c>
      <c r="N56" s="29">
        <f t="shared" si="4"/>
        <v>842.7360000000001</v>
      </c>
      <c r="O56" s="29">
        <f t="shared" si="5"/>
        <v>0</v>
      </c>
      <c r="P56" s="29">
        <f t="shared" si="6"/>
        <v>8427.36</v>
      </c>
      <c r="Q56" s="29">
        <f t="shared" si="7"/>
        <v>8427.36</v>
      </c>
      <c r="R56" s="29">
        <f t="shared" si="8"/>
        <v>0</v>
      </c>
    </row>
    <row r="57" spans="2:18" outlineLevel="1">
      <c r="B57">
        <v>24</v>
      </c>
      <c r="C57" t="s">
        <v>230</v>
      </c>
      <c r="D57">
        <v>2000</v>
      </c>
      <c r="E57">
        <v>5</v>
      </c>
      <c r="F57">
        <v>0</v>
      </c>
      <c r="G57" t="s">
        <v>78</v>
      </c>
      <c r="H57" s="5" t="s">
        <v>9</v>
      </c>
      <c r="I57">
        <f t="shared" si="9"/>
        <v>2010</v>
      </c>
      <c r="J57" s="4">
        <f t="shared" si="10"/>
        <v>2010.4166666666667</v>
      </c>
      <c r="K57" s="29">
        <v>8145</v>
      </c>
      <c r="L57" s="29">
        <f t="shared" si="11"/>
        <v>8145</v>
      </c>
      <c r="M57" s="29">
        <f t="shared" si="3"/>
        <v>67.875</v>
      </c>
      <c r="N57" s="29">
        <f t="shared" si="4"/>
        <v>814.5</v>
      </c>
      <c r="O57" s="29">
        <f t="shared" si="5"/>
        <v>0</v>
      </c>
      <c r="P57" s="29">
        <f t="shared" si="6"/>
        <v>8145</v>
      </c>
      <c r="Q57" s="29">
        <f t="shared" si="7"/>
        <v>8145</v>
      </c>
      <c r="R57" s="29">
        <f t="shared" si="8"/>
        <v>0</v>
      </c>
    </row>
    <row r="58" spans="2:18" outlineLevel="1">
      <c r="B58">
        <v>11</v>
      </c>
      <c r="C58" t="s">
        <v>230</v>
      </c>
      <c r="D58">
        <v>2000</v>
      </c>
      <c r="E58">
        <v>9</v>
      </c>
      <c r="F58">
        <v>0</v>
      </c>
      <c r="G58" t="s">
        <v>78</v>
      </c>
      <c r="H58" s="5" t="s">
        <v>9</v>
      </c>
      <c r="I58">
        <f t="shared" si="9"/>
        <v>2010</v>
      </c>
      <c r="J58" s="4">
        <f t="shared" si="10"/>
        <v>2010.75</v>
      </c>
      <c r="K58" s="29">
        <v>3822.72</v>
      </c>
      <c r="L58" s="29">
        <f t="shared" si="11"/>
        <v>3822.72</v>
      </c>
      <c r="M58" s="29">
        <f t="shared" si="3"/>
        <v>31.855999999999998</v>
      </c>
      <c r="N58" s="29">
        <f t="shared" si="4"/>
        <v>382.27199999999999</v>
      </c>
      <c r="O58" s="29">
        <f t="shared" si="5"/>
        <v>0</v>
      </c>
      <c r="P58" s="29">
        <f t="shared" si="6"/>
        <v>3822.72</v>
      </c>
      <c r="Q58" s="29">
        <f t="shared" si="7"/>
        <v>3822.72</v>
      </c>
      <c r="R58" s="29">
        <f t="shared" si="8"/>
        <v>0</v>
      </c>
    </row>
    <row r="59" spans="2:18" outlineLevel="1">
      <c r="B59">
        <v>13</v>
      </c>
      <c r="C59" t="s">
        <v>260</v>
      </c>
      <c r="D59">
        <v>2000</v>
      </c>
      <c r="E59">
        <v>5</v>
      </c>
      <c r="F59">
        <v>0</v>
      </c>
      <c r="G59" t="s">
        <v>78</v>
      </c>
      <c r="H59" s="5" t="s">
        <v>9</v>
      </c>
      <c r="I59">
        <f t="shared" si="9"/>
        <v>2010</v>
      </c>
      <c r="J59" s="4">
        <f t="shared" si="10"/>
        <v>2010.4166666666667</v>
      </c>
      <c r="K59" s="29">
        <v>4865.28</v>
      </c>
      <c r="L59" s="29">
        <f t="shared" si="11"/>
        <v>4865.28</v>
      </c>
      <c r="M59" s="29">
        <f t="shared" si="3"/>
        <v>40.543999999999997</v>
      </c>
      <c r="N59" s="29">
        <f t="shared" si="4"/>
        <v>486.52799999999996</v>
      </c>
      <c r="O59" s="29">
        <f t="shared" si="5"/>
        <v>0</v>
      </c>
      <c r="P59" s="29">
        <f t="shared" si="6"/>
        <v>4865.28</v>
      </c>
      <c r="Q59" s="29">
        <f t="shared" si="7"/>
        <v>4865.28</v>
      </c>
      <c r="R59" s="29">
        <f t="shared" si="8"/>
        <v>0</v>
      </c>
    </row>
    <row r="60" spans="2:18" outlineLevel="1">
      <c r="B60">
        <v>13</v>
      </c>
      <c r="C60" t="s">
        <v>260</v>
      </c>
      <c r="D60">
        <v>2000</v>
      </c>
      <c r="E60">
        <v>12</v>
      </c>
      <c r="F60">
        <v>0</v>
      </c>
      <c r="G60" t="s">
        <v>78</v>
      </c>
      <c r="H60" s="5" t="s">
        <v>9</v>
      </c>
      <c r="I60">
        <f t="shared" si="9"/>
        <v>2010</v>
      </c>
      <c r="J60" s="4">
        <f t="shared" si="10"/>
        <v>2011</v>
      </c>
      <c r="K60" s="29">
        <v>4756.68</v>
      </c>
      <c r="L60" s="29">
        <f t="shared" si="11"/>
        <v>4756.68</v>
      </c>
      <c r="M60" s="29">
        <f t="shared" si="3"/>
        <v>39.639000000000003</v>
      </c>
      <c r="N60" s="29">
        <f t="shared" si="4"/>
        <v>475.66800000000001</v>
      </c>
      <c r="O60" s="29">
        <f t="shared" si="5"/>
        <v>0</v>
      </c>
      <c r="P60" s="29">
        <f t="shared" si="6"/>
        <v>4756.68</v>
      </c>
      <c r="Q60" s="29">
        <f t="shared" si="7"/>
        <v>4756.68</v>
      </c>
      <c r="R60" s="29">
        <f t="shared" si="8"/>
        <v>0</v>
      </c>
    </row>
    <row r="61" spans="2:18" outlineLevel="1">
      <c r="B61">
        <v>13</v>
      </c>
      <c r="C61" t="s">
        <v>140</v>
      </c>
      <c r="D61">
        <v>2000</v>
      </c>
      <c r="E61">
        <v>5</v>
      </c>
      <c r="F61">
        <v>0</v>
      </c>
      <c r="G61" t="s">
        <v>78</v>
      </c>
      <c r="H61" s="5" t="s">
        <v>9</v>
      </c>
      <c r="I61">
        <f t="shared" si="9"/>
        <v>2010</v>
      </c>
      <c r="J61" s="4">
        <f t="shared" si="10"/>
        <v>2010.4166666666667</v>
      </c>
      <c r="K61" s="29">
        <v>5408.28</v>
      </c>
      <c r="L61" s="29">
        <f t="shared" si="11"/>
        <v>5408.28</v>
      </c>
      <c r="M61" s="29">
        <f t="shared" si="3"/>
        <v>45.068999999999996</v>
      </c>
      <c r="N61" s="29">
        <f t="shared" si="4"/>
        <v>540.82799999999997</v>
      </c>
      <c r="O61" s="29">
        <f t="shared" si="5"/>
        <v>0</v>
      </c>
      <c r="P61" s="29">
        <f t="shared" si="6"/>
        <v>5408.28</v>
      </c>
      <c r="Q61" s="29">
        <f t="shared" si="7"/>
        <v>5408.28</v>
      </c>
      <c r="R61" s="29">
        <f t="shared" si="8"/>
        <v>0</v>
      </c>
    </row>
    <row r="62" spans="2:18" outlineLevel="1">
      <c r="B62">
        <v>13</v>
      </c>
      <c r="C62" t="s">
        <v>140</v>
      </c>
      <c r="D62">
        <v>2000</v>
      </c>
      <c r="E62">
        <v>11</v>
      </c>
      <c r="F62">
        <v>0</v>
      </c>
      <c r="G62" t="s">
        <v>78</v>
      </c>
      <c r="H62" s="5" t="s">
        <v>9</v>
      </c>
      <c r="I62">
        <f t="shared" si="9"/>
        <v>2010</v>
      </c>
      <c r="J62" s="4">
        <f t="shared" si="10"/>
        <v>2010.9166666666667</v>
      </c>
      <c r="K62" s="29">
        <v>5125.92</v>
      </c>
      <c r="L62" s="29">
        <f t="shared" si="11"/>
        <v>5125.92</v>
      </c>
      <c r="M62" s="29">
        <f t="shared" si="3"/>
        <v>42.716000000000001</v>
      </c>
      <c r="N62" s="29">
        <f t="shared" si="4"/>
        <v>512.59199999999998</v>
      </c>
      <c r="O62" s="29">
        <f t="shared" si="5"/>
        <v>0</v>
      </c>
      <c r="P62" s="29">
        <f t="shared" si="6"/>
        <v>5125.92</v>
      </c>
      <c r="Q62" s="29">
        <f t="shared" si="7"/>
        <v>5125.92</v>
      </c>
      <c r="R62" s="29">
        <f t="shared" si="8"/>
        <v>0</v>
      </c>
    </row>
    <row r="63" spans="2:18" outlineLevel="1">
      <c r="B63">
        <v>10</v>
      </c>
      <c r="C63" t="s">
        <v>140</v>
      </c>
      <c r="D63">
        <v>2000</v>
      </c>
      <c r="E63">
        <v>12</v>
      </c>
      <c r="F63">
        <v>0</v>
      </c>
      <c r="G63" t="s">
        <v>78</v>
      </c>
      <c r="H63" s="5" t="s">
        <v>9</v>
      </c>
      <c r="I63">
        <f t="shared" si="9"/>
        <v>2010</v>
      </c>
      <c r="J63" s="4">
        <f t="shared" si="10"/>
        <v>2011</v>
      </c>
      <c r="K63" s="29">
        <v>4083.36</v>
      </c>
      <c r="L63" s="29">
        <f t="shared" si="11"/>
        <v>4083.36</v>
      </c>
      <c r="M63" s="29">
        <f t="shared" si="3"/>
        <v>34.027999999999999</v>
      </c>
      <c r="N63" s="29">
        <f t="shared" si="4"/>
        <v>408.33600000000001</v>
      </c>
      <c r="O63" s="29">
        <f t="shared" si="5"/>
        <v>0</v>
      </c>
      <c r="P63" s="29">
        <f t="shared" si="6"/>
        <v>4083.36</v>
      </c>
      <c r="Q63" s="29">
        <f t="shared" si="7"/>
        <v>4083.36</v>
      </c>
      <c r="R63" s="29">
        <f t="shared" si="8"/>
        <v>0</v>
      </c>
    </row>
    <row r="64" spans="2:18" outlineLevel="1">
      <c r="B64">
        <v>33</v>
      </c>
      <c r="C64" t="s">
        <v>244</v>
      </c>
      <c r="D64">
        <v>2000</v>
      </c>
      <c r="E64">
        <v>3</v>
      </c>
      <c r="F64">
        <v>0</v>
      </c>
      <c r="G64" t="s">
        <v>78</v>
      </c>
      <c r="H64" s="5" t="s">
        <v>9</v>
      </c>
      <c r="I64">
        <f t="shared" si="9"/>
        <v>2010</v>
      </c>
      <c r="J64" s="4">
        <f t="shared" si="10"/>
        <v>2010.25</v>
      </c>
      <c r="K64" s="29">
        <v>14769.6</v>
      </c>
      <c r="L64" s="29">
        <f t="shared" si="11"/>
        <v>14769.6</v>
      </c>
      <c r="M64" s="29">
        <f t="shared" si="3"/>
        <v>123.08</v>
      </c>
      <c r="N64" s="29">
        <f t="shared" si="4"/>
        <v>1476.96</v>
      </c>
      <c r="O64" s="29">
        <f t="shared" si="5"/>
        <v>0</v>
      </c>
      <c r="P64" s="29">
        <f t="shared" si="6"/>
        <v>14769.6</v>
      </c>
      <c r="Q64" s="29">
        <f t="shared" si="7"/>
        <v>14769.6</v>
      </c>
      <c r="R64" s="29">
        <f t="shared" si="8"/>
        <v>0</v>
      </c>
    </row>
    <row r="65" spans="2:18" outlineLevel="1">
      <c r="B65">
        <v>15</v>
      </c>
      <c r="C65" t="s">
        <v>279</v>
      </c>
      <c r="D65">
        <v>2001</v>
      </c>
      <c r="E65">
        <v>3</v>
      </c>
      <c r="F65">
        <v>0</v>
      </c>
      <c r="G65" t="s">
        <v>78</v>
      </c>
      <c r="H65" s="5" t="s">
        <v>9</v>
      </c>
      <c r="I65">
        <f t="shared" si="9"/>
        <v>2011</v>
      </c>
      <c r="J65" s="4">
        <f t="shared" si="10"/>
        <v>2011.25</v>
      </c>
      <c r="K65" s="29">
        <v>4320.1099999999997</v>
      </c>
      <c r="L65" s="29">
        <f t="shared" si="11"/>
        <v>4320.1099999999997</v>
      </c>
      <c r="M65" s="29">
        <f t="shared" si="3"/>
        <v>36.000916666666662</v>
      </c>
      <c r="N65" s="29">
        <f t="shared" si="4"/>
        <v>432.01099999999997</v>
      </c>
      <c r="O65" s="29">
        <f t="shared" si="5"/>
        <v>0</v>
      </c>
      <c r="P65" s="29">
        <f t="shared" si="6"/>
        <v>4320.1099999999997</v>
      </c>
      <c r="Q65" s="29">
        <f t="shared" si="7"/>
        <v>4320.1099999999997</v>
      </c>
      <c r="R65" s="29">
        <f t="shared" si="8"/>
        <v>0</v>
      </c>
    </row>
    <row r="66" spans="2:18" outlineLevel="1">
      <c r="B66">
        <v>12</v>
      </c>
      <c r="C66" t="s">
        <v>279</v>
      </c>
      <c r="D66">
        <v>2001</v>
      </c>
      <c r="E66">
        <v>3</v>
      </c>
      <c r="F66">
        <v>0</v>
      </c>
      <c r="G66" t="s">
        <v>78</v>
      </c>
      <c r="H66" s="5" t="s">
        <v>9</v>
      </c>
      <c r="I66">
        <f t="shared" si="9"/>
        <v>2011</v>
      </c>
      <c r="J66" s="4">
        <f t="shared" si="10"/>
        <v>2011.25</v>
      </c>
      <c r="K66" s="29">
        <v>3492.58</v>
      </c>
      <c r="L66" s="29">
        <f t="shared" si="11"/>
        <v>3492.58</v>
      </c>
      <c r="M66" s="29">
        <f t="shared" si="3"/>
        <v>29.104833333333332</v>
      </c>
      <c r="N66" s="29">
        <f t="shared" si="4"/>
        <v>349.25799999999998</v>
      </c>
      <c r="O66" s="29">
        <f t="shared" si="5"/>
        <v>0</v>
      </c>
      <c r="P66" s="29">
        <f t="shared" si="6"/>
        <v>3492.58</v>
      </c>
      <c r="Q66" s="29">
        <f t="shared" si="7"/>
        <v>3492.58</v>
      </c>
      <c r="R66" s="29">
        <f t="shared" si="8"/>
        <v>0</v>
      </c>
    </row>
    <row r="67" spans="2:18" outlineLevel="1">
      <c r="B67">
        <v>12</v>
      </c>
      <c r="C67" t="s">
        <v>279</v>
      </c>
      <c r="D67">
        <v>2001</v>
      </c>
      <c r="E67">
        <v>6</v>
      </c>
      <c r="F67">
        <v>0</v>
      </c>
      <c r="G67" t="s">
        <v>78</v>
      </c>
      <c r="H67" s="5" t="s">
        <v>9</v>
      </c>
      <c r="I67">
        <f t="shared" si="9"/>
        <v>2011</v>
      </c>
      <c r="J67" s="4">
        <f t="shared" si="10"/>
        <v>2011.5</v>
      </c>
      <c r="K67" s="29">
        <v>3492.48</v>
      </c>
      <c r="L67" s="29">
        <f t="shared" si="11"/>
        <v>3492.48</v>
      </c>
      <c r="M67" s="29">
        <f t="shared" si="3"/>
        <v>29.103999999999999</v>
      </c>
      <c r="N67" s="29">
        <f t="shared" si="4"/>
        <v>349.24799999999999</v>
      </c>
      <c r="O67" s="29">
        <f t="shared" si="5"/>
        <v>0</v>
      </c>
      <c r="P67" s="29">
        <f t="shared" si="6"/>
        <v>3492.48</v>
      </c>
      <c r="Q67" s="29">
        <f t="shared" si="7"/>
        <v>3492.48</v>
      </c>
      <c r="R67" s="29">
        <f t="shared" si="8"/>
        <v>0</v>
      </c>
    </row>
    <row r="68" spans="2:18" outlineLevel="1">
      <c r="B68">
        <v>23</v>
      </c>
      <c r="C68" t="s">
        <v>263</v>
      </c>
      <c r="D68">
        <v>2001</v>
      </c>
      <c r="E68">
        <v>7</v>
      </c>
      <c r="F68">
        <v>0</v>
      </c>
      <c r="G68" t="s">
        <v>78</v>
      </c>
      <c r="H68" s="5" t="s">
        <v>9</v>
      </c>
      <c r="I68">
        <f t="shared" si="9"/>
        <v>2011</v>
      </c>
      <c r="J68" s="4">
        <f t="shared" si="10"/>
        <v>2011.5833333333333</v>
      </c>
      <c r="K68" s="29">
        <v>7659.52</v>
      </c>
      <c r="L68" s="29">
        <f t="shared" si="11"/>
        <v>7659.52</v>
      </c>
      <c r="M68" s="29">
        <f t="shared" si="3"/>
        <v>63.829333333333331</v>
      </c>
      <c r="N68" s="29">
        <f t="shared" si="4"/>
        <v>765.952</v>
      </c>
      <c r="O68" s="29">
        <f t="shared" si="5"/>
        <v>0</v>
      </c>
      <c r="P68" s="29">
        <f t="shared" si="6"/>
        <v>7659.52</v>
      </c>
      <c r="Q68" s="29">
        <f t="shared" si="7"/>
        <v>7659.52</v>
      </c>
      <c r="R68" s="29">
        <f t="shared" si="8"/>
        <v>0</v>
      </c>
    </row>
    <row r="69" spans="2:18" outlineLevel="1">
      <c r="B69">
        <v>7</v>
      </c>
      <c r="C69" t="s">
        <v>279</v>
      </c>
      <c r="D69">
        <v>2002</v>
      </c>
      <c r="E69">
        <v>8</v>
      </c>
      <c r="F69">
        <v>0</v>
      </c>
      <c r="G69" t="s">
        <v>78</v>
      </c>
      <c r="H69" s="5" t="s">
        <v>9</v>
      </c>
      <c r="I69">
        <f t="shared" si="9"/>
        <v>2012</v>
      </c>
      <c r="J69" s="4">
        <f t="shared" si="10"/>
        <v>2012.6666666666667</v>
      </c>
      <c r="K69" s="29">
        <v>1931.2</v>
      </c>
      <c r="L69" s="29">
        <f t="shared" si="11"/>
        <v>1931.2</v>
      </c>
      <c r="M69" s="29">
        <f t="shared" si="3"/>
        <v>16.093333333333334</v>
      </c>
      <c r="N69" s="29">
        <f t="shared" si="4"/>
        <v>193.12</v>
      </c>
      <c r="O69" s="29">
        <f t="shared" si="5"/>
        <v>0</v>
      </c>
      <c r="P69" s="29">
        <f t="shared" si="6"/>
        <v>1931.2</v>
      </c>
      <c r="Q69" s="29">
        <f t="shared" si="7"/>
        <v>1931.2</v>
      </c>
      <c r="R69" s="29">
        <f t="shared" si="8"/>
        <v>0</v>
      </c>
    </row>
    <row r="70" spans="2:18" outlineLevel="1">
      <c r="B70">
        <v>12</v>
      </c>
      <c r="C70" t="s">
        <v>260</v>
      </c>
      <c r="D70">
        <v>2002</v>
      </c>
      <c r="E70">
        <v>6</v>
      </c>
      <c r="F70">
        <v>0</v>
      </c>
      <c r="G70" t="s">
        <v>78</v>
      </c>
      <c r="H70" s="5" t="s">
        <v>9</v>
      </c>
      <c r="I70">
        <f t="shared" si="9"/>
        <v>2012</v>
      </c>
      <c r="J70" s="4">
        <f t="shared" si="10"/>
        <v>2012.5</v>
      </c>
      <c r="K70" s="29">
        <v>4613.12</v>
      </c>
      <c r="L70" s="29">
        <f t="shared" si="11"/>
        <v>4613.12</v>
      </c>
      <c r="M70" s="29">
        <f t="shared" si="3"/>
        <v>38.442666666666668</v>
      </c>
      <c r="N70" s="29">
        <f t="shared" si="4"/>
        <v>461.31200000000001</v>
      </c>
      <c r="O70" s="29">
        <f t="shared" si="5"/>
        <v>0</v>
      </c>
      <c r="P70" s="29">
        <f t="shared" si="6"/>
        <v>4613.12</v>
      </c>
      <c r="Q70" s="29">
        <f t="shared" si="7"/>
        <v>4613.12</v>
      </c>
      <c r="R70" s="29">
        <f t="shared" si="8"/>
        <v>0</v>
      </c>
    </row>
    <row r="71" spans="2:18" outlineLevel="1">
      <c r="B71">
        <v>35</v>
      </c>
      <c r="C71" t="s">
        <v>244</v>
      </c>
      <c r="D71">
        <v>2002</v>
      </c>
      <c r="E71">
        <v>11</v>
      </c>
      <c r="F71">
        <v>0</v>
      </c>
      <c r="G71" t="s">
        <v>78</v>
      </c>
      <c r="H71" s="5" t="s">
        <v>9</v>
      </c>
      <c r="I71">
        <f t="shared" si="9"/>
        <v>2012</v>
      </c>
      <c r="J71" s="4">
        <f t="shared" si="10"/>
        <v>2012.9166666666667</v>
      </c>
      <c r="K71" s="29">
        <v>15748.8</v>
      </c>
      <c r="L71" s="29">
        <f t="shared" si="11"/>
        <v>15748.8</v>
      </c>
      <c r="M71" s="29">
        <f t="shared" si="3"/>
        <v>131.23999999999998</v>
      </c>
      <c r="N71" s="29">
        <f t="shared" si="4"/>
        <v>1574.8799999999997</v>
      </c>
      <c r="O71" s="29">
        <f t="shared" si="5"/>
        <v>0</v>
      </c>
      <c r="P71" s="29">
        <f t="shared" si="6"/>
        <v>15748.8</v>
      </c>
      <c r="Q71" s="29">
        <f t="shared" si="7"/>
        <v>15748.8</v>
      </c>
      <c r="R71" s="29">
        <f t="shared" si="8"/>
        <v>0</v>
      </c>
    </row>
    <row r="72" spans="2:18" ht="14.25" customHeight="1" outlineLevel="1">
      <c r="B72">
        <v>12</v>
      </c>
      <c r="C72" t="s">
        <v>279</v>
      </c>
      <c r="D72">
        <v>2003</v>
      </c>
      <c r="E72">
        <v>11</v>
      </c>
      <c r="F72">
        <v>0</v>
      </c>
      <c r="G72" t="s">
        <v>78</v>
      </c>
      <c r="H72" s="5" t="s">
        <v>9</v>
      </c>
      <c r="I72">
        <f t="shared" si="9"/>
        <v>2013</v>
      </c>
      <c r="J72" s="4">
        <f t="shared" si="10"/>
        <v>2013.9166666666667</v>
      </c>
      <c r="K72" s="29">
        <v>3481.6</v>
      </c>
      <c r="L72" s="29">
        <f t="shared" si="11"/>
        <v>3481.6</v>
      </c>
      <c r="M72" s="29">
        <f t="shared" si="3"/>
        <v>29.013333333333332</v>
      </c>
      <c r="N72" s="29">
        <f t="shared" si="4"/>
        <v>348.15999999999997</v>
      </c>
      <c r="O72" s="29">
        <f t="shared" si="5"/>
        <v>0</v>
      </c>
      <c r="P72" s="29">
        <f t="shared" si="6"/>
        <v>3481.6</v>
      </c>
      <c r="Q72" s="29">
        <f t="shared" si="7"/>
        <v>3481.6</v>
      </c>
      <c r="R72" s="29">
        <f t="shared" si="8"/>
        <v>0</v>
      </c>
    </row>
    <row r="73" spans="2:18" outlineLevel="1">
      <c r="B73">
        <v>19</v>
      </c>
      <c r="C73" t="s">
        <v>190</v>
      </c>
      <c r="D73">
        <v>2003</v>
      </c>
      <c r="E73">
        <v>8</v>
      </c>
      <c r="F73">
        <v>0</v>
      </c>
      <c r="G73" t="s">
        <v>78</v>
      </c>
      <c r="H73" s="5" t="s">
        <v>9</v>
      </c>
      <c r="I73">
        <f t="shared" si="9"/>
        <v>2013</v>
      </c>
      <c r="J73" s="4">
        <f t="shared" si="10"/>
        <v>2013.6666666666667</v>
      </c>
      <c r="K73" s="29">
        <v>5304</v>
      </c>
      <c r="L73" s="29">
        <f t="shared" si="11"/>
        <v>5304</v>
      </c>
      <c r="M73" s="29">
        <f t="shared" si="3"/>
        <v>44.199999999999996</v>
      </c>
      <c r="N73" s="29">
        <f t="shared" si="4"/>
        <v>530.4</v>
      </c>
      <c r="O73" s="29">
        <f t="shared" si="5"/>
        <v>0</v>
      </c>
      <c r="P73" s="29">
        <f t="shared" si="6"/>
        <v>5304</v>
      </c>
      <c r="Q73" s="29">
        <f t="shared" si="7"/>
        <v>5304</v>
      </c>
      <c r="R73" s="29">
        <f t="shared" si="8"/>
        <v>0</v>
      </c>
    </row>
    <row r="74" spans="2:18" outlineLevel="1">
      <c r="B74">
        <v>12</v>
      </c>
      <c r="C74" t="s">
        <v>263</v>
      </c>
      <c r="D74">
        <v>2003</v>
      </c>
      <c r="E74">
        <v>6</v>
      </c>
      <c r="F74">
        <v>0</v>
      </c>
      <c r="G74" t="s">
        <v>78</v>
      </c>
      <c r="H74" s="5" t="s">
        <v>9</v>
      </c>
      <c r="I74">
        <f t="shared" si="9"/>
        <v>2013</v>
      </c>
      <c r="J74" s="4">
        <f t="shared" si="10"/>
        <v>2013.5</v>
      </c>
      <c r="K74" s="29">
        <v>4243.2</v>
      </c>
      <c r="L74" s="29">
        <f t="shared" si="11"/>
        <v>4243.2</v>
      </c>
      <c r="M74" s="29">
        <f t="shared" si="3"/>
        <v>35.36</v>
      </c>
      <c r="N74" s="29">
        <f t="shared" si="4"/>
        <v>424.32</v>
      </c>
      <c r="O74" s="29">
        <f t="shared" si="5"/>
        <v>0</v>
      </c>
      <c r="P74" s="29">
        <f t="shared" si="6"/>
        <v>4243.2</v>
      </c>
      <c r="Q74" s="29">
        <f t="shared" si="7"/>
        <v>4243.2</v>
      </c>
      <c r="R74" s="29">
        <f t="shared" si="8"/>
        <v>0</v>
      </c>
    </row>
    <row r="75" spans="2:18" outlineLevel="1">
      <c r="B75">
        <v>12</v>
      </c>
      <c r="C75" t="s">
        <v>263</v>
      </c>
      <c r="D75">
        <v>2003</v>
      </c>
      <c r="E75">
        <v>10</v>
      </c>
      <c r="F75">
        <v>0</v>
      </c>
      <c r="G75" t="s">
        <v>78</v>
      </c>
      <c r="H75" s="5" t="s">
        <v>9</v>
      </c>
      <c r="I75">
        <f t="shared" si="9"/>
        <v>2013</v>
      </c>
      <c r="J75" s="4">
        <f t="shared" si="10"/>
        <v>2013.8333333333333</v>
      </c>
      <c r="K75" s="29">
        <v>4243.2</v>
      </c>
      <c r="L75" s="29">
        <f t="shared" si="11"/>
        <v>4243.2</v>
      </c>
      <c r="M75" s="29">
        <f t="shared" si="3"/>
        <v>35.36</v>
      </c>
      <c r="N75" s="29">
        <f t="shared" si="4"/>
        <v>424.32</v>
      </c>
      <c r="O75" s="29">
        <f t="shared" si="5"/>
        <v>0</v>
      </c>
      <c r="P75" s="29">
        <f t="shared" si="6"/>
        <v>4243.2</v>
      </c>
      <c r="Q75" s="29">
        <f t="shared" si="7"/>
        <v>4243.2</v>
      </c>
      <c r="R75" s="29">
        <f t="shared" si="8"/>
        <v>0</v>
      </c>
    </row>
    <row r="76" spans="2:18" outlineLevel="1">
      <c r="B76">
        <v>7</v>
      </c>
      <c r="C76" t="s">
        <v>260</v>
      </c>
      <c r="D76">
        <v>2003</v>
      </c>
      <c r="E76">
        <v>12</v>
      </c>
      <c r="F76">
        <v>0</v>
      </c>
      <c r="G76" t="s">
        <v>78</v>
      </c>
      <c r="H76" s="5" t="s">
        <v>9</v>
      </c>
      <c r="I76">
        <f t="shared" si="9"/>
        <v>2013</v>
      </c>
      <c r="J76" s="4">
        <f t="shared" si="10"/>
        <v>2014</v>
      </c>
      <c r="K76" s="29">
        <v>2584</v>
      </c>
      <c r="L76" s="29">
        <f t="shared" si="11"/>
        <v>2584</v>
      </c>
      <c r="M76" s="29">
        <f t="shared" si="3"/>
        <v>21.533333333333331</v>
      </c>
      <c r="N76" s="29">
        <f t="shared" si="4"/>
        <v>258.39999999999998</v>
      </c>
      <c r="O76" s="29">
        <f t="shared" si="5"/>
        <v>0</v>
      </c>
      <c r="P76" s="29">
        <f t="shared" si="6"/>
        <v>2584</v>
      </c>
      <c r="Q76" s="29">
        <f t="shared" si="7"/>
        <v>2584</v>
      </c>
      <c r="R76" s="29">
        <f t="shared" si="8"/>
        <v>0</v>
      </c>
    </row>
    <row r="77" spans="2:18" outlineLevel="1">
      <c r="B77">
        <v>19</v>
      </c>
      <c r="C77" t="s">
        <v>178</v>
      </c>
      <c r="D77">
        <v>2003</v>
      </c>
      <c r="E77">
        <v>7</v>
      </c>
      <c r="F77">
        <v>0</v>
      </c>
      <c r="G77" t="s">
        <v>78</v>
      </c>
      <c r="H77" s="5" t="s">
        <v>9</v>
      </c>
      <c r="I77">
        <f t="shared" ref="I77:I108" si="12">D77+H77</f>
        <v>2013</v>
      </c>
      <c r="J77" s="4">
        <f t="shared" ref="J77:J88" si="13">+I77+(E77/12)</f>
        <v>2013.5833333333333</v>
      </c>
      <c r="K77" s="29">
        <v>8292.6</v>
      </c>
      <c r="L77" s="29">
        <f t="shared" ref="L77:L108" si="14">K77-K77*F77</f>
        <v>8292.6</v>
      </c>
      <c r="M77" s="29">
        <f t="shared" si="3"/>
        <v>69.105000000000004</v>
      </c>
      <c r="N77" s="29">
        <f t="shared" si="4"/>
        <v>829.26</v>
      </c>
      <c r="O77" s="29">
        <f t="shared" si="5"/>
        <v>0</v>
      </c>
      <c r="P77" s="29">
        <f t="shared" si="6"/>
        <v>8292.6</v>
      </c>
      <c r="Q77" s="29">
        <f t="shared" si="7"/>
        <v>8292.6</v>
      </c>
      <c r="R77" s="29">
        <f t="shared" si="8"/>
        <v>0</v>
      </c>
    </row>
    <row r="78" spans="2:18" outlineLevel="1">
      <c r="B78">
        <v>35</v>
      </c>
      <c r="C78" t="s">
        <v>244</v>
      </c>
      <c r="D78">
        <v>2003</v>
      </c>
      <c r="E78">
        <v>2</v>
      </c>
      <c r="F78">
        <v>0</v>
      </c>
      <c r="G78" t="s">
        <v>78</v>
      </c>
      <c r="H78" s="5" t="s">
        <v>9</v>
      </c>
      <c r="I78">
        <f t="shared" si="12"/>
        <v>2013</v>
      </c>
      <c r="J78" s="4">
        <f t="shared" si="13"/>
        <v>2013.1666666666667</v>
      </c>
      <c r="K78" s="29">
        <v>15748.8</v>
      </c>
      <c r="L78" s="29">
        <f t="shared" si="14"/>
        <v>15748.8</v>
      </c>
      <c r="M78" s="29">
        <f t="shared" ref="M78:M141" si="15">L78/H78/12</f>
        <v>131.23999999999998</v>
      </c>
      <c r="N78" s="29">
        <f t="shared" ref="N78:N141" si="16">+M78*12</f>
        <v>1574.8799999999997</v>
      </c>
      <c r="O78" s="29">
        <f t="shared" ref="O78:O141" si="17">IF(J78&lt;=$N$6,0,N78)</f>
        <v>0</v>
      </c>
      <c r="P78" s="29">
        <f t="shared" ref="P78:P141" si="18">+IF($J78&lt;=$N$7,$L78,IF(($D78+($E78/12))&gt;=$N$7,0,((($L78-((($J78-$N$7)*12)*$M78))))))</f>
        <v>15748.8</v>
      </c>
      <c r="Q78" s="29">
        <f t="shared" ref="Q78:Q141" si="19">IF(O78=0,L78,O78+P78)</f>
        <v>15748.8</v>
      </c>
      <c r="R78" s="29">
        <f t="shared" ref="R78:R141" si="20">+K78-Q78</f>
        <v>0</v>
      </c>
    </row>
    <row r="79" spans="2:18" outlineLevel="1">
      <c r="B79">
        <v>35</v>
      </c>
      <c r="C79" t="s">
        <v>244</v>
      </c>
      <c r="D79">
        <v>2003</v>
      </c>
      <c r="E79">
        <v>8</v>
      </c>
      <c r="F79">
        <v>0</v>
      </c>
      <c r="G79" t="s">
        <v>78</v>
      </c>
      <c r="H79" s="5" t="s">
        <v>9</v>
      </c>
      <c r="I79">
        <f t="shared" si="12"/>
        <v>2013</v>
      </c>
      <c r="J79" s="4">
        <f t="shared" si="13"/>
        <v>2013.6666666666667</v>
      </c>
      <c r="K79" s="29">
        <v>15748.8</v>
      </c>
      <c r="L79" s="29">
        <f t="shared" si="14"/>
        <v>15748.8</v>
      </c>
      <c r="M79" s="29">
        <f t="shared" si="15"/>
        <v>131.23999999999998</v>
      </c>
      <c r="N79" s="29">
        <f t="shared" si="16"/>
        <v>1574.8799999999997</v>
      </c>
      <c r="O79" s="29">
        <f t="shared" si="17"/>
        <v>0</v>
      </c>
      <c r="P79" s="29">
        <f t="shared" si="18"/>
        <v>15748.8</v>
      </c>
      <c r="Q79" s="29">
        <f t="shared" si="19"/>
        <v>15748.8</v>
      </c>
      <c r="R79" s="29">
        <f t="shared" si="20"/>
        <v>0</v>
      </c>
    </row>
    <row r="80" spans="2:18" outlineLevel="1">
      <c r="B80">
        <v>14</v>
      </c>
      <c r="C80" t="s">
        <v>279</v>
      </c>
      <c r="D80">
        <v>2004</v>
      </c>
      <c r="E80">
        <v>3</v>
      </c>
      <c r="F80">
        <v>0</v>
      </c>
      <c r="G80" t="s">
        <v>78</v>
      </c>
      <c r="H80" s="5" t="s">
        <v>9</v>
      </c>
      <c r="I80">
        <f t="shared" si="12"/>
        <v>2014</v>
      </c>
      <c r="J80" s="4">
        <f t="shared" si="13"/>
        <v>2014.25</v>
      </c>
      <c r="K80" s="29">
        <v>3960.32</v>
      </c>
      <c r="L80" s="29">
        <f t="shared" si="14"/>
        <v>3960.32</v>
      </c>
      <c r="M80" s="29">
        <f t="shared" si="15"/>
        <v>33.00266666666667</v>
      </c>
      <c r="N80" s="29">
        <f t="shared" si="16"/>
        <v>396.03200000000004</v>
      </c>
      <c r="O80" s="29">
        <f t="shared" si="17"/>
        <v>0</v>
      </c>
      <c r="P80" s="29">
        <f t="shared" si="18"/>
        <v>3960.32</v>
      </c>
      <c r="Q80" s="29">
        <f t="shared" si="19"/>
        <v>3960.32</v>
      </c>
      <c r="R80" s="29">
        <f t="shared" si="20"/>
        <v>0</v>
      </c>
    </row>
    <row r="81" spans="2:18" outlineLevel="1">
      <c r="B81">
        <v>12</v>
      </c>
      <c r="C81" t="s">
        <v>279</v>
      </c>
      <c r="D81">
        <v>2004</v>
      </c>
      <c r="E81">
        <v>5</v>
      </c>
      <c r="F81">
        <v>0</v>
      </c>
      <c r="G81" t="s">
        <v>78</v>
      </c>
      <c r="H81" s="5" t="s">
        <v>9</v>
      </c>
      <c r="I81">
        <f t="shared" si="12"/>
        <v>2014</v>
      </c>
      <c r="J81" s="4">
        <f t="shared" si="13"/>
        <v>2014.4166666666667</v>
      </c>
      <c r="K81" s="29">
        <v>3525.12</v>
      </c>
      <c r="L81" s="29">
        <f t="shared" si="14"/>
        <v>3525.12</v>
      </c>
      <c r="M81" s="29">
        <f t="shared" si="15"/>
        <v>29.376000000000001</v>
      </c>
      <c r="N81" s="29">
        <f t="shared" si="16"/>
        <v>352.512</v>
      </c>
      <c r="O81" s="29">
        <f t="shared" si="17"/>
        <v>0</v>
      </c>
      <c r="P81" s="29">
        <f t="shared" si="18"/>
        <v>3525.12</v>
      </c>
      <c r="Q81" s="29">
        <f t="shared" si="19"/>
        <v>3525.12</v>
      </c>
      <c r="R81" s="29">
        <f t="shared" si="20"/>
        <v>0</v>
      </c>
    </row>
    <row r="82" spans="2:18" outlineLevel="1">
      <c r="B82">
        <v>15</v>
      </c>
      <c r="C82" t="s">
        <v>279</v>
      </c>
      <c r="D82">
        <v>2004</v>
      </c>
      <c r="E82">
        <v>6</v>
      </c>
      <c r="F82">
        <v>0</v>
      </c>
      <c r="G82" t="s">
        <v>78</v>
      </c>
      <c r="H82" s="5" t="s">
        <v>9</v>
      </c>
      <c r="I82">
        <f t="shared" si="12"/>
        <v>2014</v>
      </c>
      <c r="J82" s="4">
        <f t="shared" si="13"/>
        <v>2014.5</v>
      </c>
      <c r="K82" s="29">
        <v>4156.16</v>
      </c>
      <c r="L82" s="29">
        <f t="shared" si="14"/>
        <v>4156.16</v>
      </c>
      <c r="M82" s="29">
        <f t="shared" si="15"/>
        <v>34.634666666666668</v>
      </c>
      <c r="N82" s="29">
        <f t="shared" si="16"/>
        <v>415.61599999999999</v>
      </c>
      <c r="O82" s="29">
        <f t="shared" si="17"/>
        <v>0</v>
      </c>
      <c r="P82" s="29">
        <f t="shared" si="18"/>
        <v>4156.16</v>
      </c>
      <c r="Q82" s="29">
        <f t="shared" si="19"/>
        <v>4156.16</v>
      </c>
      <c r="R82" s="29">
        <f t="shared" si="20"/>
        <v>0</v>
      </c>
    </row>
    <row r="83" spans="2:18" outlineLevel="1">
      <c r="B83">
        <v>13</v>
      </c>
      <c r="C83" t="s">
        <v>279</v>
      </c>
      <c r="D83">
        <v>2004</v>
      </c>
      <c r="E83">
        <v>6</v>
      </c>
      <c r="F83">
        <v>0</v>
      </c>
      <c r="G83" t="s">
        <v>78</v>
      </c>
      <c r="H83" s="5" t="s">
        <v>9</v>
      </c>
      <c r="I83">
        <f t="shared" si="12"/>
        <v>2014</v>
      </c>
      <c r="J83" s="4">
        <f t="shared" si="13"/>
        <v>2014.5</v>
      </c>
      <c r="K83" s="29">
        <v>3720.96</v>
      </c>
      <c r="L83" s="29">
        <f t="shared" si="14"/>
        <v>3720.96</v>
      </c>
      <c r="M83" s="29">
        <f t="shared" si="15"/>
        <v>31.007999999999999</v>
      </c>
      <c r="N83" s="29">
        <f t="shared" si="16"/>
        <v>372.096</v>
      </c>
      <c r="O83" s="29">
        <f t="shared" si="17"/>
        <v>0</v>
      </c>
      <c r="P83" s="29">
        <f t="shared" si="18"/>
        <v>3720.96</v>
      </c>
      <c r="Q83" s="29">
        <f t="shared" si="19"/>
        <v>3720.96</v>
      </c>
      <c r="R83" s="29">
        <f t="shared" si="20"/>
        <v>0</v>
      </c>
    </row>
    <row r="84" spans="2:18" outlineLevel="1">
      <c r="B84">
        <v>17</v>
      </c>
      <c r="C84" t="s">
        <v>279</v>
      </c>
      <c r="D84">
        <v>2004</v>
      </c>
      <c r="E84">
        <v>7</v>
      </c>
      <c r="F84">
        <v>0</v>
      </c>
      <c r="G84" t="s">
        <v>78</v>
      </c>
      <c r="H84" s="5" t="s">
        <v>9</v>
      </c>
      <c r="I84">
        <f t="shared" si="12"/>
        <v>2014</v>
      </c>
      <c r="J84" s="4">
        <f t="shared" si="13"/>
        <v>2014.5833333333333</v>
      </c>
      <c r="K84" s="29">
        <v>4961.28</v>
      </c>
      <c r="L84" s="29">
        <f t="shared" si="14"/>
        <v>4961.28</v>
      </c>
      <c r="M84" s="29">
        <f t="shared" si="15"/>
        <v>41.344000000000001</v>
      </c>
      <c r="N84" s="29">
        <f t="shared" si="16"/>
        <v>496.12800000000004</v>
      </c>
      <c r="O84" s="29">
        <f t="shared" si="17"/>
        <v>0</v>
      </c>
      <c r="P84" s="29">
        <f t="shared" si="18"/>
        <v>4961.28</v>
      </c>
      <c r="Q84" s="29">
        <f t="shared" si="19"/>
        <v>4961.28</v>
      </c>
      <c r="R84" s="29">
        <f t="shared" si="20"/>
        <v>0</v>
      </c>
    </row>
    <row r="85" spans="2:18" outlineLevel="1">
      <c r="B85">
        <v>25</v>
      </c>
      <c r="C85" t="s">
        <v>263</v>
      </c>
      <c r="D85">
        <v>2004</v>
      </c>
      <c r="E85">
        <v>1</v>
      </c>
      <c r="F85">
        <v>0</v>
      </c>
      <c r="G85" t="s">
        <v>78</v>
      </c>
      <c r="H85" s="5" t="s">
        <v>9</v>
      </c>
      <c r="I85">
        <f t="shared" si="12"/>
        <v>2014</v>
      </c>
      <c r="J85" s="4">
        <f t="shared" si="13"/>
        <v>2014.0833333333333</v>
      </c>
      <c r="K85" s="29">
        <v>8486.4</v>
      </c>
      <c r="L85" s="29">
        <f t="shared" si="14"/>
        <v>8486.4</v>
      </c>
      <c r="M85" s="29">
        <f t="shared" si="15"/>
        <v>70.72</v>
      </c>
      <c r="N85" s="29">
        <f t="shared" si="16"/>
        <v>848.64</v>
      </c>
      <c r="O85" s="29">
        <f t="shared" si="17"/>
        <v>0</v>
      </c>
      <c r="P85" s="29">
        <f t="shared" si="18"/>
        <v>8486.4</v>
      </c>
      <c r="Q85" s="29">
        <f t="shared" si="19"/>
        <v>8486.4</v>
      </c>
      <c r="R85" s="29">
        <f t="shared" si="20"/>
        <v>0</v>
      </c>
    </row>
    <row r="86" spans="2:18" outlineLevel="1">
      <c r="B86">
        <v>19</v>
      </c>
      <c r="C86" t="s">
        <v>263</v>
      </c>
      <c r="D86">
        <v>2004</v>
      </c>
      <c r="E86">
        <v>2</v>
      </c>
      <c r="F86">
        <v>0</v>
      </c>
      <c r="G86" t="s">
        <v>78</v>
      </c>
      <c r="H86" s="5" t="s">
        <v>9</v>
      </c>
      <c r="I86">
        <f t="shared" si="12"/>
        <v>2014</v>
      </c>
      <c r="J86" s="4">
        <f t="shared" si="13"/>
        <v>2014.1666666666667</v>
      </c>
      <c r="K86" s="29">
        <v>6315.84</v>
      </c>
      <c r="L86" s="29">
        <f t="shared" si="14"/>
        <v>6315.84</v>
      </c>
      <c r="M86" s="29">
        <f t="shared" si="15"/>
        <v>52.632000000000005</v>
      </c>
      <c r="N86" s="29">
        <f t="shared" si="16"/>
        <v>631.58400000000006</v>
      </c>
      <c r="O86" s="29">
        <f t="shared" si="17"/>
        <v>0</v>
      </c>
      <c r="P86" s="29">
        <f t="shared" si="18"/>
        <v>6315.84</v>
      </c>
      <c r="Q86" s="29">
        <f t="shared" si="19"/>
        <v>6315.84</v>
      </c>
      <c r="R86" s="29">
        <f t="shared" si="20"/>
        <v>0</v>
      </c>
    </row>
    <row r="87" spans="2:18" outlineLevel="1">
      <c r="B87">
        <v>35</v>
      </c>
      <c r="C87" t="s">
        <v>244</v>
      </c>
      <c r="D87">
        <v>2004</v>
      </c>
      <c r="E87">
        <v>2</v>
      </c>
      <c r="F87">
        <v>0</v>
      </c>
      <c r="G87" t="s">
        <v>78</v>
      </c>
      <c r="H87" s="5" t="s">
        <v>9</v>
      </c>
      <c r="I87">
        <f t="shared" si="12"/>
        <v>2014</v>
      </c>
      <c r="J87" s="4">
        <f t="shared" si="13"/>
        <v>2014.1666666666667</v>
      </c>
      <c r="K87" s="29">
        <v>15748.8</v>
      </c>
      <c r="L87" s="29">
        <f t="shared" si="14"/>
        <v>15748.8</v>
      </c>
      <c r="M87" s="29">
        <f t="shared" si="15"/>
        <v>131.23999999999998</v>
      </c>
      <c r="N87" s="29">
        <f t="shared" si="16"/>
        <v>1574.8799999999997</v>
      </c>
      <c r="O87" s="29">
        <f t="shared" si="17"/>
        <v>0</v>
      </c>
      <c r="P87" s="29">
        <f t="shared" si="18"/>
        <v>15748.8</v>
      </c>
      <c r="Q87" s="29">
        <f t="shared" si="19"/>
        <v>15748.8</v>
      </c>
      <c r="R87" s="29">
        <f t="shared" si="20"/>
        <v>0</v>
      </c>
    </row>
    <row r="88" spans="2:18" outlineLevel="1">
      <c r="B88">
        <v>35</v>
      </c>
      <c r="C88" t="s">
        <v>244</v>
      </c>
      <c r="D88">
        <v>2004</v>
      </c>
      <c r="E88">
        <v>3</v>
      </c>
      <c r="F88">
        <v>0</v>
      </c>
      <c r="G88" t="s">
        <v>78</v>
      </c>
      <c r="H88" s="5" t="s">
        <v>9</v>
      </c>
      <c r="I88">
        <f t="shared" si="12"/>
        <v>2014</v>
      </c>
      <c r="J88" s="4">
        <f t="shared" si="13"/>
        <v>2014.25</v>
      </c>
      <c r="K88" s="29">
        <v>16102.4</v>
      </c>
      <c r="L88" s="29">
        <f t="shared" si="14"/>
        <v>16102.4</v>
      </c>
      <c r="M88" s="29">
        <f t="shared" si="15"/>
        <v>134.18666666666667</v>
      </c>
      <c r="N88" s="29">
        <f t="shared" si="16"/>
        <v>1610.24</v>
      </c>
      <c r="O88" s="29">
        <f t="shared" si="17"/>
        <v>0</v>
      </c>
      <c r="P88" s="29">
        <f t="shared" si="18"/>
        <v>16102.4</v>
      </c>
      <c r="Q88" s="29">
        <f t="shared" si="19"/>
        <v>16102.4</v>
      </c>
      <c r="R88" s="29">
        <f t="shared" si="20"/>
        <v>0</v>
      </c>
    </row>
    <row r="89" spans="2:18" outlineLevel="1">
      <c r="B89">
        <v>9</v>
      </c>
      <c r="C89" t="s">
        <v>561</v>
      </c>
      <c r="D89">
        <v>2004</v>
      </c>
      <c r="E89">
        <v>2</v>
      </c>
      <c r="F89">
        <v>0</v>
      </c>
      <c r="G89" t="s">
        <v>78</v>
      </c>
      <c r="H89" s="5" t="s">
        <v>9</v>
      </c>
      <c r="I89">
        <f t="shared" si="12"/>
        <v>2014</v>
      </c>
      <c r="K89" s="29">
        <v>4297.6000000000004</v>
      </c>
      <c r="L89" s="29">
        <f t="shared" si="14"/>
        <v>4297.6000000000004</v>
      </c>
      <c r="M89" s="29">
        <f t="shared" si="15"/>
        <v>35.81333333333334</v>
      </c>
      <c r="N89" s="29">
        <f t="shared" si="16"/>
        <v>429.7600000000001</v>
      </c>
      <c r="O89" s="29">
        <f t="shared" si="17"/>
        <v>0</v>
      </c>
      <c r="P89" s="29">
        <f t="shared" si="18"/>
        <v>4297.6000000000004</v>
      </c>
      <c r="Q89" s="29">
        <f t="shared" si="19"/>
        <v>4297.6000000000004</v>
      </c>
      <c r="R89" s="29">
        <f t="shared" si="20"/>
        <v>0</v>
      </c>
    </row>
    <row r="90" spans="2:18" outlineLevel="1">
      <c r="B90">
        <v>51</v>
      </c>
      <c r="C90" t="s">
        <v>561</v>
      </c>
      <c r="D90">
        <v>2004</v>
      </c>
      <c r="E90">
        <v>9</v>
      </c>
      <c r="F90">
        <v>0</v>
      </c>
      <c r="G90" t="s">
        <v>78</v>
      </c>
      <c r="H90" s="5" t="s">
        <v>9</v>
      </c>
      <c r="I90">
        <f t="shared" si="12"/>
        <v>2014</v>
      </c>
      <c r="K90" s="29">
        <v>23120</v>
      </c>
      <c r="L90" s="29">
        <f t="shared" si="14"/>
        <v>23120</v>
      </c>
      <c r="M90" s="29">
        <f t="shared" si="15"/>
        <v>192.66666666666666</v>
      </c>
      <c r="N90" s="29">
        <f t="shared" si="16"/>
        <v>2312</v>
      </c>
      <c r="O90" s="29">
        <f t="shared" si="17"/>
        <v>0</v>
      </c>
      <c r="P90" s="29">
        <f t="shared" si="18"/>
        <v>23120</v>
      </c>
      <c r="Q90" s="29">
        <f t="shared" si="19"/>
        <v>23120</v>
      </c>
      <c r="R90" s="29">
        <f t="shared" si="20"/>
        <v>0</v>
      </c>
    </row>
    <row r="91" spans="2:18" outlineLevel="1">
      <c r="B91">
        <v>17</v>
      </c>
      <c r="C91" t="s">
        <v>279</v>
      </c>
      <c r="D91">
        <v>2005</v>
      </c>
      <c r="E91">
        <v>3</v>
      </c>
      <c r="F91">
        <v>0</v>
      </c>
      <c r="G91" t="s">
        <v>78</v>
      </c>
      <c r="H91" s="5" t="s">
        <v>9</v>
      </c>
      <c r="I91">
        <f t="shared" si="12"/>
        <v>2015</v>
      </c>
      <c r="J91" s="4">
        <f t="shared" ref="J91:J98" si="21">+I91+(E91/12)</f>
        <v>2015.25</v>
      </c>
      <c r="K91" s="29">
        <v>4906.88</v>
      </c>
      <c r="L91" s="29">
        <f t="shared" si="14"/>
        <v>4906.88</v>
      </c>
      <c r="M91" s="29">
        <f t="shared" si="15"/>
        <v>40.890666666666668</v>
      </c>
      <c r="N91" s="29">
        <f t="shared" si="16"/>
        <v>490.68799999999999</v>
      </c>
      <c r="O91" s="29">
        <f t="shared" si="17"/>
        <v>0</v>
      </c>
      <c r="P91" s="29">
        <f t="shared" si="18"/>
        <v>4906.88</v>
      </c>
      <c r="Q91" s="29">
        <f t="shared" si="19"/>
        <v>4906.88</v>
      </c>
      <c r="R91" s="29">
        <f t="shared" si="20"/>
        <v>0</v>
      </c>
    </row>
    <row r="92" spans="2:18" outlineLevel="1">
      <c r="B92">
        <v>17</v>
      </c>
      <c r="C92" t="s">
        <v>279</v>
      </c>
      <c r="D92">
        <v>2005</v>
      </c>
      <c r="E92">
        <v>7</v>
      </c>
      <c r="F92">
        <v>0</v>
      </c>
      <c r="G92" t="s">
        <v>78</v>
      </c>
      <c r="H92" s="5" t="s">
        <v>9</v>
      </c>
      <c r="I92">
        <f t="shared" si="12"/>
        <v>2015</v>
      </c>
      <c r="J92" s="4">
        <f t="shared" si="21"/>
        <v>2015.5833333333333</v>
      </c>
      <c r="K92" s="29">
        <v>4906.88</v>
      </c>
      <c r="L92" s="29">
        <f t="shared" si="14"/>
        <v>4906.88</v>
      </c>
      <c r="M92" s="29">
        <f t="shared" si="15"/>
        <v>40.890666666666668</v>
      </c>
      <c r="N92" s="29">
        <f t="shared" si="16"/>
        <v>490.68799999999999</v>
      </c>
      <c r="O92" s="29">
        <f t="shared" si="17"/>
        <v>0</v>
      </c>
      <c r="P92" s="29">
        <f t="shared" si="18"/>
        <v>4906.88</v>
      </c>
      <c r="Q92" s="29">
        <f t="shared" si="19"/>
        <v>4906.88</v>
      </c>
      <c r="R92" s="29">
        <f t="shared" si="20"/>
        <v>0</v>
      </c>
    </row>
    <row r="93" spans="2:18" outlineLevel="1">
      <c r="B93">
        <v>37</v>
      </c>
      <c r="C93" t="s">
        <v>230</v>
      </c>
      <c r="D93">
        <v>2005</v>
      </c>
      <c r="E93">
        <v>6</v>
      </c>
      <c r="F93">
        <v>0</v>
      </c>
      <c r="G93" t="s">
        <v>78</v>
      </c>
      <c r="H93" s="5" t="s">
        <v>9</v>
      </c>
      <c r="I93">
        <f t="shared" si="12"/>
        <v>2015</v>
      </c>
      <c r="J93" s="4">
        <f t="shared" si="21"/>
        <v>2015.5</v>
      </c>
      <c r="K93" s="29">
        <v>12620.8</v>
      </c>
      <c r="L93" s="29">
        <f t="shared" si="14"/>
        <v>12620.8</v>
      </c>
      <c r="M93" s="29">
        <f t="shared" si="15"/>
        <v>105.17333333333333</v>
      </c>
      <c r="N93" s="29">
        <f t="shared" si="16"/>
        <v>1262.08</v>
      </c>
      <c r="O93" s="29">
        <f t="shared" si="17"/>
        <v>0</v>
      </c>
      <c r="P93" s="29">
        <f t="shared" si="18"/>
        <v>12620.8</v>
      </c>
      <c r="Q93" s="29">
        <f t="shared" si="19"/>
        <v>12620.8</v>
      </c>
      <c r="R93" s="29">
        <f t="shared" si="20"/>
        <v>0</v>
      </c>
    </row>
    <row r="94" spans="2:18" outlineLevel="1">
      <c r="B94">
        <v>61</v>
      </c>
      <c r="C94" t="s">
        <v>260</v>
      </c>
      <c r="D94">
        <v>2005</v>
      </c>
      <c r="E94">
        <v>2</v>
      </c>
      <c r="F94">
        <v>0</v>
      </c>
      <c r="G94" t="s">
        <v>78</v>
      </c>
      <c r="H94" s="5" t="s">
        <v>9</v>
      </c>
      <c r="I94">
        <f t="shared" si="12"/>
        <v>2015</v>
      </c>
      <c r="J94" s="4">
        <f t="shared" si="21"/>
        <v>2015.1666666666667</v>
      </c>
      <c r="K94" s="29">
        <v>22991.62</v>
      </c>
      <c r="L94" s="29">
        <f t="shared" si="14"/>
        <v>22991.62</v>
      </c>
      <c r="M94" s="29">
        <f t="shared" si="15"/>
        <v>191.59683333333331</v>
      </c>
      <c r="N94" s="29">
        <f t="shared" si="16"/>
        <v>2299.1619999999998</v>
      </c>
      <c r="O94" s="29">
        <f t="shared" si="17"/>
        <v>0</v>
      </c>
      <c r="P94" s="29">
        <f t="shared" si="18"/>
        <v>22991.62</v>
      </c>
      <c r="Q94" s="29">
        <f t="shared" si="19"/>
        <v>22991.62</v>
      </c>
      <c r="R94" s="29">
        <f t="shared" si="20"/>
        <v>0</v>
      </c>
    </row>
    <row r="95" spans="2:18" outlineLevel="1">
      <c r="B95">
        <v>17</v>
      </c>
      <c r="C95" t="s">
        <v>260</v>
      </c>
      <c r="D95">
        <v>2005</v>
      </c>
      <c r="E95">
        <v>3</v>
      </c>
      <c r="F95">
        <v>0</v>
      </c>
      <c r="G95" t="s">
        <v>78</v>
      </c>
      <c r="H95" s="5" t="s">
        <v>9</v>
      </c>
      <c r="I95">
        <f t="shared" si="12"/>
        <v>2015</v>
      </c>
      <c r="J95" s="4">
        <f t="shared" si="21"/>
        <v>2015.25</v>
      </c>
      <c r="K95" s="29">
        <v>6190.72</v>
      </c>
      <c r="L95" s="29">
        <f t="shared" si="14"/>
        <v>6190.72</v>
      </c>
      <c r="M95" s="29">
        <f t="shared" si="15"/>
        <v>51.589333333333336</v>
      </c>
      <c r="N95" s="29">
        <f t="shared" si="16"/>
        <v>619.072</v>
      </c>
      <c r="O95" s="29">
        <f t="shared" si="17"/>
        <v>0</v>
      </c>
      <c r="P95" s="29">
        <f t="shared" si="18"/>
        <v>6190.72</v>
      </c>
      <c r="Q95" s="29">
        <f t="shared" si="19"/>
        <v>6190.72</v>
      </c>
      <c r="R95" s="29">
        <f t="shared" si="20"/>
        <v>0</v>
      </c>
    </row>
    <row r="96" spans="2:18" outlineLevel="1">
      <c r="B96">
        <v>17</v>
      </c>
      <c r="C96" t="s">
        <v>260</v>
      </c>
      <c r="D96">
        <v>2005</v>
      </c>
      <c r="E96">
        <v>10</v>
      </c>
      <c r="F96">
        <v>0</v>
      </c>
      <c r="G96" t="s">
        <v>78</v>
      </c>
      <c r="H96" s="5" t="s">
        <v>9</v>
      </c>
      <c r="I96">
        <f t="shared" si="12"/>
        <v>2015</v>
      </c>
      <c r="J96" s="4">
        <f t="shared" si="21"/>
        <v>2015.8333333333333</v>
      </c>
      <c r="K96" s="29">
        <v>6245.12</v>
      </c>
      <c r="L96" s="29">
        <f t="shared" si="14"/>
        <v>6245.12</v>
      </c>
      <c r="M96" s="29">
        <f t="shared" si="15"/>
        <v>52.042666666666662</v>
      </c>
      <c r="N96" s="29">
        <f t="shared" si="16"/>
        <v>624.51199999999994</v>
      </c>
      <c r="O96" s="29">
        <f t="shared" si="17"/>
        <v>0</v>
      </c>
      <c r="P96" s="29">
        <f t="shared" si="18"/>
        <v>6245.12</v>
      </c>
      <c r="Q96" s="29">
        <f t="shared" si="19"/>
        <v>6245.12</v>
      </c>
      <c r="R96" s="29">
        <f t="shared" si="20"/>
        <v>0</v>
      </c>
    </row>
    <row r="97" spans="2:18" outlineLevel="1">
      <c r="B97">
        <v>2</v>
      </c>
      <c r="C97" t="s">
        <v>260</v>
      </c>
      <c r="D97">
        <v>2005</v>
      </c>
      <c r="E97">
        <v>11</v>
      </c>
      <c r="F97">
        <v>0</v>
      </c>
      <c r="G97" t="s">
        <v>78</v>
      </c>
      <c r="H97" s="5" t="s">
        <v>9</v>
      </c>
      <c r="I97">
        <f t="shared" si="12"/>
        <v>2015</v>
      </c>
      <c r="J97" s="4">
        <f t="shared" si="21"/>
        <v>2015.9166666666667</v>
      </c>
      <c r="K97" s="29">
        <v>4624</v>
      </c>
      <c r="L97" s="29">
        <f t="shared" si="14"/>
        <v>4624</v>
      </c>
      <c r="M97" s="29">
        <f t="shared" si="15"/>
        <v>38.533333333333331</v>
      </c>
      <c r="N97" s="29">
        <f t="shared" si="16"/>
        <v>462.4</v>
      </c>
      <c r="O97" s="29">
        <f t="shared" si="17"/>
        <v>0</v>
      </c>
      <c r="P97" s="29">
        <f t="shared" si="18"/>
        <v>4624</v>
      </c>
      <c r="Q97" s="29">
        <f t="shared" si="19"/>
        <v>4624</v>
      </c>
      <c r="R97" s="29">
        <f t="shared" si="20"/>
        <v>0</v>
      </c>
    </row>
    <row r="98" spans="2:18" outlineLevel="1">
      <c r="B98">
        <v>19</v>
      </c>
      <c r="C98" t="s">
        <v>23</v>
      </c>
      <c r="D98">
        <v>2005</v>
      </c>
      <c r="E98">
        <v>4</v>
      </c>
      <c r="F98">
        <v>0</v>
      </c>
      <c r="G98" t="s">
        <v>78</v>
      </c>
      <c r="H98" s="5" t="s">
        <v>9</v>
      </c>
      <c r="I98">
        <f t="shared" si="12"/>
        <v>2015</v>
      </c>
      <c r="J98" s="4">
        <f t="shared" si="21"/>
        <v>2015.3333333333333</v>
      </c>
      <c r="K98" s="29">
        <v>8160</v>
      </c>
      <c r="L98" s="29">
        <f t="shared" si="14"/>
        <v>8160</v>
      </c>
      <c r="M98" s="29">
        <f t="shared" si="15"/>
        <v>68</v>
      </c>
      <c r="N98" s="29">
        <f t="shared" si="16"/>
        <v>816</v>
      </c>
      <c r="O98" s="29">
        <f t="shared" si="17"/>
        <v>0</v>
      </c>
      <c r="P98" s="29">
        <f t="shared" si="18"/>
        <v>8160</v>
      </c>
      <c r="Q98" s="29">
        <f t="shared" si="19"/>
        <v>8160</v>
      </c>
      <c r="R98" s="29">
        <f t="shared" si="20"/>
        <v>0</v>
      </c>
    </row>
    <row r="99" spans="2:18" outlineLevel="1">
      <c r="B99">
        <v>20</v>
      </c>
      <c r="C99" t="s">
        <v>561</v>
      </c>
      <c r="D99">
        <v>2005</v>
      </c>
      <c r="E99">
        <v>2</v>
      </c>
      <c r="F99">
        <v>0</v>
      </c>
      <c r="G99" t="s">
        <v>78</v>
      </c>
      <c r="H99" s="5" t="s">
        <v>9</v>
      </c>
      <c r="I99">
        <f t="shared" si="12"/>
        <v>2015</v>
      </c>
      <c r="K99" s="29">
        <v>8997.76</v>
      </c>
      <c r="L99" s="29">
        <f t="shared" si="14"/>
        <v>8997.76</v>
      </c>
      <c r="M99" s="29">
        <f t="shared" si="15"/>
        <v>74.981333333333339</v>
      </c>
      <c r="N99" s="29">
        <f t="shared" si="16"/>
        <v>899.77600000000007</v>
      </c>
      <c r="O99" s="29">
        <f t="shared" si="17"/>
        <v>0</v>
      </c>
      <c r="P99" s="29">
        <f t="shared" si="18"/>
        <v>8997.76</v>
      </c>
      <c r="Q99" s="29">
        <f t="shared" si="19"/>
        <v>8997.76</v>
      </c>
      <c r="R99" s="29">
        <f t="shared" si="20"/>
        <v>0</v>
      </c>
    </row>
    <row r="100" spans="2:18" outlineLevel="1">
      <c r="B100">
        <v>40</v>
      </c>
      <c r="C100" t="s">
        <v>279</v>
      </c>
      <c r="D100">
        <v>2006</v>
      </c>
      <c r="E100">
        <v>1</v>
      </c>
      <c r="F100">
        <v>0</v>
      </c>
      <c r="G100" t="s">
        <v>78</v>
      </c>
      <c r="H100" s="5" t="s">
        <v>9</v>
      </c>
      <c r="I100">
        <f t="shared" si="12"/>
        <v>2016</v>
      </c>
      <c r="J100" s="4">
        <f>+I100+(E100/12)</f>
        <v>2016.0833333333333</v>
      </c>
      <c r="K100" s="29">
        <v>11332.6</v>
      </c>
      <c r="L100" s="29">
        <f t="shared" si="14"/>
        <v>11332.6</v>
      </c>
      <c r="M100" s="29">
        <f t="shared" si="15"/>
        <v>94.438333333333333</v>
      </c>
      <c r="N100" s="29">
        <f t="shared" si="16"/>
        <v>1133.26</v>
      </c>
      <c r="O100" s="29">
        <f t="shared" si="17"/>
        <v>0</v>
      </c>
      <c r="P100" s="29">
        <f t="shared" si="18"/>
        <v>11332.6</v>
      </c>
      <c r="Q100" s="29">
        <f t="shared" si="19"/>
        <v>11332.6</v>
      </c>
      <c r="R100" s="29">
        <f t="shared" si="20"/>
        <v>0</v>
      </c>
    </row>
    <row r="101" spans="2:18" outlineLevel="1">
      <c r="B101">
        <v>33</v>
      </c>
      <c r="C101" t="s">
        <v>190</v>
      </c>
      <c r="D101">
        <v>2006</v>
      </c>
      <c r="E101">
        <v>10</v>
      </c>
      <c r="F101">
        <v>0</v>
      </c>
      <c r="G101" t="s">
        <v>78</v>
      </c>
      <c r="H101" s="5" t="s">
        <v>9</v>
      </c>
      <c r="I101">
        <f t="shared" si="12"/>
        <v>2016</v>
      </c>
      <c r="J101" s="4">
        <f>+I101+(E101/12)</f>
        <v>2016.8333333333333</v>
      </c>
      <c r="K101" s="29">
        <v>9356.7999999999993</v>
      </c>
      <c r="L101" s="29">
        <f t="shared" si="14"/>
        <v>9356.7999999999993</v>
      </c>
      <c r="M101" s="29">
        <f t="shared" si="15"/>
        <v>77.973333333333329</v>
      </c>
      <c r="N101" s="29">
        <f t="shared" si="16"/>
        <v>935.68</v>
      </c>
      <c r="O101" s="29">
        <f t="shared" si="17"/>
        <v>0</v>
      </c>
      <c r="P101" s="29">
        <f t="shared" si="18"/>
        <v>9356.7999999999993</v>
      </c>
      <c r="Q101" s="29">
        <f t="shared" si="19"/>
        <v>9356.7999999999993</v>
      </c>
      <c r="R101" s="29">
        <f t="shared" si="20"/>
        <v>0</v>
      </c>
    </row>
    <row r="102" spans="2:18" outlineLevel="1">
      <c r="B102">
        <v>14</v>
      </c>
      <c r="C102" t="s">
        <v>561</v>
      </c>
      <c r="D102">
        <v>2006</v>
      </c>
      <c r="E102">
        <v>1</v>
      </c>
      <c r="F102">
        <v>0</v>
      </c>
      <c r="G102" t="s">
        <v>78</v>
      </c>
      <c r="H102" s="5" t="s">
        <v>9</v>
      </c>
      <c r="I102">
        <f t="shared" si="12"/>
        <v>2016</v>
      </c>
      <c r="K102" s="29">
        <v>5978.56</v>
      </c>
      <c r="L102" s="29">
        <f t="shared" si="14"/>
        <v>5978.56</v>
      </c>
      <c r="M102" s="29">
        <f t="shared" si="15"/>
        <v>49.821333333333335</v>
      </c>
      <c r="N102" s="29">
        <f t="shared" si="16"/>
        <v>597.85599999999999</v>
      </c>
      <c r="O102" s="29">
        <f t="shared" si="17"/>
        <v>0</v>
      </c>
      <c r="P102" s="29">
        <f t="shared" si="18"/>
        <v>5978.56</v>
      </c>
      <c r="Q102" s="29">
        <f t="shared" si="19"/>
        <v>5978.56</v>
      </c>
      <c r="R102" s="29">
        <f t="shared" si="20"/>
        <v>0</v>
      </c>
    </row>
    <row r="103" spans="2:18" outlineLevel="1">
      <c r="B103">
        <v>21</v>
      </c>
      <c r="C103" t="s">
        <v>561</v>
      </c>
      <c r="D103">
        <v>2006</v>
      </c>
      <c r="E103">
        <v>5</v>
      </c>
      <c r="F103">
        <v>0</v>
      </c>
      <c r="G103" t="s">
        <v>78</v>
      </c>
      <c r="H103" s="5" t="s">
        <v>9</v>
      </c>
      <c r="I103">
        <f t="shared" si="12"/>
        <v>2016</v>
      </c>
      <c r="K103" s="29">
        <v>9683.2000000000007</v>
      </c>
      <c r="L103" s="29">
        <f t="shared" si="14"/>
        <v>9683.2000000000007</v>
      </c>
      <c r="M103" s="29">
        <f t="shared" si="15"/>
        <v>80.693333333333342</v>
      </c>
      <c r="N103" s="29">
        <f t="shared" si="16"/>
        <v>968.32000000000016</v>
      </c>
      <c r="O103" s="29">
        <f t="shared" si="17"/>
        <v>0</v>
      </c>
      <c r="P103" s="29">
        <f t="shared" si="18"/>
        <v>9683.2000000000007</v>
      </c>
      <c r="Q103" s="29">
        <f t="shared" si="19"/>
        <v>9683.2000000000007</v>
      </c>
      <c r="R103" s="29">
        <f t="shared" si="20"/>
        <v>0</v>
      </c>
    </row>
    <row r="104" spans="2:18" outlineLevel="1">
      <c r="B104">
        <v>46</v>
      </c>
      <c r="C104" t="s">
        <v>561</v>
      </c>
      <c r="D104">
        <v>2006</v>
      </c>
      <c r="E104">
        <v>6</v>
      </c>
      <c r="F104">
        <v>0</v>
      </c>
      <c r="G104" t="s">
        <v>78</v>
      </c>
      <c r="H104" s="5" t="s">
        <v>9</v>
      </c>
      <c r="I104">
        <f t="shared" si="12"/>
        <v>2016</v>
      </c>
      <c r="K104" s="29">
        <v>20704.64</v>
      </c>
      <c r="L104" s="29">
        <f t="shared" si="14"/>
        <v>20704.64</v>
      </c>
      <c r="M104" s="29">
        <f t="shared" si="15"/>
        <v>172.53866666666667</v>
      </c>
      <c r="N104" s="29">
        <f t="shared" si="16"/>
        <v>2070.4639999999999</v>
      </c>
      <c r="O104" s="29">
        <f t="shared" si="17"/>
        <v>0</v>
      </c>
      <c r="P104" s="29">
        <f t="shared" si="18"/>
        <v>20704.64</v>
      </c>
      <c r="Q104" s="29">
        <f t="shared" si="19"/>
        <v>20704.64</v>
      </c>
      <c r="R104" s="29">
        <f t="shared" si="20"/>
        <v>0</v>
      </c>
    </row>
    <row r="105" spans="2:18" outlineLevel="1">
      <c r="B105">
        <v>0</v>
      </c>
      <c r="C105" t="s">
        <v>562</v>
      </c>
      <c r="D105">
        <v>2006</v>
      </c>
      <c r="E105">
        <v>9</v>
      </c>
      <c r="F105">
        <v>0</v>
      </c>
      <c r="G105" t="s">
        <v>78</v>
      </c>
      <c r="H105" s="5" t="s">
        <v>9</v>
      </c>
      <c r="I105">
        <f t="shared" si="12"/>
        <v>2016</v>
      </c>
      <c r="K105" s="29">
        <v>1784.32</v>
      </c>
      <c r="L105" s="29">
        <f t="shared" si="14"/>
        <v>1784.32</v>
      </c>
      <c r="M105" s="29">
        <f t="shared" si="15"/>
        <v>14.869333333333332</v>
      </c>
      <c r="N105" s="29">
        <f t="shared" si="16"/>
        <v>178.43199999999999</v>
      </c>
      <c r="O105" s="29">
        <f t="shared" si="17"/>
        <v>0</v>
      </c>
      <c r="P105" s="29">
        <f t="shared" si="18"/>
        <v>1784.32</v>
      </c>
      <c r="Q105" s="29">
        <f t="shared" si="19"/>
        <v>1784.32</v>
      </c>
      <c r="R105" s="29">
        <f t="shared" si="20"/>
        <v>0</v>
      </c>
    </row>
    <row r="106" spans="2:18" outlineLevel="1">
      <c r="B106">
        <v>21</v>
      </c>
      <c r="C106" t="s">
        <v>279</v>
      </c>
      <c r="D106">
        <v>2007</v>
      </c>
      <c r="E106">
        <v>9</v>
      </c>
      <c r="F106">
        <v>0</v>
      </c>
      <c r="G106" t="s">
        <v>78</v>
      </c>
      <c r="H106" s="5" t="s">
        <v>9</v>
      </c>
      <c r="I106">
        <f t="shared" si="12"/>
        <v>2017</v>
      </c>
      <c r="J106" s="4">
        <f>+I106+(E106/12)</f>
        <v>2017.75</v>
      </c>
      <c r="K106" s="29">
        <v>5880.6</v>
      </c>
      <c r="L106" s="29">
        <f t="shared" si="14"/>
        <v>5880.6</v>
      </c>
      <c r="M106" s="29">
        <f t="shared" si="15"/>
        <v>49.005000000000003</v>
      </c>
      <c r="N106" s="29">
        <f t="shared" si="16"/>
        <v>588.06000000000006</v>
      </c>
      <c r="O106" s="29">
        <f t="shared" si="17"/>
        <v>0</v>
      </c>
      <c r="P106" s="29">
        <f t="shared" si="18"/>
        <v>5880.6</v>
      </c>
      <c r="Q106" s="29">
        <f t="shared" si="19"/>
        <v>5880.6</v>
      </c>
      <c r="R106" s="29">
        <f t="shared" si="20"/>
        <v>0</v>
      </c>
    </row>
    <row r="107" spans="2:18" outlineLevel="1">
      <c r="B107">
        <v>34</v>
      </c>
      <c r="C107" t="s">
        <v>230</v>
      </c>
      <c r="D107">
        <v>2007</v>
      </c>
      <c r="E107">
        <v>6</v>
      </c>
      <c r="F107">
        <v>0</v>
      </c>
      <c r="G107" t="s">
        <v>78</v>
      </c>
      <c r="H107" s="5" t="s">
        <v>9</v>
      </c>
      <c r="I107">
        <f t="shared" si="12"/>
        <v>2017</v>
      </c>
      <c r="J107" s="4">
        <f>+I107+(E107/12)</f>
        <v>2017.5</v>
      </c>
      <c r="K107" s="29">
        <v>11412.73</v>
      </c>
      <c r="L107" s="29">
        <f t="shared" si="14"/>
        <v>11412.73</v>
      </c>
      <c r="M107" s="29">
        <f t="shared" si="15"/>
        <v>95.106083333333331</v>
      </c>
      <c r="N107" s="29">
        <f t="shared" si="16"/>
        <v>1141.2729999999999</v>
      </c>
      <c r="O107" s="29">
        <f t="shared" si="17"/>
        <v>0</v>
      </c>
      <c r="P107" s="29">
        <f t="shared" si="18"/>
        <v>11412.73</v>
      </c>
      <c r="Q107" s="29">
        <f t="shared" si="19"/>
        <v>11412.73</v>
      </c>
      <c r="R107" s="29">
        <f t="shared" si="20"/>
        <v>0</v>
      </c>
    </row>
    <row r="108" spans="2:18" outlineLevel="1">
      <c r="B108">
        <v>17</v>
      </c>
      <c r="C108" t="s">
        <v>260</v>
      </c>
      <c r="D108">
        <v>2007</v>
      </c>
      <c r="E108">
        <v>8</v>
      </c>
      <c r="F108">
        <v>0</v>
      </c>
      <c r="G108" t="s">
        <v>78</v>
      </c>
      <c r="H108" s="5" t="s">
        <v>9</v>
      </c>
      <c r="I108">
        <f t="shared" si="12"/>
        <v>2017</v>
      </c>
      <c r="J108" s="4">
        <f>+I108+(E108/12)</f>
        <v>2017.6666666666667</v>
      </c>
      <c r="K108" s="29">
        <v>6337.98</v>
      </c>
      <c r="L108" s="29">
        <f t="shared" si="14"/>
        <v>6337.98</v>
      </c>
      <c r="M108" s="29">
        <f t="shared" si="15"/>
        <v>52.816499999999998</v>
      </c>
      <c r="N108" s="29">
        <f t="shared" si="16"/>
        <v>633.798</v>
      </c>
      <c r="O108" s="29">
        <f t="shared" si="17"/>
        <v>0</v>
      </c>
      <c r="P108" s="29">
        <f t="shared" si="18"/>
        <v>6337.98</v>
      </c>
      <c r="Q108" s="29">
        <f t="shared" si="19"/>
        <v>6337.98</v>
      </c>
      <c r="R108" s="29">
        <f t="shared" si="20"/>
        <v>0</v>
      </c>
    </row>
    <row r="109" spans="2:18" outlineLevel="1">
      <c r="B109">
        <v>20</v>
      </c>
      <c r="C109" t="s">
        <v>561</v>
      </c>
      <c r="D109">
        <v>2007</v>
      </c>
      <c r="E109">
        <v>5</v>
      </c>
      <c r="F109">
        <v>0</v>
      </c>
      <c r="G109" t="s">
        <v>78</v>
      </c>
      <c r="H109" s="5" t="s">
        <v>9</v>
      </c>
      <c r="I109">
        <f t="shared" ref="I109:I139" si="22">D109+H109</f>
        <v>2017</v>
      </c>
      <c r="K109" s="29">
        <v>8548.66</v>
      </c>
      <c r="L109" s="29">
        <f t="shared" ref="L109:L139" si="23">K109-K109*F109</f>
        <v>8548.66</v>
      </c>
      <c r="M109" s="29">
        <f t="shared" si="15"/>
        <v>71.238833333333332</v>
      </c>
      <c r="N109" s="29">
        <f t="shared" si="16"/>
        <v>854.86599999999999</v>
      </c>
      <c r="O109" s="29">
        <f t="shared" si="17"/>
        <v>0</v>
      </c>
      <c r="P109" s="29">
        <f t="shared" si="18"/>
        <v>8548.66</v>
      </c>
      <c r="Q109" s="29">
        <f t="shared" si="19"/>
        <v>8548.66</v>
      </c>
      <c r="R109" s="29">
        <f t="shared" si="20"/>
        <v>0</v>
      </c>
    </row>
    <row r="110" spans="2:18" outlineLevel="1">
      <c r="B110">
        <v>24</v>
      </c>
      <c r="C110" t="s">
        <v>561</v>
      </c>
      <c r="D110">
        <v>2007</v>
      </c>
      <c r="E110">
        <v>6</v>
      </c>
      <c r="F110">
        <v>0</v>
      </c>
      <c r="G110" t="s">
        <v>78</v>
      </c>
      <c r="H110" s="5" t="s">
        <v>9</v>
      </c>
      <c r="I110">
        <f t="shared" si="22"/>
        <v>2017</v>
      </c>
      <c r="K110" s="29">
        <v>10721.21</v>
      </c>
      <c r="L110" s="29">
        <f t="shared" si="23"/>
        <v>10721.21</v>
      </c>
      <c r="M110" s="29">
        <f t="shared" si="15"/>
        <v>89.343416666666656</v>
      </c>
      <c r="N110" s="29">
        <f t="shared" si="16"/>
        <v>1072.1209999999999</v>
      </c>
      <c r="O110" s="29">
        <f t="shared" si="17"/>
        <v>0</v>
      </c>
      <c r="P110" s="29">
        <f t="shared" si="18"/>
        <v>10721.21</v>
      </c>
      <c r="Q110" s="29">
        <f t="shared" si="19"/>
        <v>10721.21</v>
      </c>
      <c r="R110" s="29">
        <f t="shared" si="20"/>
        <v>0</v>
      </c>
    </row>
    <row r="111" spans="2:18" outlineLevel="1">
      <c r="B111">
        <v>29</v>
      </c>
      <c r="C111" t="s">
        <v>561</v>
      </c>
      <c r="D111">
        <v>2007</v>
      </c>
      <c r="E111">
        <v>9</v>
      </c>
      <c r="F111">
        <v>0</v>
      </c>
      <c r="G111" t="s">
        <v>78</v>
      </c>
      <c r="H111" s="5" t="s">
        <v>9</v>
      </c>
      <c r="I111">
        <f t="shared" si="22"/>
        <v>2017</v>
      </c>
      <c r="K111" s="29">
        <v>13081.07</v>
      </c>
      <c r="L111" s="29">
        <f t="shared" si="23"/>
        <v>13081.07</v>
      </c>
      <c r="M111" s="29">
        <f t="shared" si="15"/>
        <v>109.00891666666666</v>
      </c>
      <c r="N111" s="29">
        <f t="shared" si="16"/>
        <v>1308.107</v>
      </c>
      <c r="O111" s="29">
        <f t="shared" si="17"/>
        <v>0</v>
      </c>
      <c r="P111" s="29">
        <f t="shared" si="18"/>
        <v>13081.07</v>
      </c>
      <c r="Q111" s="29">
        <f t="shared" si="19"/>
        <v>13081.07</v>
      </c>
      <c r="R111" s="29">
        <f t="shared" si="20"/>
        <v>0</v>
      </c>
    </row>
    <row r="112" spans="2:18" outlineLevel="1">
      <c r="B112">
        <v>21</v>
      </c>
      <c r="C112" t="s">
        <v>561</v>
      </c>
      <c r="D112">
        <v>2007</v>
      </c>
      <c r="E112">
        <v>10</v>
      </c>
      <c r="F112">
        <v>0</v>
      </c>
      <c r="G112" t="s">
        <v>78</v>
      </c>
      <c r="H112" s="5" t="s">
        <v>9</v>
      </c>
      <c r="I112">
        <f t="shared" si="22"/>
        <v>2017</v>
      </c>
      <c r="K112" s="29">
        <v>9746.5499999999993</v>
      </c>
      <c r="L112" s="29">
        <f t="shared" si="23"/>
        <v>9746.5499999999993</v>
      </c>
      <c r="M112" s="29">
        <f t="shared" si="15"/>
        <v>81.221249999999998</v>
      </c>
      <c r="N112" s="29">
        <f t="shared" si="16"/>
        <v>974.65499999999997</v>
      </c>
      <c r="O112" s="29">
        <f t="shared" si="17"/>
        <v>0</v>
      </c>
      <c r="P112" s="29">
        <f t="shared" si="18"/>
        <v>9746.5499999999993</v>
      </c>
      <c r="Q112" s="29">
        <f t="shared" si="19"/>
        <v>9746.5499999999993</v>
      </c>
      <c r="R112" s="29">
        <f t="shared" si="20"/>
        <v>0</v>
      </c>
    </row>
    <row r="113" spans="1:18" outlineLevel="1">
      <c r="A113" s="44">
        <v>200572</v>
      </c>
      <c r="B113">
        <v>99</v>
      </c>
      <c r="C113" t="s">
        <v>613</v>
      </c>
      <c r="D113">
        <v>2008</v>
      </c>
      <c r="E113">
        <v>11</v>
      </c>
      <c r="F113">
        <v>0</v>
      </c>
      <c r="G113" t="s">
        <v>78</v>
      </c>
      <c r="H113" s="5">
        <v>12</v>
      </c>
      <c r="I113">
        <f>D113+H113</f>
        <v>2020</v>
      </c>
      <c r="J113" s="4">
        <f>+I113+(E113/12)</f>
        <v>2020.9166666666667</v>
      </c>
      <c r="K113" s="29">
        <v>13825.35</v>
      </c>
      <c r="L113" s="29">
        <f>K113-K113*F113</f>
        <v>13825.35</v>
      </c>
      <c r="M113" s="29">
        <f t="shared" si="15"/>
        <v>96.009374999999991</v>
      </c>
      <c r="N113" s="29">
        <f t="shared" si="16"/>
        <v>1152.1125</v>
      </c>
      <c r="O113" s="29">
        <f t="shared" si="17"/>
        <v>0</v>
      </c>
      <c r="P113" s="29">
        <f t="shared" si="18"/>
        <v>13825.35</v>
      </c>
      <c r="Q113" s="29">
        <f t="shared" si="19"/>
        <v>13825.35</v>
      </c>
      <c r="R113" s="29">
        <f t="shared" si="20"/>
        <v>0</v>
      </c>
    </row>
    <row r="114" spans="1:18" outlineLevel="1">
      <c r="B114">
        <v>17</v>
      </c>
      <c r="C114" t="s">
        <v>279</v>
      </c>
      <c r="D114">
        <v>2008</v>
      </c>
      <c r="E114">
        <v>1</v>
      </c>
      <c r="F114">
        <v>0</v>
      </c>
      <c r="G114" t="s">
        <v>78</v>
      </c>
      <c r="H114" s="5" t="s">
        <v>9</v>
      </c>
      <c r="I114">
        <f t="shared" si="22"/>
        <v>2018</v>
      </c>
      <c r="J114" s="4">
        <f>+I114+(E114/12)</f>
        <v>2018.0833333333333</v>
      </c>
      <c r="K114" s="29">
        <v>4900.5</v>
      </c>
      <c r="L114" s="29">
        <f t="shared" si="23"/>
        <v>4900.5</v>
      </c>
      <c r="M114" s="29">
        <f t="shared" si="15"/>
        <v>40.837499999999999</v>
      </c>
      <c r="N114" s="29">
        <f t="shared" si="16"/>
        <v>490.04999999999995</v>
      </c>
      <c r="O114" s="29">
        <f t="shared" si="17"/>
        <v>0</v>
      </c>
      <c r="P114" s="29">
        <f t="shared" si="18"/>
        <v>4900.5</v>
      </c>
      <c r="Q114" s="29">
        <f t="shared" si="19"/>
        <v>4900.5</v>
      </c>
      <c r="R114" s="29">
        <f t="shared" si="20"/>
        <v>0</v>
      </c>
    </row>
    <row r="115" spans="1:18">
      <c r="O115" s="29">
        <f t="shared" si="17"/>
        <v>0</v>
      </c>
      <c r="Q115" s="29">
        <f t="shared" si="19"/>
        <v>0</v>
      </c>
    </row>
    <row r="116" spans="1:18" outlineLevel="1">
      <c r="B116">
        <v>54</v>
      </c>
      <c r="C116" t="s">
        <v>140</v>
      </c>
      <c r="D116">
        <v>2008</v>
      </c>
      <c r="E116">
        <v>8</v>
      </c>
      <c r="F116">
        <v>0</v>
      </c>
      <c r="G116" t="s">
        <v>78</v>
      </c>
      <c r="H116" s="5" t="s">
        <v>8</v>
      </c>
      <c r="I116">
        <f t="shared" si="22"/>
        <v>2013</v>
      </c>
      <c r="J116" s="4">
        <f>+I116+(E116/12)</f>
        <v>2013.6666666666667</v>
      </c>
      <c r="K116" s="29">
        <v>22064.639999999999</v>
      </c>
      <c r="L116" s="29">
        <f t="shared" si="23"/>
        <v>22064.639999999999</v>
      </c>
      <c r="M116" s="29">
        <f t="shared" si="15"/>
        <v>367.74399999999997</v>
      </c>
      <c r="N116" s="29">
        <f t="shared" si="16"/>
        <v>4412.9279999999999</v>
      </c>
      <c r="O116" s="29">
        <f t="shared" si="17"/>
        <v>0</v>
      </c>
      <c r="P116" s="29">
        <f t="shared" si="18"/>
        <v>22064.639999999999</v>
      </c>
      <c r="Q116" s="29">
        <f t="shared" si="19"/>
        <v>22064.639999999999</v>
      </c>
      <c r="R116" s="29">
        <f t="shared" si="20"/>
        <v>0</v>
      </c>
    </row>
    <row r="117" spans="1:18" ht="14.25" customHeight="1" outlineLevel="1">
      <c r="B117">
        <v>21</v>
      </c>
      <c r="C117" t="s">
        <v>560</v>
      </c>
      <c r="D117">
        <v>2008</v>
      </c>
      <c r="E117">
        <v>1</v>
      </c>
      <c r="F117">
        <v>0</v>
      </c>
      <c r="G117" t="s">
        <v>78</v>
      </c>
      <c r="H117" s="5" t="s">
        <v>9</v>
      </c>
      <c r="I117">
        <f t="shared" si="22"/>
        <v>2018</v>
      </c>
      <c r="K117" s="29">
        <v>9746.5499999999993</v>
      </c>
      <c r="L117" s="29">
        <f t="shared" si="23"/>
        <v>9746.5499999999993</v>
      </c>
      <c r="M117" s="29">
        <f t="shared" si="15"/>
        <v>81.221249999999998</v>
      </c>
      <c r="N117" s="29">
        <f t="shared" si="16"/>
        <v>974.65499999999997</v>
      </c>
      <c r="O117" s="29">
        <f t="shared" si="17"/>
        <v>0</v>
      </c>
      <c r="P117" s="29">
        <f t="shared" si="18"/>
        <v>9746.5499999999993</v>
      </c>
      <c r="Q117" s="29">
        <f t="shared" si="19"/>
        <v>9746.5499999999993</v>
      </c>
      <c r="R117" s="29">
        <f t="shared" si="20"/>
        <v>0</v>
      </c>
    </row>
    <row r="118" spans="1:18" outlineLevel="1">
      <c r="A118" s="44">
        <v>237935</v>
      </c>
      <c r="B118">
        <v>1</v>
      </c>
      <c r="C118" t="s">
        <v>847</v>
      </c>
      <c r="D118">
        <v>2008</v>
      </c>
      <c r="E118">
        <v>11</v>
      </c>
      <c r="F118">
        <v>0</v>
      </c>
      <c r="G118" t="s">
        <v>78</v>
      </c>
      <c r="H118" s="5">
        <v>12</v>
      </c>
      <c r="I118">
        <f>D118+H118</f>
        <v>2020</v>
      </c>
      <c r="J118" s="4">
        <f>+I118+(E118/12)</f>
        <v>2020.9166666666667</v>
      </c>
      <c r="K118" s="29">
        <v>274.99</v>
      </c>
      <c r="L118" s="29">
        <f>K118-K118*F118</f>
        <v>274.99</v>
      </c>
      <c r="M118" s="29">
        <f t="shared" si="15"/>
        <v>1.9096527777777779</v>
      </c>
      <c r="N118" s="29">
        <f t="shared" si="16"/>
        <v>22.915833333333335</v>
      </c>
      <c r="O118" s="29">
        <f t="shared" si="17"/>
        <v>0</v>
      </c>
      <c r="P118" s="29">
        <f t="shared" si="18"/>
        <v>274.99</v>
      </c>
      <c r="Q118" s="29">
        <f t="shared" si="19"/>
        <v>274.99</v>
      </c>
      <c r="R118" s="29">
        <f t="shared" si="20"/>
        <v>0</v>
      </c>
    </row>
    <row r="119" spans="1:18" outlineLevel="1">
      <c r="A119" s="44">
        <v>78223</v>
      </c>
      <c r="B119">
        <v>20</v>
      </c>
      <c r="C119" t="s">
        <v>403</v>
      </c>
      <c r="D119">
        <v>2010</v>
      </c>
      <c r="E119">
        <v>10</v>
      </c>
      <c r="F119">
        <v>0</v>
      </c>
      <c r="G119" t="s">
        <v>78</v>
      </c>
      <c r="H119" s="5">
        <v>10</v>
      </c>
      <c r="I119">
        <f t="shared" si="22"/>
        <v>2020</v>
      </c>
      <c r="J119" s="4">
        <f t="shared" ref="J119:J163" si="24">+I119+(E119/12)</f>
        <v>2020.8333333333333</v>
      </c>
      <c r="K119" s="29">
        <v>14298.63</v>
      </c>
      <c r="L119" s="29">
        <f t="shared" si="23"/>
        <v>14298.63</v>
      </c>
      <c r="M119" s="29">
        <f t="shared" si="15"/>
        <v>119.15524999999998</v>
      </c>
      <c r="N119" s="29">
        <f t="shared" si="16"/>
        <v>1429.8629999999998</v>
      </c>
      <c r="O119" s="29">
        <f t="shared" si="17"/>
        <v>0</v>
      </c>
      <c r="P119" s="29">
        <f t="shared" si="18"/>
        <v>14298.63</v>
      </c>
      <c r="Q119" s="29">
        <f t="shared" si="19"/>
        <v>14298.63</v>
      </c>
      <c r="R119" s="29">
        <f t="shared" si="20"/>
        <v>0</v>
      </c>
    </row>
    <row r="120" spans="1:18" outlineLevel="1">
      <c r="A120" s="44">
        <v>168615</v>
      </c>
      <c r="B120">
        <v>14</v>
      </c>
      <c r="C120" t="s">
        <v>178</v>
      </c>
      <c r="D120">
        <v>2011</v>
      </c>
      <c r="E120">
        <v>1</v>
      </c>
      <c r="F120">
        <v>0</v>
      </c>
      <c r="G120" t="s">
        <v>78</v>
      </c>
      <c r="H120" s="5">
        <v>1</v>
      </c>
      <c r="I120">
        <f t="shared" si="22"/>
        <v>2012</v>
      </c>
      <c r="J120" s="4">
        <f t="shared" si="24"/>
        <v>2012.0833333333333</v>
      </c>
      <c r="K120" s="29">
        <v>0.01</v>
      </c>
      <c r="L120" s="29">
        <f t="shared" si="23"/>
        <v>0.01</v>
      </c>
      <c r="M120" s="29">
        <f t="shared" si="15"/>
        <v>8.3333333333333339E-4</v>
      </c>
      <c r="N120" s="29">
        <f t="shared" si="16"/>
        <v>0.01</v>
      </c>
      <c r="O120" s="29">
        <f t="shared" si="17"/>
        <v>0</v>
      </c>
      <c r="P120" s="29">
        <f t="shared" si="18"/>
        <v>0.01</v>
      </c>
      <c r="Q120" s="29">
        <f t="shared" si="19"/>
        <v>0.01</v>
      </c>
      <c r="R120" s="29">
        <f t="shared" si="20"/>
        <v>0</v>
      </c>
    </row>
    <row r="121" spans="1:18">
      <c r="A121" s="44">
        <v>107056</v>
      </c>
      <c r="B121">
        <v>20</v>
      </c>
      <c r="C121" t="s">
        <v>279</v>
      </c>
      <c r="D121">
        <v>2013</v>
      </c>
      <c r="E121">
        <v>8</v>
      </c>
      <c r="F121">
        <v>0</v>
      </c>
      <c r="G121" t="s">
        <v>78</v>
      </c>
      <c r="H121" s="5">
        <v>12</v>
      </c>
      <c r="I121">
        <f t="shared" si="22"/>
        <v>2025</v>
      </c>
      <c r="J121" s="4">
        <f t="shared" si="24"/>
        <v>2025.6666666666667</v>
      </c>
      <c r="K121" s="29">
        <v>8913.4</v>
      </c>
      <c r="L121" s="29">
        <f t="shared" si="23"/>
        <v>8913.4</v>
      </c>
      <c r="M121" s="29">
        <f t="shared" si="15"/>
        <v>61.898611111111109</v>
      </c>
      <c r="N121" s="29">
        <f t="shared" si="16"/>
        <v>742.7833333333333</v>
      </c>
      <c r="O121" s="29">
        <f t="shared" si="17"/>
        <v>742.7833333333333</v>
      </c>
      <c r="P121" s="29">
        <f t="shared" si="18"/>
        <v>7242.1374999999998</v>
      </c>
      <c r="Q121" s="29">
        <f t="shared" si="19"/>
        <v>7984.9208333333336</v>
      </c>
      <c r="R121" s="29">
        <f t="shared" si="20"/>
        <v>928.47916666666606</v>
      </c>
    </row>
    <row r="122" spans="1:18">
      <c r="A122" s="44">
        <v>106520</v>
      </c>
      <c r="B122">
        <v>20</v>
      </c>
      <c r="C122" t="s">
        <v>263</v>
      </c>
      <c r="D122">
        <v>2013</v>
      </c>
      <c r="E122">
        <v>8</v>
      </c>
      <c r="F122">
        <v>0</v>
      </c>
      <c r="G122" t="s">
        <v>78</v>
      </c>
      <c r="H122" s="5">
        <v>12</v>
      </c>
      <c r="I122">
        <f t="shared" si="22"/>
        <v>2025</v>
      </c>
      <c r="J122" s="4">
        <f t="shared" si="24"/>
        <v>2025.6666666666667</v>
      </c>
      <c r="K122" s="29">
        <v>10000.4</v>
      </c>
      <c r="L122" s="29">
        <f t="shared" si="23"/>
        <v>10000.4</v>
      </c>
      <c r="M122" s="29">
        <f t="shared" si="15"/>
        <v>69.447222222222223</v>
      </c>
      <c r="N122" s="29">
        <f t="shared" si="16"/>
        <v>833.36666666666667</v>
      </c>
      <c r="O122" s="29">
        <f t="shared" si="17"/>
        <v>833.36666666666667</v>
      </c>
      <c r="P122" s="29">
        <f t="shared" si="18"/>
        <v>8125.3249999999998</v>
      </c>
      <c r="Q122" s="29">
        <f t="shared" si="19"/>
        <v>8958.6916666666657</v>
      </c>
      <c r="R122" s="29">
        <f t="shared" si="20"/>
        <v>1041.7083333333339</v>
      </c>
    </row>
    <row r="123" spans="1:18">
      <c r="A123" s="44" t="s">
        <v>483</v>
      </c>
      <c r="B123">
        <v>20</v>
      </c>
      <c r="C123" t="s">
        <v>228</v>
      </c>
      <c r="D123">
        <v>2013</v>
      </c>
      <c r="E123">
        <v>8</v>
      </c>
      <c r="F123">
        <v>0</v>
      </c>
      <c r="G123" t="s">
        <v>78</v>
      </c>
      <c r="H123" s="5">
        <v>12</v>
      </c>
      <c r="I123">
        <f t="shared" si="22"/>
        <v>2025</v>
      </c>
      <c r="J123" s="4">
        <f t="shared" si="24"/>
        <v>2025.6666666666667</v>
      </c>
      <c r="K123" s="29">
        <f>7500.3+5000.2</f>
        <v>12500.5</v>
      </c>
      <c r="L123" s="29">
        <f t="shared" si="23"/>
        <v>12500.5</v>
      </c>
      <c r="M123" s="29">
        <f t="shared" si="15"/>
        <v>86.809027777777771</v>
      </c>
      <c r="N123" s="29">
        <f t="shared" si="16"/>
        <v>1041.7083333333333</v>
      </c>
      <c r="O123" s="29">
        <f t="shared" si="17"/>
        <v>1041.7083333333333</v>
      </c>
      <c r="P123" s="29">
        <f t="shared" si="18"/>
        <v>10156.65625</v>
      </c>
      <c r="Q123" s="29">
        <f t="shared" si="19"/>
        <v>11198.364583333334</v>
      </c>
      <c r="R123" s="29">
        <f t="shared" si="20"/>
        <v>1302.1354166666661</v>
      </c>
    </row>
    <row r="124" spans="1:18">
      <c r="A124" s="44" t="s">
        <v>484</v>
      </c>
      <c r="B124">
        <f>11+4+10</f>
        <v>25</v>
      </c>
      <c r="C124" t="s">
        <v>485</v>
      </c>
      <c r="D124">
        <v>2013</v>
      </c>
      <c r="E124">
        <v>9</v>
      </c>
      <c r="F124">
        <v>0</v>
      </c>
      <c r="G124" t="s">
        <v>78</v>
      </c>
      <c r="H124" s="5">
        <v>12</v>
      </c>
      <c r="I124">
        <f t="shared" si="22"/>
        <v>2025</v>
      </c>
      <c r="J124" s="4">
        <f t="shared" si="24"/>
        <v>2025.75</v>
      </c>
      <c r="K124" s="29">
        <f>8668.83+3152.3+3940.38</f>
        <v>15761.510000000002</v>
      </c>
      <c r="L124" s="29">
        <f t="shared" si="23"/>
        <v>15761.510000000002</v>
      </c>
      <c r="M124" s="29">
        <f t="shared" si="15"/>
        <v>109.45493055555556</v>
      </c>
      <c r="N124" s="29">
        <f t="shared" si="16"/>
        <v>1313.4591666666668</v>
      </c>
      <c r="O124" s="29">
        <f t="shared" si="17"/>
        <v>1313.4591666666668</v>
      </c>
      <c r="P124" s="29">
        <f t="shared" si="18"/>
        <v>12696.771944444547</v>
      </c>
      <c r="Q124" s="29">
        <f t="shared" si="19"/>
        <v>14010.231111111214</v>
      </c>
      <c r="R124" s="29">
        <f t="shared" si="20"/>
        <v>1751.2788888887881</v>
      </c>
    </row>
    <row r="125" spans="1:18">
      <c r="A125" s="44">
        <v>116680</v>
      </c>
      <c r="B125">
        <v>15</v>
      </c>
      <c r="C125" t="s">
        <v>517</v>
      </c>
      <c r="D125">
        <v>2014</v>
      </c>
      <c r="E125">
        <v>10</v>
      </c>
      <c r="F125">
        <v>0</v>
      </c>
      <c r="G125" t="s">
        <v>78</v>
      </c>
      <c r="H125" s="5">
        <v>12</v>
      </c>
      <c r="I125">
        <f t="shared" si="22"/>
        <v>2026</v>
      </c>
      <c r="J125" s="4">
        <f t="shared" si="24"/>
        <v>2026.8333333333333</v>
      </c>
      <c r="K125" s="29">
        <v>6799.19</v>
      </c>
      <c r="L125" s="29">
        <f t="shared" si="23"/>
        <v>6799.19</v>
      </c>
      <c r="M125" s="29">
        <f t="shared" si="15"/>
        <v>47.216597222222219</v>
      </c>
      <c r="N125" s="29">
        <f t="shared" si="16"/>
        <v>566.59916666666663</v>
      </c>
      <c r="O125" s="29">
        <f t="shared" si="17"/>
        <v>566.59916666666663</v>
      </c>
      <c r="P125" s="29">
        <f t="shared" si="18"/>
        <v>4863.3095138889748</v>
      </c>
      <c r="Q125" s="29">
        <f t="shared" si="19"/>
        <v>5429.9086805556417</v>
      </c>
      <c r="R125" s="29">
        <f t="shared" si="20"/>
        <v>1369.2813194443579</v>
      </c>
    </row>
    <row r="126" spans="1:18">
      <c r="A126" s="44">
        <v>116678</v>
      </c>
      <c r="B126">
        <v>15</v>
      </c>
      <c r="C126" t="s">
        <v>515</v>
      </c>
      <c r="D126">
        <v>2014</v>
      </c>
      <c r="E126">
        <v>10</v>
      </c>
      <c r="F126">
        <v>0</v>
      </c>
      <c r="G126" t="s">
        <v>78</v>
      </c>
      <c r="H126" s="5">
        <v>12</v>
      </c>
      <c r="I126">
        <f t="shared" si="22"/>
        <v>2026</v>
      </c>
      <c r="J126" s="4">
        <f t="shared" si="24"/>
        <v>2026.8333333333333</v>
      </c>
      <c r="K126" s="29">
        <v>7272.03</v>
      </c>
      <c r="L126" s="29">
        <f t="shared" si="23"/>
        <v>7272.03</v>
      </c>
      <c r="M126" s="29">
        <f t="shared" si="15"/>
        <v>50.500208333333326</v>
      </c>
      <c r="N126" s="29">
        <f t="shared" si="16"/>
        <v>606.00249999999994</v>
      </c>
      <c r="O126" s="29">
        <f t="shared" si="17"/>
        <v>606.00249999999994</v>
      </c>
      <c r="P126" s="29">
        <f t="shared" si="18"/>
        <v>5201.5214583334255</v>
      </c>
      <c r="Q126" s="29">
        <f t="shared" si="19"/>
        <v>5807.5239583334251</v>
      </c>
      <c r="R126" s="29">
        <f t="shared" si="20"/>
        <v>1464.5060416665747</v>
      </c>
    </row>
    <row r="127" spans="1:18">
      <c r="A127" s="44">
        <v>116679</v>
      </c>
      <c r="B127">
        <v>20</v>
      </c>
      <c r="C127" t="s">
        <v>516</v>
      </c>
      <c r="D127">
        <v>2014</v>
      </c>
      <c r="E127">
        <v>10</v>
      </c>
      <c r="F127">
        <v>0</v>
      </c>
      <c r="G127" t="s">
        <v>78</v>
      </c>
      <c r="H127" s="5">
        <v>12</v>
      </c>
      <c r="I127">
        <f t="shared" si="22"/>
        <v>2026</v>
      </c>
      <c r="J127" s="4">
        <f t="shared" si="24"/>
        <v>2026.8333333333333</v>
      </c>
      <c r="K127" s="29">
        <v>10761.3</v>
      </c>
      <c r="L127" s="29">
        <f t="shared" si="23"/>
        <v>10761.3</v>
      </c>
      <c r="M127" s="29">
        <f t="shared" si="15"/>
        <v>74.731250000000003</v>
      </c>
      <c r="N127" s="29">
        <f t="shared" si="16"/>
        <v>896.77500000000009</v>
      </c>
      <c r="O127" s="29">
        <f t="shared" si="17"/>
        <v>896.77500000000009</v>
      </c>
      <c r="P127" s="29">
        <f t="shared" si="18"/>
        <v>7697.318750000135</v>
      </c>
      <c r="Q127" s="29">
        <f t="shared" si="19"/>
        <v>8594.0937500001346</v>
      </c>
      <c r="R127" s="29">
        <f t="shared" si="20"/>
        <v>2167.2062499998647</v>
      </c>
    </row>
    <row r="128" spans="1:18">
      <c r="A128" s="44">
        <v>117223</v>
      </c>
      <c r="B128">
        <v>15</v>
      </c>
      <c r="C128" t="s">
        <v>516</v>
      </c>
      <c r="D128">
        <v>2014</v>
      </c>
      <c r="E128">
        <v>11</v>
      </c>
      <c r="F128">
        <v>0</v>
      </c>
      <c r="G128" t="s">
        <v>78</v>
      </c>
      <c r="H128" s="5">
        <v>12</v>
      </c>
      <c r="I128">
        <f t="shared" si="22"/>
        <v>2026</v>
      </c>
      <c r="J128" s="4">
        <f t="shared" si="24"/>
        <v>2026.9166666666667</v>
      </c>
      <c r="K128" s="29">
        <v>7907.93</v>
      </c>
      <c r="L128" s="29">
        <f t="shared" si="23"/>
        <v>7907.93</v>
      </c>
      <c r="M128" s="29">
        <f t="shared" si="15"/>
        <v>54.916180555555563</v>
      </c>
      <c r="N128" s="29">
        <f t="shared" si="16"/>
        <v>658.99416666666673</v>
      </c>
      <c r="O128" s="29">
        <f t="shared" si="17"/>
        <v>658.99416666666673</v>
      </c>
      <c r="P128" s="29">
        <f t="shared" si="18"/>
        <v>5601.4504166666666</v>
      </c>
      <c r="Q128" s="29">
        <f t="shared" si="19"/>
        <v>6260.444583333333</v>
      </c>
      <c r="R128" s="29">
        <f t="shared" si="20"/>
        <v>1647.4854166666673</v>
      </c>
    </row>
    <row r="129" spans="1:18">
      <c r="A129" s="44">
        <v>117226</v>
      </c>
      <c r="B129">
        <v>10</v>
      </c>
      <c r="C129" t="s">
        <v>520</v>
      </c>
      <c r="D129">
        <v>2014</v>
      </c>
      <c r="E129">
        <v>11</v>
      </c>
      <c r="F129">
        <v>0</v>
      </c>
      <c r="G129" t="s">
        <v>78</v>
      </c>
      <c r="H129" s="5">
        <v>12</v>
      </c>
      <c r="I129">
        <f t="shared" si="22"/>
        <v>2026</v>
      </c>
      <c r="J129" s="4">
        <f t="shared" si="24"/>
        <v>2026.9166666666667</v>
      </c>
      <c r="K129" s="29">
        <v>6087.2</v>
      </c>
      <c r="L129" s="29">
        <f t="shared" si="23"/>
        <v>6087.2</v>
      </c>
      <c r="M129" s="29">
        <f t="shared" si="15"/>
        <v>42.272222222222219</v>
      </c>
      <c r="N129" s="29">
        <f t="shared" si="16"/>
        <v>507.26666666666665</v>
      </c>
      <c r="O129" s="29">
        <f t="shared" si="17"/>
        <v>507.26666666666665</v>
      </c>
      <c r="P129" s="29">
        <f t="shared" si="18"/>
        <v>4311.7666666666664</v>
      </c>
      <c r="Q129" s="29">
        <f t="shared" si="19"/>
        <v>4819.0333333333328</v>
      </c>
      <c r="R129" s="29">
        <f t="shared" si="20"/>
        <v>1268.166666666667</v>
      </c>
    </row>
    <row r="130" spans="1:18">
      <c r="A130" s="44">
        <v>117224</v>
      </c>
      <c r="B130">
        <v>5</v>
      </c>
      <c r="C130" t="s">
        <v>522</v>
      </c>
      <c r="D130">
        <v>2014</v>
      </c>
      <c r="E130">
        <v>11</v>
      </c>
      <c r="F130">
        <v>0</v>
      </c>
      <c r="G130" t="s">
        <v>78</v>
      </c>
      <c r="H130" s="5">
        <v>12</v>
      </c>
      <c r="I130">
        <f t="shared" si="22"/>
        <v>2026</v>
      </c>
      <c r="J130" s="4">
        <f t="shared" si="24"/>
        <v>2026.9166666666667</v>
      </c>
      <c r="K130" s="29">
        <v>3206.65</v>
      </c>
      <c r="L130" s="29">
        <f t="shared" si="23"/>
        <v>3206.65</v>
      </c>
      <c r="M130" s="29">
        <f t="shared" si="15"/>
        <v>22.26840277777778</v>
      </c>
      <c r="N130" s="29">
        <f t="shared" si="16"/>
        <v>267.22083333333336</v>
      </c>
      <c r="O130" s="29">
        <f t="shared" si="17"/>
        <v>267.22083333333336</v>
      </c>
      <c r="P130" s="29">
        <f t="shared" si="18"/>
        <v>2271.3770833333333</v>
      </c>
      <c r="Q130" s="29">
        <f t="shared" si="19"/>
        <v>2538.5979166666666</v>
      </c>
      <c r="R130" s="29">
        <f t="shared" si="20"/>
        <v>668.05208333333348</v>
      </c>
    </row>
    <row r="131" spans="1:18">
      <c r="A131" s="44">
        <v>117225</v>
      </c>
      <c r="B131">
        <v>10</v>
      </c>
      <c r="C131" t="s">
        <v>521</v>
      </c>
      <c r="D131">
        <v>2014</v>
      </c>
      <c r="E131">
        <v>11</v>
      </c>
      <c r="F131">
        <v>0</v>
      </c>
      <c r="G131" t="s">
        <v>78</v>
      </c>
      <c r="H131" s="5">
        <v>12</v>
      </c>
      <c r="I131">
        <f t="shared" si="22"/>
        <v>2026</v>
      </c>
      <c r="J131" s="4">
        <f t="shared" si="24"/>
        <v>2026.9166666666667</v>
      </c>
      <c r="K131" s="29">
        <v>8098.15</v>
      </c>
      <c r="L131" s="29">
        <f t="shared" si="23"/>
        <v>8098.15</v>
      </c>
      <c r="M131" s="29">
        <f t="shared" si="15"/>
        <v>56.237152777777773</v>
      </c>
      <c r="N131" s="29">
        <f t="shared" si="16"/>
        <v>674.8458333333333</v>
      </c>
      <c r="O131" s="29">
        <f t="shared" si="17"/>
        <v>674.8458333333333</v>
      </c>
      <c r="P131" s="29">
        <f t="shared" si="18"/>
        <v>5736.1895833333328</v>
      </c>
      <c r="Q131" s="29">
        <f t="shared" si="19"/>
        <v>6411.0354166666657</v>
      </c>
      <c r="R131" s="29">
        <f t="shared" si="20"/>
        <v>1687.1145833333339</v>
      </c>
    </row>
    <row r="132" spans="1:18">
      <c r="A132" s="44">
        <v>124971</v>
      </c>
      <c r="B132">
        <v>11</v>
      </c>
      <c r="C132" t="s">
        <v>517</v>
      </c>
      <c r="D132">
        <v>2015</v>
      </c>
      <c r="E132">
        <v>7</v>
      </c>
      <c r="F132">
        <v>0</v>
      </c>
      <c r="G132" t="s">
        <v>78</v>
      </c>
      <c r="H132" s="5">
        <v>12</v>
      </c>
      <c r="I132">
        <f t="shared" si="22"/>
        <v>2027</v>
      </c>
      <c r="J132" s="4">
        <f t="shared" si="24"/>
        <v>2027.5833333333333</v>
      </c>
      <c r="K132" s="29">
        <v>5287.17</v>
      </c>
      <c r="L132" s="29">
        <f t="shared" si="23"/>
        <v>5287.17</v>
      </c>
      <c r="M132" s="29">
        <f t="shared" si="15"/>
        <v>36.716458333333335</v>
      </c>
      <c r="N132" s="29">
        <f t="shared" si="16"/>
        <v>440.59750000000003</v>
      </c>
      <c r="O132" s="29">
        <f t="shared" si="17"/>
        <v>440.59750000000003</v>
      </c>
      <c r="P132" s="29">
        <f t="shared" si="18"/>
        <v>3451.3470833334004</v>
      </c>
      <c r="Q132" s="29">
        <f t="shared" si="19"/>
        <v>3891.9445833334003</v>
      </c>
      <c r="R132" s="29">
        <f t="shared" si="20"/>
        <v>1395.2254166665998</v>
      </c>
    </row>
    <row r="133" spans="1:18">
      <c r="A133" s="44">
        <v>126750</v>
      </c>
      <c r="B133">
        <v>15</v>
      </c>
      <c r="C133" t="s">
        <v>517</v>
      </c>
      <c r="D133">
        <v>2015</v>
      </c>
      <c r="E133">
        <v>10</v>
      </c>
      <c r="F133">
        <v>0</v>
      </c>
      <c r="G133" t="s">
        <v>78</v>
      </c>
      <c r="H133" s="5">
        <v>12</v>
      </c>
      <c r="I133">
        <f t="shared" si="22"/>
        <v>2027</v>
      </c>
      <c r="J133" s="4">
        <f t="shared" si="24"/>
        <v>2027.8333333333333</v>
      </c>
      <c r="K133" s="29">
        <v>6522</v>
      </c>
      <c r="L133" s="29">
        <f t="shared" si="23"/>
        <v>6522</v>
      </c>
      <c r="M133" s="29">
        <f t="shared" si="15"/>
        <v>45.291666666666664</v>
      </c>
      <c r="N133" s="29">
        <f t="shared" si="16"/>
        <v>543.5</v>
      </c>
      <c r="O133" s="29">
        <f t="shared" si="17"/>
        <v>543.5</v>
      </c>
      <c r="P133" s="29">
        <f t="shared" si="18"/>
        <v>4121.5416666667497</v>
      </c>
      <c r="Q133" s="29">
        <f t="shared" si="19"/>
        <v>4665.0416666667497</v>
      </c>
      <c r="R133" s="29">
        <f t="shared" si="20"/>
        <v>1856.9583333332503</v>
      </c>
    </row>
    <row r="134" spans="1:18">
      <c r="A134" s="44">
        <v>124972</v>
      </c>
      <c r="B134">
        <v>11</v>
      </c>
      <c r="C134" t="s">
        <v>515</v>
      </c>
      <c r="D134">
        <v>2015</v>
      </c>
      <c r="E134">
        <v>7</v>
      </c>
      <c r="F134">
        <v>0</v>
      </c>
      <c r="G134" t="s">
        <v>78</v>
      </c>
      <c r="H134" s="5">
        <v>12</v>
      </c>
      <c r="I134">
        <f t="shared" si="22"/>
        <v>2027</v>
      </c>
      <c r="J134" s="4">
        <f t="shared" si="24"/>
        <v>2027.5833333333333</v>
      </c>
      <c r="K134" s="29">
        <v>5705.66</v>
      </c>
      <c r="L134" s="29">
        <f t="shared" si="23"/>
        <v>5705.66</v>
      </c>
      <c r="M134" s="29">
        <f t="shared" si="15"/>
        <v>39.622638888888886</v>
      </c>
      <c r="N134" s="29">
        <f t="shared" si="16"/>
        <v>475.47166666666664</v>
      </c>
      <c r="O134" s="29">
        <f t="shared" si="17"/>
        <v>475.47166666666664</v>
      </c>
      <c r="P134" s="29">
        <f t="shared" si="18"/>
        <v>3724.5280555556274</v>
      </c>
      <c r="Q134" s="29">
        <f t="shared" si="19"/>
        <v>4199.9997222222937</v>
      </c>
      <c r="R134" s="29">
        <f t="shared" si="20"/>
        <v>1505.6602777777061</v>
      </c>
    </row>
    <row r="135" spans="1:18">
      <c r="A135" s="44">
        <v>124973</v>
      </c>
      <c r="B135">
        <v>11</v>
      </c>
      <c r="C135" t="s">
        <v>516</v>
      </c>
      <c r="D135">
        <v>2015</v>
      </c>
      <c r="E135">
        <v>7</v>
      </c>
      <c r="F135">
        <v>0</v>
      </c>
      <c r="G135" t="s">
        <v>78</v>
      </c>
      <c r="H135" s="5">
        <v>12</v>
      </c>
      <c r="I135">
        <f t="shared" si="22"/>
        <v>2027</v>
      </c>
      <c r="J135" s="4">
        <f t="shared" si="24"/>
        <v>2027.5833333333333</v>
      </c>
      <c r="K135" s="29">
        <v>6028.5</v>
      </c>
      <c r="L135" s="29">
        <f t="shared" si="23"/>
        <v>6028.5</v>
      </c>
      <c r="M135" s="29">
        <f t="shared" si="15"/>
        <v>41.864583333333336</v>
      </c>
      <c r="N135" s="29">
        <f t="shared" si="16"/>
        <v>502.375</v>
      </c>
      <c r="O135" s="29">
        <f t="shared" si="17"/>
        <v>502.375</v>
      </c>
      <c r="P135" s="29">
        <f t="shared" si="18"/>
        <v>3935.2708333334094</v>
      </c>
      <c r="Q135" s="29">
        <f t="shared" si="19"/>
        <v>4437.6458333334094</v>
      </c>
      <c r="R135" s="29">
        <f t="shared" si="20"/>
        <v>1590.8541666665906</v>
      </c>
    </row>
    <row r="136" spans="1:18">
      <c r="A136" s="44">
        <v>126833</v>
      </c>
      <c r="B136">
        <v>15</v>
      </c>
      <c r="C136" t="s">
        <v>516</v>
      </c>
      <c r="D136">
        <v>2015</v>
      </c>
      <c r="E136">
        <v>10</v>
      </c>
      <c r="F136">
        <v>0</v>
      </c>
      <c r="G136" t="s">
        <v>78</v>
      </c>
      <c r="H136" s="5">
        <v>12</v>
      </c>
      <c r="I136">
        <f t="shared" si="22"/>
        <v>2027</v>
      </c>
      <c r="J136" s="4">
        <f t="shared" si="24"/>
        <v>2027.8333333333333</v>
      </c>
      <c r="K136" s="29">
        <v>7092.68</v>
      </c>
      <c r="L136" s="29">
        <f t="shared" si="23"/>
        <v>7092.68</v>
      </c>
      <c r="M136" s="29">
        <f t="shared" si="15"/>
        <v>49.254722222222227</v>
      </c>
      <c r="N136" s="29">
        <f t="shared" si="16"/>
        <v>591.05666666666673</v>
      </c>
      <c r="O136" s="29">
        <f t="shared" si="17"/>
        <v>591.05666666666673</v>
      </c>
      <c r="P136" s="29">
        <f t="shared" si="18"/>
        <v>4482.1797222223122</v>
      </c>
      <c r="Q136" s="29">
        <f t="shared" si="19"/>
        <v>5073.2363888889786</v>
      </c>
      <c r="R136" s="29">
        <f t="shared" si="20"/>
        <v>2019.4436111110217</v>
      </c>
    </row>
    <row r="137" spans="1:18" ht="11.25" customHeight="1">
      <c r="A137" s="44">
        <v>124969</v>
      </c>
      <c r="B137">
        <v>11</v>
      </c>
      <c r="C137" t="s">
        <v>566</v>
      </c>
      <c r="D137">
        <v>2015</v>
      </c>
      <c r="E137">
        <v>7</v>
      </c>
      <c r="F137">
        <v>0</v>
      </c>
      <c r="G137" t="s">
        <v>78</v>
      </c>
      <c r="H137" s="5">
        <v>12</v>
      </c>
      <c r="I137">
        <f t="shared" si="22"/>
        <v>2027</v>
      </c>
      <c r="J137" s="4">
        <f t="shared" si="24"/>
        <v>2027.5833333333333</v>
      </c>
      <c r="K137" s="29">
        <v>6662.22</v>
      </c>
      <c r="L137" s="29">
        <f t="shared" si="23"/>
        <v>6662.22</v>
      </c>
      <c r="M137" s="29">
        <f t="shared" si="15"/>
        <v>46.265416666666674</v>
      </c>
      <c r="N137" s="29">
        <f t="shared" si="16"/>
        <v>555.18500000000006</v>
      </c>
      <c r="O137" s="29">
        <f t="shared" si="17"/>
        <v>555.18500000000006</v>
      </c>
      <c r="P137" s="29">
        <f t="shared" si="18"/>
        <v>4348.9491666667509</v>
      </c>
      <c r="Q137" s="29">
        <f t="shared" si="19"/>
        <v>4904.1341666667513</v>
      </c>
      <c r="R137" s="29">
        <f t="shared" si="20"/>
        <v>1758.085833333249</v>
      </c>
    </row>
    <row r="138" spans="1:18">
      <c r="A138" s="44">
        <v>126472</v>
      </c>
      <c r="B138">
        <v>10</v>
      </c>
      <c r="C138" t="s">
        <v>566</v>
      </c>
      <c r="D138">
        <v>2015</v>
      </c>
      <c r="E138">
        <v>10</v>
      </c>
      <c r="F138">
        <v>0</v>
      </c>
      <c r="G138" t="s">
        <v>78</v>
      </c>
      <c r="H138" s="5">
        <v>12</v>
      </c>
      <c r="I138">
        <f t="shared" si="22"/>
        <v>2027</v>
      </c>
      <c r="J138" s="4">
        <f t="shared" si="24"/>
        <v>2027.8333333333333</v>
      </c>
      <c r="K138" s="29">
        <v>6282.86</v>
      </c>
      <c r="L138" s="29">
        <f t="shared" si="23"/>
        <v>6282.86</v>
      </c>
      <c r="M138" s="29">
        <f t="shared" si="15"/>
        <v>43.630972222222219</v>
      </c>
      <c r="N138" s="29">
        <f t="shared" si="16"/>
        <v>523.5716666666666</v>
      </c>
      <c r="O138" s="29">
        <f t="shared" si="17"/>
        <v>523.5716666666666</v>
      </c>
      <c r="P138" s="29">
        <f t="shared" si="18"/>
        <v>3970.4184722223013</v>
      </c>
      <c r="Q138" s="29">
        <f t="shared" si="19"/>
        <v>4493.9901388889675</v>
      </c>
      <c r="R138" s="29">
        <f t="shared" si="20"/>
        <v>1788.8698611110322</v>
      </c>
    </row>
    <row r="139" spans="1:18">
      <c r="A139" s="44">
        <v>126867</v>
      </c>
      <c r="B139">
        <v>5</v>
      </c>
      <c r="C139" t="s">
        <v>581</v>
      </c>
      <c r="D139">
        <v>2015</v>
      </c>
      <c r="E139">
        <v>10</v>
      </c>
      <c r="F139">
        <v>0</v>
      </c>
      <c r="G139" t="s">
        <v>78</v>
      </c>
      <c r="H139" s="5">
        <v>12</v>
      </c>
      <c r="I139">
        <f t="shared" si="22"/>
        <v>2027</v>
      </c>
      <c r="J139" s="4">
        <f t="shared" si="24"/>
        <v>2027.8333333333333</v>
      </c>
      <c r="K139" s="29">
        <v>4864.33</v>
      </c>
      <c r="L139" s="29">
        <f t="shared" si="23"/>
        <v>4864.33</v>
      </c>
      <c r="M139" s="29">
        <f t="shared" si="15"/>
        <v>33.780069444444443</v>
      </c>
      <c r="N139" s="29">
        <f t="shared" si="16"/>
        <v>405.36083333333329</v>
      </c>
      <c r="O139" s="29">
        <f t="shared" si="17"/>
        <v>405.36083333333329</v>
      </c>
      <c r="P139" s="29">
        <f t="shared" si="18"/>
        <v>3073.9863194445061</v>
      </c>
      <c r="Q139" s="29">
        <f t="shared" si="19"/>
        <v>3479.3471527778393</v>
      </c>
      <c r="R139" s="29">
        <f t="shared" si="20"/>
        <v>1384.9828472221607</v>
      </c>
    </row>
    <row r="140" spans="1:18">
      <c r="A140" s="44">
        <v>124970</v>
      </c>
      <c r="B140">
        <v>11</v>
      </c>
      <c r="C140" t="s">
        <v>567</v>
      </c>
      <c r="D140">
        <v>2015</v>
      </c>
      <c r="E140">
        <v>7</v>
      </c>
      <c r="F140">
        <v>0</v>
      </c>
      <c r="G140" t="s">
        <v>78</v>
      </c>
      <c r="H140" s="5">
        <v>12</v>
      </c>
      <c r="I140">
        <f t="shared" ref="I140:I163" si="25">D140+H140</f>
        <v>2027</v>
      </c>
      <c r="J140" s="4">
        <f t="shared" si="24"/>
        <v>2027.5833333333333</v>
      </c>
      <c r="K140" s="29">
        <v>8862.32</v>
      </c>
      <c r="L140" s="29">
        <f t="shared" ref="L140:L163" si="26">K140-K140*F140</f>
        <v>8862.32</v>
      </c>
      <c r="M140" s="29">
        <f t="shared" si="15"/>
        <v>61.543888888888887</v>
      </c>
      <c r="N140" s="29">
        <f t="shared" si="16"/>
        <v>738.52666666666664</v>
      </c>
      <c r="O140" s="29">
        <f t="shared" si="17"/>
        <v>738.52666666666664</v>
      </c>
      <c r="P140" s="29">
        <f t="shared" si="18"/>
        <v>5785.1255555556672</v>
      </c>
      <c r="Q140" s="29">
        <f t="shared" si="19"/>
        <v>6523.6522222223339</v>
      </c>
      <c r="R140" s="29">
        <f t="shared" si="20"/>
        <v>2338.6677777776658</v>
      </c>
    </row>
    <row r="141" spans="1:18">
      <c r="A141" s="44">
        <v>126751</v>
      </c>
      <c r="B141">
        <v>3</v>
      </c>
      <c r="C141" t="s">
        <v>567</v>
      </c>
      <c r="D141">
        <v>2015</v>
      </c>
      <c r="E141">
        <v>10</v>
      </c>
      <c r="F141">
        <v>0</v>
      </c>
      <c r="G141" t="s">
        <v>78</v>
      </c>
      <c r="H141" s="5">
        <v>12</v>
      </c>
      <c r="I141">
        <f t="shared" si="25"/>
        <v>2027</v>
      </c>
      <c r="J141" s="4">
        <f t="shared" si="24"/>
        <v>2027.8333333333333</v>
      </c>
      <c r="K141" s="29">
        <v>2592.5</v>
      </c>
      <c r="L141" s="29">
        <f t="shared" si="26"/>
        <v>2592.5</v>
      </c>
      <c r="M141" s="29">
        <f t="shared" si="15"/>
        <v>18.003472222222221</v>
      </c>
      <c r="N141" s="29">
        <f t="shared" si="16"/>
        <v>216.04166666666666</v>
      </c>
      <c r="O141" s="29">
        <f t="shared" si="17"/>
        <v>216.04166666666666</v>
      </c>
      <c r="P141" s="29">
        <f t="shared" si="18"/>
        <v>1638.3159722222549</v>
      </c>
      <c r="Q141" s="29">
        <f t="shared" si="19"/>
        <v>1854.3576388889217</v>
      </c>
      <c r="R141" s="29">
        <f t="shared" si="20"/>
        <v>738.14236111107834</v>
      </c>
    </row>
    <row r="142" spans="1:18">
      <c r="A142" s="44">
        <v>126832</v>
      </c>
      <c r="B142">
        <v>2</v>
      </c>
      <c r="C142" t="s">
        <v>567</v>
      </c>
      <c r="D142">
        <v>2015</v>
      </c>
      <c r="E142">
        <v>10</v>
      </c>
      <c r="F142">
        <v>0</v>
      </c>
      <c r="G142" t="s">
        <v>78</v>
      </c>
      <c r="H142" s="5">
        <v>12</v>
      </c>
      <c r="I142">
        <f t="shared" si="25"/>
        <v>2027</v>
      </c>
      <c r="J142" s="4">
        <f t="shared" si="24"/>
        <v>2027.8333333333333</v>
      </c>
      <c r="K142" s="29">
        <v>1728.33</v>
      </c>
      <c r="L142" s="29">
        <f t="shared" si="26"/>
        <v>1728.33</v>
      </c>
      <c r="M142" s="29">
        <f t="shared" ref="M142:M189" si="27">L142/H142/12</f>
        <v>12.002291666666666</v>
      </c>
      <c r="N142" s="29">
        <f t="shared" ref="N142:N189" si="28">+M142*12</f>
        <v>144.0275</v>
      </c>
      <c r="O142" s="29">
        <f t="shared" ref="O142:O189" si="29">IF(J142&lt;=$N$6,0,N142)</f>
        <v>144.0275</v>
      </c>
      <c r="P142" s="29">
        <f t="shared" ref="P142:P189" si="30">+IF($J142&lt;=$N$7,$L142,IF(($D142+($E142/12))&gt;=$N$7,0,((($L142-((($J142-$N$7)*12)*$M142))))))</f>
        <v>1092.2085416666885</v>
      </c>
      <c r="Q142" s="29">
        <f t="shared" ref="Q142:Q189" si="31">IF(O142=0,L142,O142+P142)</f>
        <v>1236.2360416666884</v>
      </c>
      <c r="R142" s="29">
        <f t="shared" ref="R142:R189" si="32">+K142-Q142</f>
        <v>492.09395833331155</v>
      </c>
    </row>
    <row r="143" spans="1:18">
      <c r="A143" s="44">
        <v>132481</v>
      </c>
      <c r="B143">
        <v>25</v>
      </c>
      <c r="C143" t="s">
        <v>517</v>
      </c>
      <c r="D143">
        <v>2016</v>
      </c>
      <c r="E143">
        <v>4</v>
      </c>
      <c r="F143">
        <v>0</v>
      </c>
      <c r="G143" t="s">
        <v>78</v>
      </c>
      <c r="H143" s="5">
        <v>12</v>
      </c>
      <c r="I143">
        <f t="shared" si="25"/>
        <v>2028</v>
      </c>
      <c r="J143" s="4">
        <f t="shared" si="24"/>
        <v>2028.3333333333333</v>
      </c>
      <c r="K143" s="29">
        <v>10870</v>
      </c>
      <c r="L143" s="29">
        <f t="shared" si="26"/>
        <v>10870</v>
      </c>
      <c r="M143" s="29">
        <f t="shared" si="27"/>
        <v>75.486111111111114</v>
      </c>
      <c r="N143" s="29">
        <f t="shared" si="28"/>
        <v>905.83333333333337</v>
      </c>
      <c r="O143" s="29">
        <f t="shared" si="29"/>
        <v>905.83333333333337</v>
      </c>
      <c r="P143" s="29">
        <f t="shared" si="30"/>
        <v>6416.3194444445817</v>
      </c>
      <c r="Q143" s="29">
        <f t="shared" si="31"/>
        <v>7322.1527777779147</v>
      </c>
      <c r="R143" s="29">
        <f t="shared" si="32"/>
        <v>3547.8472222220853</v>
      </c>
    </row>
    <row r="144" spans="1:18" ht="12.75" customHeight="1">
      <c r="A144" s="44">
        <v>132482</v>
      </c>
      <c r="B144">
        <v>15</v>
      </c>
      <c r="C144" t="s">
        <v>515</v>
      </c>
      <c r="D144">
        <v>2016</v>
      </c>
      <c r="E144">
        <v>4</v>
      </c>
      <c r="F144">
        <v>0</v>
      </c>
      <c r="G144" t="s">
        <v>78</v>
      </c>
      <c r="H144" s="5">
        <v>12</v>
      </c>
      <c r="I144">
        <f t="shared" si="25"/>
        <v>2028</v>
      </c>
      <c r="J144" s="4">
        <f t="shared" si="24"/>
        <v>2028.3333333333333</v>
      </c>
      <c r="K144" s="29">
        <v>7092.68</v>
      </c>
      <c r="L144" s="29">
        <f t="shared" si="26"/>
        <v>7092.68</v>
      </c>
      <c r="M144" s="29">
        <f t="shared" si="27"/>
        <v>49.254722222222227</v>
      </c>
      <c r="N144" s="29">
        <f t="shared" si="28"/>
        <v>591.05666666666673</v>
      </c>
      <c r="O144" s="29">
        <f t="shared" si="29"/>
        <v>591.05666666666673</v>
      </c>
      <c r="P144" s="29">
        <f t="shared" si="30"/>
        <v>4186.6513888889785</v>
      </c>
      <c r="Q144" s="29">
        <f t="shared" si="31"/>
        <v>4777.7080555556449</v>
      </c>
      <c r="R144" s="29">
        <f t="shared" si="32"/>
        <v>2314.9719444443554</v>
      </c>
    </row>
    <row r="145" spans="1:18">
      <c r="A145" s="44">
        <v>167286</v>
      </c>
      <c r="B145">
        <v>40</v>
      </c>
      <c r="C145" t="s">
        <v>607</v>
      </c>
      <c r="D145">
        <v>2016</v>
      </c>
      <c r="E145">
        <v>8</v>
      </c>
      <c r="F145">
        <v>0</v>
      </c>
      <c r="G145" t="s">
        <v>78</v>
      </c>
      <c r="H145" s="5">
        <v>12</v>
      </c>
      <c r="I145">
        <f t="shared" si="25"/>
        <v>2028</v>
      </c>
      <c r="J145" s="4">
        <f t="shared" si="24"/>
        <v>2028.6666666666667</v>
      </c>
      <c r="K145" s="29">
        <v>23044.400000000001</v>
      </c>
      <c r="L145" s="29">
        <f t="shared" si="26"/>
        <v>23044.400000000001</v>
      </c>
      <c r="M145" s="29">
        <f t="shared" si="27"/>
        <v>160.03055555555557</v>
      </c>
      <c r="N145" s="29">
        <f t="shared" si="28"/>
        <v>1920.3666666666668</v>
      </c>
      <c r="O145" s="29">
        <f t="shared" si="29"/>
        <v>1920.3666666666668</v>
      </c>
      <c r="P145" s="29">
        <f t="shared" si="30"/>
        <v>12962.475</v>
      </c>
      <c r="Q145" s="29">
        <f t="shared" si="31"/>
        <v>14882.841666666667</v>
      </c>
      <c r="R145" s="29">
        <f t="shared" si="32"/>
        <v>8161.5583333333343</v>
      </c>
    </row>
    <row r="146" spans="1:18">
      <c r="A146" s="44">
        <v>132480</v>
      </c>
      <c r="B146">
        <v>10</v>
      </c>
      <c r="C146" t="s">
        <v>566</v>
      </c>
      <c r="D146">
        <v>2016</v>
      </c>
      <c r="E146">
        <v>4</v>
      </c>
      <c r="F146">
        <v>0</v>
      </c>
      <c r="G146" t="s">
        <v>78</v>
      </c>
      <c r="H146" s="5">
        <v>12</v>
      </c>
      <c r="I146">
        <f t="shared" si="25"/>
        <v>2028</v>
      </c>
      <c r="J146" s="4">
        <f t="shared" si="24"/>
        <v>2028.3333333333333</v>
      </c>
      <c r="K146" s="29">
        <v>6282.86</v>
      </c>
      <c r="L146" s="29">
        <f t="shared" si="26"/>
        <v>6282.86</v>
      </c>
      <c r="M146" s="29">
        <f t="shared" si="27"/>
        <v>43.630972222222219</v>
      </c>
      <c r="N146" s="29">
        <f t="shared" si="28"/>
        <v>523.5716666666666</v>
      </c>
      <c r="O146" s="29">
        <f t="shared" si="29"/>
        <v>523.5716666666666</v>
      </c>
      <c r="P146" s="29">
        <f t="shared" si="30"/>
        <v>3708.6326388889679</v>
      </c>
      <c r="Q146" s="29">
        <f t="shared" si="31"/>
        <v>4232.2043055556342</v>
      </c>
      <c r="R146" s="29">
        <f t="shared" si="32"/>
        <v>2050.6556944443655</v>
      </c>
    </row>
    <row r="147" spans="1:18">
      <c r="A147" s="44">
        <v>132478</v>
      </c>
      <c r="B147">
        <v>15</v>
      </c>
      <c r="C147" t="s">
        <v>567</v>
      </c>
      <c r="D147">
        <v>2016</v>
      </c>
      <c r="E147">
        <v>4</v>
      </c>
      <c r="F147">
        <v>0</v>
      </c>
      <c r="G147" t="s">
        <v>78</v>
      </c>
      <c r="H147" s="5">
        <v>12</v>
      </c>
      <c r="I147">
        <f t="shared" si="25"/>
        <v>2028</v>
      </c>
      <c r="J147" s="4">
        <f t="shared" si="24"/>
        <v>2028.3333333333333</v>
      </c>
      <c r="K147" s="29">
        <v>12636.38</v>
      </c>
      <c r="L147" s="29">
        <f t="shared" si="26"/>
        <v>12636.38</v>
      </c>
      <c r="M147" s="29">
        <f t="shared" si="27"/>
        <v>87.752638888888882</v>
      </c>
      <c r="N147" s="29">
        <f t="shared" si="28"/>
        <v>1053.0316666666665</v>
      </c>
      <c r="O147" s="29">
        <f t="shared" si="29"/>
        <v>1053.0316666666665</v>
      </c>
      <c r="P147" s="29">
        <f t="shared" si="30"/>
        <v>7458.9743055557146</v>
      </c>
      <c r="Q147" s="29">
        <f t="shared" si="31"/>
        <v>8512.0059722223814</v>
      </c>
      <c r="R147" s="29">
        <f t="shared" si="32"/>
        <v>4124.3740277776178</v>
      </c>
    </row>
    <row r="148" spans="1:18">
      <c r="A148" s="44">
        <v>177571</v>
      </c>
      <c r="B148">
        <v>8</v>
      </c>
      <c r="C148" t="s">
        <v>613</v>
      </c>
      <c r="D148">
        <v>2017</v>
      </c>
      <c r="E148">
        <v>1</v>
      </c>
      <c r="F148">
        <v>0</v>
      </c>
      <c r="G148" t="s">
        <v>78</v>
      </c>
      <c r="H148" s="5">
        <v>12</v>
      </c>
      <c r="I148">
        <f t="shared" si="25"/>
        <v>2029</v>
      </c>
      <c r="J148" s="4">
        <f t="shared" si="24"/>
        <v>2029.0833333333333</v>
      </c>
      <c r="K148" s="29">
        <v>3921.9</v>
      </c>
      <c r="L148" s="29">
        <f t="shared" si="26"/>
        <v>3921.9</v>
      </c>
      <c r="M148" s="29">
        <f t="shared" si="27"/>
        <v>27.235416666666666</v>
      </c>
      <c r="N148" s="29">
        <f t="shared" si="28"/>
        <v>326.82499999999999</v>
      </c>
      <c r="O148" s="29">
        <f t="shared" si="29"/>
        <v>326.82499999999999</v>
      </c>
      <c r="P148" s="29">
        <f t="shared" si="30"/>
        <v>2069.8916666667164</v>
      </c>
      <c r="Q148" s="29">
        <f t="shared" si="31"/>
        <v>2396.7166666667163</v>
      </c>
      <c r="R148" s="29">
        <f t="shared" si="32"/>
        <v>1525.1833333332838</v>
      </c>
    </row>
    <row r="149" spans="1:18">
      <c r="A149" s="44">
        <v>184510</v>
      </c>
      <c r="B149">
        <v>20</v>
      </c>
      <c r="C149" t="s">
        <v>613</v>
      </c>
      <c r="D149">
        <v>2017</v>
      </c>
      <c r="E149">
        <v>7</v>
      </c>
      <c r="F149">
        <v>0</v>
      </c>
      <c r="G149" t="s">
        <v>78</v>
      </c>
      <c r="H149" s="5">
        <v>12</v>
      </c>
      <c r="I149">
        <f t="shared" si="25"/>
        <v>2029</v>
      </c>
      <c r="J149" s="4">
        <f t="shared" si="24"/>
        <v>2029.5833333333333</v>
      </c>
      <c r="K149" s="29">
        <v>10208.879999999999</v>
      </c>
      <c r="L149" s="29">
        <f t="shared" si="26"/>
        <v>10208.879999999999</v>
      </c>
      <c r="M149" s="29">
        <f t="shared" si="27"/>
        <v>70.894999999999996</v>
      </c>
      <c r="N149" s="29">
        <f t="shared" si="28"/>
        <v>850.74</v>
      </c>
      <c r="O149" s="29">
        <f t="shared" si="29"/>
        <v>850.74</v>
      </c>
      <c r="P149" s="29">
        <f t="shared" si="30"/>
        <v>4962.6500000001288</v>
      </c>
      <c r="Q149" s="29">
        <f t="shared" si="31"/>
        <v>5813.3900000001286</v>
      </c>
      <c r="R149" s="29">
        <f t="shared" si="32"/>
        <v>4395.4899999998706</v>
      </c>
    </row>
    <row r="150" spans="1:18">
      <c r="A150" s="44">
        <v>172713</v>
      </c>
      <c r="B150">
        <v>12</v>
      </c>
      <c r="C150" t="s">
        <v>627</v>
      </c>
      <c r="D150">
        <v>2017</v>
      </c>
      <c r="E150">
        <v>1</v>
      </c>
      <c r="F150">
        <v>0</v>
      </c>
      <c r="G150" t="s">
        <v>78</v>
      </c>
      <c r="H150" s="5">
        <v>12</v>
      </c>
      <c r="I150">
        <f t="shared" si="25"/>
        <v>2029</v>
      </c>
      <c r="J150" s="4">
        <f t="shared" si="24"/>
        <v>2029.0833333333333</v>
      </c>
      <c r="K150" s="29">
        <v>5882.84</v>
      </c>
      <c r="L150" s="29">
        <f t="shared" si="26"/>
        <v>5882.84</v>
      </c>
      <c r="M150" s="29">
        <f t="shared" si="27"/>
        <v>40.853055555555557</v>
      </c>
      <c r="N150" s="29">
        <f t="shared" si="28"/>
        <v>490.23666666666668</v>
      </c>
      <c r="O150" s="29">
        <f t="shared" si="29"/>
        <v>490.23666666666668</v>
      </c>
      <c r="P150" s="29">
        <f t="shared" si="30"/>
        <v>3104.8322222222964</v>
      </c>
      <c r="Q150" s="29">
        <f t="shared" si="31"/>
        <v>3595.0688888889631</v>
      </c>
      <c r="R150" s="29">
        <f t="shared" si="32"/>
        <v>2287.771111111037</v>
      </c>
    </row>
    <row r="151" spans="1:18">
      <c r="A151" s="44">
        <v>177572</v>
      </c>
      <c r="B151">
        <v>6</v>
      </c>
      <c r="C151" t="s">
        <v>623</v>
      </c>
      <c r="D151">
        <v>2017</v>
      </c>
      <c r="E151">
        <v>1</v>
      </c>
      <c r="F151">
        <v>0</v>
      </c>
      <c r="G151" t="s">
        <v>78</v>
      </c>
      <c r="H151" s="5">
        <v>12</v>
      </c>
      <c r="I151">
        <f t="shared" si="25"/>
        <v>2029</v>
      </c>
      <c r="J151" s="4">
        <f t="shared" si="24"/>
        <v>2029.0833333333333</v>
      </c>
      <c r="K151" s="29">
        <v>3169.69</v>
      </c>
      <c r="L151" s="29">
        <f t="shared" si="26"/>
        <v>3169.69</v>
      </c>
      <c r="M151" s="29">
        <f t="shared" si="27"/>
        <v>22.011736111111109</v>
      </c>
      <c r="N151" s="29">
        <f t="shared" si="28"/>
        <v>264.14083333333332</v>
      </c>
      <c r="O151" s="29">
        <f t="shared" si="29"/>
        <v>264.14083333333332</v>
      </c>
      <c r="P151" s="29">
        <f t="shared" si="30"/>
        <v>1672.8919444444848</v>
      </c>
      <c r="Q151" s="29">
        <f t="shared" si="31"/>
        <v>1937.0327777778182</v>
      </c>
      <c r="R151" s="29">
        <f t="shared" si="32"/>
        <v>1232.6572222221819</v>
      </c>
    </row>
    <row r="152" spans="1:18">
      <c r="A152" s="44">
        <v>172714</v>
      </c>
      <c r="B152">
        <v>14</v>
      </c>
      <c r="C152" t="s">
        <v>626</v>
      </c>
      <c r="D152">
        <v>2017</v>
      </c>
      <c r="E152">
        <v>1</v>
      </c>
      <c r="F152">
        <v>0</v>
      </c>
      <c r="G152" t="s">
        <v>78</v>
      </c>
      <c r="H152" s="5">
        <v>12</v>
      </c>
      <c r="I152">
        <f t="shared" si="25"/>
        <v>2029</v>
      </c>
      <c r="J152" s="4">
        <f t="shared" si="24"/>
        <v>2029.0833333333333</v>
      </c>
      <c r="K152" s="29">
        <v>7395.94</v>
      </c>
      <c r="L152" s="29">
        <f t="shared" si="26"/>
        <v>7395.94</v>
      </c>
      <c r="M152" s="29">
        <f t="shared" si="27"/>
        <v>51.360694444444441</v>
      </c>
      <c r="N152" s="29">
        <f t="shared" si="28"/>
        <v>616.32833333333326</v>
      </c>
      <c r="O152" s="29">
        <f t="shared" si="29"/>
        <v>616.32833333333326</v>
      </c>
      <c r="P152" s="29">
        <f t="shared" si="30"/>
        <v>3903.4127777778713</v>
      </c>
      <c r="Q152" s="29">
        <f t="shared" si="31"/>
        <v>4519.7411111112042</v>
      </c>
      <c r="R152" s="29">
        <f t="shared" si="32"/>
        <v>2876.1988888887954</v>
      </c>
    </row>
    <row r="153" spans="1:18">
      <c r="A153" s="44">
        <v>188510</v>
      </c>
      <c r="B153">
        <v>30</v>
      </c>
      <c r="C153" t="s">
        <v>722</v>
      </c>
      <c r="D153">
        <v>2017</v>
      </c>
      <c r="E153">
        <v>10</v>
      </c>
      <c r="F153">
        <v>0</v>
      </c>
      <c r="G153" t="s">
        <v>78</v>
      </c>
      <c r="H153" s="5">
        <v>12</v>
      </c>
      <c r="I153">
        <f t="shared" si="25"/>
        <v>2029</v>
      </c>
      <c r="J153" s="4">
        <f t="shared" si="24"/>
        <v>2029.8333333333333</v>
      </c>
      <c r="K153" s="29">
        <v>16171.66</v>
      </c>
      <c r="L153" s="29">
        <f t="shared" si="26"/>
        <v>16171.66</v>
      </c>
      <c r="M153" s="29">
        <f t="shared" si="27"/>
        <v>112.30319444444444</v>
      </c>
      <c r="N153" s="29">
        <f t="shared" si="28"/>
        <v>1347.6383333333333</v>
      </c>
      <c r="O153" s="29">
        <f t="shared" si="29"/>
        <v>1347.6383333333333</v>
      </c>
      <c r="P153" s="29">
        <f t="shared" si="30"/>
        <v>7524.3140277779821</v>
      </c>
      <c r="Q153" s="29">
        <f t="shared" si="31"/>
        <v>8871.9523611113145</v>
      </c>
      <c r="R153" s="29">
        <f t="shared" si="32"/>
        <v>7299.7076388886853</v>
      </c>
    </row>
    <row r="154" spans="1:18">
      <c r="A154" s="44">
        <v>184511</v>
      </c>
      <c r="B154">
        <v>20</v>
      </c>
      <c r="C154" t="s">
        <v>612</v>
      </c>
      <c r="D154">
        <v>2017</v>
      </c>
      <c r="E154">
        <v>7</v>
      </c>
      <c r="F154">
        <v>0</v>
      </c>
      <c r="G154" t="s">
        <v>78</v>
      </c>
      <c r="H154" s="5">
        <v>12</v>
      </c>
      <c r="I154">
        <f t="shared" si="25"/>
        <v>2029</v>
      </c>
      <c r="J154" s="4">
        <f t="shared" si="24"/>
        <v>2029.5833333333333</v>
      </c>
      <c r="K154" s="29">
        <v>13410.54</v>
      </c>
      <c r="L154" s="29">
        <f t="shared" si="26"/>
        <v>13410.54</v>
      </c>
      <c r="M154" s="29">
        <f t="shared" si="27"/>
        <v>93.128750000000011</v>
      </c>
      <c r="N154" s="29">
        <f t="shared" si="28"/>
        <v>1117.5450000000001</v>
      </c>
      <c r="O154" s="29">
        <f t="shared" si="29"/>
        <v>1117.5450000000001</v>
      </c>
      <c r="P154" s="29">
        <f t="shared" si="30"/>
        <v>6519.0125000001699</v>
      </c>
      <c r="Q154" s="29">
        <f t="shared" si="31"/>
        <v>7636.55750000017</v>
      </c>
      <c r="R154" s="29">
        <f t="shared" si="32"/>
        <v>5773.9824999998309</v>
      </c>
    </row>
    <row r="155" spans="1:18">
      <c r="A155" s="44">
        <v>177573</v>
      </c>
      <c r="B155">
        <v>3</v>
      </c>
      <c r="C155" t="s">
        <v>611</v>
      </c>
      <c r="D155">
        <v>2017</v>
      </c>
      <c r="E155">
        <v>1</v>
      </c>
      <c r="F155">
        <v>0</v>
      </c>
      <c r="G155" t="s">
        <v>78</v>
      </c>
      <c r="H155" s="5">
        <v>12</v>
      </c>
      <c r="I155">
        <f t="shared" si="25"/>
        <v>2029</v>
      </c>
      <c r="J155" s="4">
        <f t="shared" si="24"/>
        <v>2029.0833333333333</v>
      </c>
      <c r="K155" s="29">
        <v>2429.44</v>
      </c>
      <c r="L155" s="29">
        <f t="shared" si="26"/>
        <v>2429.44</v>
      </c>
      <c r="M155" s="29">
        <f t="shared" si="27"/>
        <v>16.871111111111112</v>
      </c>
      <c r="N155" s="29">
        <f t="shared" si="28"/>
        <v>202.45333333333335</v>
      </c>
      <c r="O155" s="29">
        <f t="shared" si="29"/>
        <v>202.45333333333335</v>
      </c>
      <c r="P155" s="29">
        <f t="shared" si="30"/>
        <v>1282.204444444475</v>
      </c>
      <c r="Q155" s="29">
        <f t="shared" si="31"/>
        <v>1484.6577777778084</v>
      </c>
      <c r="R155" s="29">
        <f t="shared" si="32"/>
        <v>944.78222222219165</v>
      </c>
    </row>
    <row r="156" spans="1:18">
      <c r="A156" s="44">
        <v>184512</v>
      </c>
      <c r="B156">
        <v>15</v>
      </c>
      <c r="C156" t="s">
        <v>611</v>
      </c>
      <c r="D156">
        <v>2017</v>
      </c>
      <c r="E156">
        <v>7</v>
      </c>
      <c r="F156">
        <v>0</v>
      </c>
      <c r="G156" t="s">
        <v>78</v>
      </c>
      <c r="H156" s="5">
        <v>12</v>
      </c>
      <c r="I156">
        <f t="shared" si="25"/>
        <v>2029</v>
      </c>
      <c r="J156" s="4">
        <f t="shared" si="24"/>
        <v>2029.5833333333333</v>
      </c>
      <c r="K156" s="29">
        <v>12459.15</v>
      </c>
      <c r="L156" s="29">
        <f t="shared" si="26"/>
        <v>12459.15</v>
      </c>
      <c r="M156" s="29">
        <f t="shared" si="27"/>
        <v>86.521875000000009</v>
      </c>
      <c r="N156" s="29">
        <f t="shared" si="28"/>
        <v>1038.2625</v>
      </c>
      <c r="O156" s="29">
        <f t="shared" si="29"/>
        <v>1038.2625</v>
      </c>
      <c r="P156" s="29">
        <f t="shared" si="30"/>
        <v>6056.5312500001564</v>
      </c>
      <c r="Q156" s="29">
        <f t="shared" si="31"/>
        <v>7094.7937500001563</v>
      </c>
      <c r="R156" s="29">
        <f t="shared" si="32"/>
        <v>5364.3562499998434</v>
      </c>
    </row>
    <row r="157" spans="1:18">
      <c r="A157" s="44">
        <v>172715</v>
      </c>
      <c r="B157">
        <v>7</v>
      </c>
      <c r="C157" t="s">
        <v>625</v>
      </c>
      <c r="D157">
        <v>2017</v>
      </c>
      <c r="E157">
        <v>1</v>
      </c>
      <c r="F157">
        <v>0</v>
      </c>
      <c r="G157" t="s">
        <v>78</v>
      </c>
      <c r="H157" s="5">
        <v>12</v>
      </c>
      <c r="I157">
        <f t="shared" si="25"/>
        <v>2029</v>
      </c>
      <c r="J157" s="4">
        <f t="shared" si="24"/>
        <v>2029.0833333333333</v>
      </c>
      <c r="K157" s="29">
        <v>5668.7</v>
      </c>
      <c r="L157" s="29">
        <f t="shared" si="26"/>
        <v>5668.7</v>
      </c>
      <c r="M157" s="29">
        <f t="shared" si="27"/>
        <v>39.365972222222219</v>
      </c>
      <c r="N157" s="29">
        <f t="shared" si="28"/>
        <v>472.39166666666665</v>
      </c>
      <c r="O157" s="29">
        <f t="shared" si="29"/>
        <v>472.39166666666665</v>
      </c>
      <c r="P157" s="29">
        <f t="shared" si="30"/>
        <v>2991.8138888889607</v>
      </c>
      <c r="Q157" s="29">
        <f t="shared" si="31"/>
        <v>3464.2055555556271</v>
      </c>
      <c r="R157" s="29">
        <f t="shared" si="32"/>
        <v>2204.4944444443727</v>
      </c>
    </row>
    <row r="158" spans="1:18">
      <c r="A158" s="44">
        <v>207444</v>
      </c>
      <c r="B158">
        <v>48</v>
      </c>
      <c r="C158" t="s">
        <v>753</v>
      </c>
      <c r="D158">
        <v>2018</v>
      </c>
      <c r="E158">
        <v>11</v>
      </c>
      <c r="F158">
        <v>0</v>
      </c>
      <c r="G158" t="s">
        <v>78</v>
      </c>
      <c r="H158" s="5">
        <v>12</v>
      </c>
      <c r="I158">
        <f t="shared" si="25"/>
        <v>2030</v>
      </c>
      <c r="J158" s="4">
        <f t="shared" si="24"/>
        <v>2030.9166666666667</v>
      </c>
      <c r="K158" s="29">
        <v>29272.880000000001</v>
      </c>
      <c r="L158" s="29">
        <f t="shared" si="26"/>
        <v>29272.880000000001</v>
      </c>
      <c r="M158" s="29">
        <f t="shared" si="27"/>
        <v>203.2838888888889</v>
      </c>
      <c r="N158" s="29">
        <f t="shared" si="28"/>
        <v>2439.4066666666668</v>
      </c>
      <c r="O158" s="29">
        <f t="shared" si="29"/>
        <v>2439.4066666666668</v>
      </c>
      <c r="P158" s="29">
        <f t="shared" si="30"/>
        <v>10977.330000000002</v>
      </c>
      <c r="Q158" s="29">
        <f t="shared" si="31"/>
        <v>13416.736666666668</v>
      </c>
      <c r="R158" s="29">
        <f t="shared" si="32"/>
        <v>15856.143333333333</v>
      </c>
    </row>
    <row r="159" spans="1:18">
      <c r="A159" s="44">
        <v>206757</v>
      </c>
      <c r="B159">
        <v>20</v>
      </c>
      <c r="C159" t="s">
        <v>755</v>
      </c>
      <c r="D159">
        <v>2018</v>
      </c>
      <c r="E159">
        <v>11</v>
      </c>
      <c r="F159">
        <v>0</v>
      </c>
      <c r="G159" t="s">
        <v>78</v>
      </c>
      <c r="H159" s="5">
        <v>12</v>
      </c>
      <c r="I159">
        <f t="shared" si="25"/>
        <v>2030</v>
      </c>
      <c r="J159" s="4">
        <f t="shared" si="24"/>
        <v>2030.9166666666667</v>
      </c>
      <c r="K159" s="29">
        <v>13643.59</v>
      </c>
      <c r="L159" s="29">
        <f t="shared" si="26"/>
        <v>13643.59</v>
      </c>
      <c r="M159" s="29">
        <f t="shared" si="27"/>
        <v>94.747152777777785</v>
      </c>
      <c r="N159" s="29">
        <f t="shared" si="28"/>
        <v>1136.9658333333334</v>
      </c>
      <c r="O159" s="29">
        <f t="shared" si="29"/>
        <v>1136.9658333333334</v>
      </c>
      <c r="P159" s="29">
        <f t="shared" si="30"/>
        <v>5116.3462499999987</v>
      </c>
      <c r="Q159" s="29">
        <f t="shared" si="31"/>
        <v>6253.3120833333323</v>
      </c>
      <c r="R159" s="29">
        <f t="shared" si="32"/>
        <v>7390.2779166666678</v>
      </c>
    </row>
    <row r="160" spans="1:18">
      <c r="A160" s="44">
        <v>207445</v>
      </c>
      <c r="B160">
        <v>22</v>
      </c>
      <c r="C160" t="s">
        <v>752</v>
      </c>
      <c r="D160">
        <v>2018</v>
      </c>
      <c r="E160">
        <v>11</v>
      </c>
      <c r="F160">
        <v>0</v>
      </c>
      <c r="G160" t="s">
        <v>78</v>
      </c>
      <c r="H160" s="5">
        <v>12</v>
      </c>
      <c r="I160">
        <f t="shared" si="25"/>
        <v>2030</v>
      </c>
      <c r="J160" s="4">
        <f t="shared" si="24"/>
        <v>2030.9166666666667</v>
      </c>
      <c r="K160" s="29">
        <v>17253.61</v>
      </c>
      <c r="L160" s="29">
        <f t="shared" si="26"/>
        <v>17253.61</v>
      </c>
      <c r="M160" s="29">
        <f t="shared" si="27"/>
        <v>119.81673611111113</v>
      </c>
      <c r="N160" s="29">
        <f t="shared" si="28"/>
        <v>1437.8008333333335</v>
      </c>
      <c r="O160" s="29">
        <f t="shared" si="29"/>
        <v>1437.8008333333335</v>
      </c>
      <c r="P160" s="29">
        <f t="shared" si="30"/>
        <v>6470.1037499999984</v>
      </c>
      <c r="Q160" s="29">
        <f t="shared" si="31"/>
        <v>7907.9045833333321</v>
      </c>
      <c r="R160" s="29">
        <f t="shared" si="32"/>
        <v>9345.7054166666676</v>
      </c>
    </row>
    <row r="161" spans="1:18">
      <c r="A161" s="44">
        <v>207446</v>
      </c>
      <c r="B161">
        <v>22</v>
      </c>
      <c r="C161" t="s">
        <v>751</v>
      </c>
      <c r="D161">
        <v>2018</v>
      </c>
      <c r="E161">
        <v>11</v>
      </c>
      <c r="F161">
        <v>0</v>
      </c>
      <c r="G161" t="s">
        <v>78</v>
      </c>
      <c r="H161" s="5">
        <v>12</v>
      </c>
      <c r="I161">
        <f t="shared" si="25"/>
        <v>2030</v>
      </c>
      <c r="J161" s="4">
        <f t="shared" si="24"/>
        <v>2030.9166666666667</v>
      </c>
      <c r="K161" s="29">
        <v>16484.080000000002</v>
      </c>
      <c r="L161" s="29">
        <f t="shared" si="26"/>
        <v>16484.080000000002</v>
      </c>
      <c r="M161" s="29">
        <f t="shared" si="27"/>
        <v>114.47277777777778</v>
      </c>
      <c r="N161" s="29">
        <f t="shared" si="28"/>
        <v>1373.6733333333334</v>
      </c>
      <c r="O161" s="29">
        <f t="shared" si="29"/>
        <v>1373.6733333333334</v>
      </c>
      <c r="P161" s="29">
        <f t="shared" si="30"/>
        <v>6181.5300000000025</v>
      </c>
      <c r="Q161" s="29">
        <f t="shared" si="31"/>
        <v>7555.2033333333356</v>
      </c>
      <c r="R161" s="29">
        <f t="shared" si="32"/>
        <v>8928.876666666667</v>
      </c>
    </row>
    <row r="162" spans="1:18">
      <c r="A162" s="44">
        <v>206758</v>
      </c>
      <c r="B162">
        <v>24</v>
      </c>
      <c r="C162" t="s">
        <v>754</v>
      </c>
      <c r="D162">
        <v>2018</v>
      </c>
      <c r="E162">
        <v>11</v>
      </c>
      <c r="F162">
        <v>0</v>
      </c>
      <c r="G162" t="s">
        <v>78</v>
      </c>
      <c r="H162" s="5">
        <v>12</v>
      </c>
      <c r="I162">
        <f t="shared" si="25"/>
        <v>2030</v>
      </c>
      <c r="J162" s="4">
        <f t="shared" si="24"/>
        <v>2030.9166666666667</v>
      </c>
      <c r="K162" s="29">
        <v>22721.59</v>
      </c>
      <c r="L162" s="29">
        <f t="shared" si="26"/>
        <v>22721.59</v>
      </c>
      <c r="M162" s="29">
        <f t="shared" si="27"/>
        <v>157.78881944444444</v>
      </c>
      <c r="N162" s="29">
        <f t="shared" si="28"/>
        <v>1893.4658333333332</v>
      </c>
      <c r="O162" s="29">
        <f t="shared" si="29"/>
        <v>1893.4658333333332</v>
      </c>
      <c r="P162" s="29">
        <f t="shared" si="30"/>
        <v>8520.5962500000005</v>
      </c>
      <c r="Q162" s="29">
        <f t="shared" si="31"/>
        <v>10414.062083333334</v>
      </c>
      <c r="R162" s="29">
        <f t="shared" si="32"/>
        <v>12307.527916666666</v>
      </c>
    </row>
    <row r="163" spans="1:18">
      <c r="A163" s="44">
        <v>218186</v>
      </c>
      <c r="B163">
        <v>16</v>
      </c>
      <c r="C163" t="s">
        <v>755</v>
      </c>
      <c r="D163">
        <v>2019</v>
      </c>
      <c r="E163">
        <v>7</v>
      </c>
      <c r="F163">
        <v>0</v>
      </c>
      <c r="G163" t="s">
        <v>78</v>
      </c>
      <c r="H163" s="5">
        <v>12</v>
      </c>
      <c r="I163">
        <f t="shared" si="25"/>
        <v>2031</v>
      </c>
      <c r="J163" s="4">
        <f t="shared" si="24"/>
        <v>2031.5833333333333</v>
      </c>
      <c r="K163" s="29">
        <v>10405.36</v>
      </c>
      <c r="L163" s="29">
        <f t="shared" si="26"/>
        <v>10405.36</v>
      </c>
      <c r="M163" s="29">
        <f t="shared" si="27"/>
        <v>72.259444444444441</v>
      </c>
      <c r="N163" s="29">
        <f t="shared" si="28"/>
        <v>867.11333333333323</v>
      </c>
      <c r="O163" s="29">
        <f t="shared" si="29"/>
        <v>867.11333333333323</v>
      </c>
      <c r="P163" s="29">
        <f t="shared" si="30"/>
        <v>3323.9344444445769</v>
      </c>
      <c r="Q163" s="29">
        <f t="shared" si="31"/>
        <v>4191.0477777779106</v>
      </c>
      <c r="R163" s="29">
        <f t="shared" si="32"/>
        <v>6214.31222222209</v>
      </c>
    </row>
    <row r="164" spans="1:18">
      <c r="A164" s="44">
        <v>218957</v>
      </c>
      <c r="B164">
        <v>4</v>
      </c>
      <c r="C164" t="s">
        <v>821</v>
      </c>
      <c r="D164">
        <v>2019</v>
      </c>
      <c r="E164">
        <v>7</v>
      </c>
      <c r="F164">
        <v>0</v>
      </c>
      <c r="G164" t="s">
        <v>78</v>
      </c>
      <c r="H164" s="5">
        <v>12</v>
      </c>
      <c r="I164">
        <f t="shared" ref="I164:I169" si="33">D164+H164</f>
        <v>2031</v>
      </c>
      <c r="J164" s="4">
        <f t="shared" ref="J164:J169" si="34">+I164+(E164/12)</f>
        <v>2031.5833333333333</v>
      </c>
      <c r="K164" s="29">
        <v>2601.34</v>
      </c>
      <c r="L164" s="29">
        <f t="shared" ref="L164:L179" si="35">K164-K164*F164</f>
        <v>2601.34</v>
      </c>
      <c r="M164" s="29">
        <f t="shared" si="27"/>
        <v>18.06486111111111</v>
      </c>
      <c r="N164" s="29">
        <f t="shared" si="28"/>
        <v>216.77833333333331</v>
      </c>
      <c r="O164" s="29">
        <f t="shared" si="29"/>
        <v>216.77833333333331</v>
      </c>
      <c r="P164" s="29">
        <f t="shared" si="30"/>
        <v>830.98361111114423</v>
      </c>
      <c r="Q164" s="29">
        <f t="shared" si="31"/>
        <v>1047.7619444444776</v>
      </c>
      <c r="R164" s="29">
        <f t="shared" si="32"/>
        <v>1553.5780555555225</v>
      </c>
    </row>
    <row r="165" spans="1:18">
      <c r="A165" s="44">
        <v>218956</v>
      </c>
      <c r="B165">
        <v>10</v>
      </c>
      <c r="C165" t="s">
        <v>822</v>
      </c>
      <c r="D165">
        <v>2019</v>
      </c>
      <c r="E165">
        <v>8</v>
      </c>
      <c r="F165">
        <v>0</v>
      </c>
      <c r="G165" t="s">
        <v>78</v>
      </c>
      <c r="H165" s="5">
        <v>12</v>
      </c>
      <c r="I165">
        <f t="shared" si="33"/>
        <v>2031</v>
      </c>
      <c r="J165" s="4">
        <f t="shared" si="34"/>
        <v>2031.6666666666667</v>
      </c>
      <c r="K165" s="29">
        <v>9290.5</v>
      </c>
      <c r="L165" s="29">
        <f t="shared" si="35"/>
        <v>9290.5</v>
      </c>
      <c r="M165" s="29">
        <f t="shared" si="27"/>
        <v>64.517361111111114</v>
      </c>
      <c r="N165" s="29">
        <f t="shared" si="28"/>
        <v>774.20833333333337</v>
      </c>
      <c r="O165" s="29">
        <f t="shared" si="29"/>
        <v>774.20833333333337</v>
      </c>
      <c r="P165" s="29">
        <f t="shared" si="30"/>
        <v>2903.28125</v>
      </c>
      <c r="Q165" s="29">
        <f t="shared" si="31"/>
        <v>3677.4895833333335</v>
      </c>
      <c r="R165" s="29">
        <f t="shared" si="32"/>
        <v>5613.0104166666661</v>
      </c>
    </row>
    <row r="166" spans="1:18">
      <c r="A166" s="44">
        <v>218955</v>
      </c>
      <c r="B166">
        <v>15</v>
      </c>
      <c r="C166" t="s">
        <v>823</v>
      </c>
      <c r="D166">
        <v>2019</v>
      </c>
      <c r="E166">
        <v>7</v>
      </c>
      <c r="F166">
        <v>0</v>
      </c>
      <c r="G166" t="s">
        <v>78</v>
      </c>
      <c r="H166" s="5">
        <v>12</v>
      </c>
      <c r="I166">
        <f t="shared" si="33"/>
        <v>2031</v>
      </c>
      <c r="J166" s="4">
        <f t="shared" si="34"/>
        <v>2031.5833333333333</v>
      </c>
      <c r="K166" s="29">
        <v>14673.54</v>
      </c>
      <c r="L166" s="29">
        <f t="shared" si="35"/>
        <v>14673.54</v>
      </c>
      <c r="M166" s="29">
        <f t="shared" si="27"/>
        <v>101.89958333333334</v>
      </c>
      <c r="N166" s="29">
        <f t="shared" si="28"/>
        <v>1222.7950000000001</v>
      </c>
      <c r="O166" s="29">
        <f t="shared" si="29"/>
        <v>1222.7950000000001</v>
      </c>
      <c r="P166" s="29">
        <f t="shared" si="30"/>
        <v>4687.3808333335182</v>
      </c>
      <c r="Q166" s="29">
        <f t="shared" si="31"/>
        <v>5910.1758333335183</v>
      </c>
      <c r="R166" s="29">
        <f t="shared" si="32"/>
        <v>8763.3641666664826</v>
      </c>
    </row>
    <row r="167" spans="1:18">
      <c r="A167" s="44">
        <v>219600</v>
      </c>
      <c r="B167">
        <v>20</v>
      </c>
      <c r="C167" t="s">
        <v>824</v>
      </c>
      <c r="D167">
        <v>2019</v>
      </c>
      <c r="E167">
        <v>8</v>
      </c>
      <c r="F167">
        <v>0</v>
      </c>
      <c r="G167" t="s">
        <v>78</v>
      </c>
      <c r="H167" s="5">
        <v>12</v>
      </c>
      <c r="I167">
        <f t="shared" si="33"/>
        <v>2031</v>
      </c>
      <c r="J167" s="4">
        <f t="shared" si="34"/>
        <v>2031.6666666666667</v>
      </c>
      <c r="K167" s="29">
        <v>19018.2</v>
      </c>
      <c r="L167" s="29">
        <f t="shared" si="35"/>
        <v>19018.2</v>
      </c>
      <c r="M167" s="29">
        <f t="shared" si="27"/>
        <v>132.07083333333335</v>
      </c>
      <c r="N167" s="29">
        <f t="shared" si="28"/>
        <v>1584.8500000000004</v>
      </c>
      <c r="O167" s="29">
        <f t="shared" si="29"/>
        <v>1584.8500000000004</v>
      </c>
      <c r="P167" s="29">
        <f t="shared" si="30"/>
        <v>5943.1874999999982</v>
      </c>
      <c r="Q167" s="29">
        <f t="shared" si="31"/>
        <v>7528.0374999999985</v>
      </c>
      <c r="R167" s="29">
        <f t="shared" si="32"/>
        <v>11490.162500000002</v>
      </c>
    </row>
    <row r="168" spans="1:18">
      <c r="A168" s="44">
        <v>219599</v>
      </c>
      <c r="B168">
        <v>20</v>
      </c>
      <c r="C168" t="s">
        <v>755</v>
      </c>
      <c r="D168">
        <v>2019</v>
      </c>
      <c r="E168">
        <v>8</v>
      </c>
      <c r="F168">
        <v>0</v>
      </c>
      <c r="G168" t="s">
        <v>78</v>
      </c>
      <c r="H168" s="5">
        <v>12</v>
      </c>
      <c r="I168">
        <f t="shared" si="33"/>
        <v>2031</v>
      </c>
      <c r="J168" s="4">
        <f t="shared" si="34"/>
        <v>2031.6666666666667</v>
      </c>
      <c r="K168" s="29">
        <v>13334.6</v>
      </c>
      <c r="L168" s="29">
        <f t="shared" si="35"/>
        <v>13334.6</v>
      </c>
      <c r="M168" s="29">
        <f t="shared" si="27"/>
        <v>92.601388888888891</v>
      </c>
      <c r="N168" s="29">
        <f t="shared" si="28"/>
        <v>1111.2166666666667</v>
      </c>
      <c r="O168" s="29">
        <f t="shared" si="29"/>
        <v>1111.2166666666667</v>
      </c>
      <c r="P168" s="29">
        <f t="shared" si="30"/>
        <v>4167.0625</v>
      </c>
      <c r="Q168" s="29">
        <f t="shared" si="31"/>
        <v>5278.2791666666672</v>
      </c>
      <c r="R168" s="29">
        <f t="shared" si="32"/>
        <v>8056.3208333333332</v>
      </c>
    </row>
    <row r="169" spans="1:18">
      <c r="A169" s="44">
        <v>225390</v>
      </c>
      <c r="B169">
        <v>15</v>
      </c>
      <c r="C169" t="s">
        <v>825</v>
      </c>
      <c r="D169">
        <v>2019</v>
      </c>
      <c r="E169">
        <v>11</v>
      </c>
      <c r="F169">
        <v>0</v>
      </c>
      <c r="G169" t="s">
        <v>78</v>
      </c>
      <c r="H169" s="5">
        <v>12</v>
      </c>
      <c r="I169">
        <f t="shared" si="33"/>
        <v>2031</v>
      </c>
      <c r="J169" s="4">
        <f t="shared" si="34"/>
        <v>2031.9166666666667</v>
      </c>
      <c r="K169" s="29">
        <v>13074.53</v>
      </c>
      <c r="L169" s="29">
        <f t="shared" si="35"/>
        <v>13074.53</v>
      </c>
      <c r="M169" s="29">
        <f t="shared" si="27"/>
        <v>90.795347222222233</v>
      </c>
      <c r="N169" s="29">
        <f t="shared" si="28"/>
        <v>1089.5441666666668</v>
      </c>
      <c r="O169" s="29">
        <f t="shared" si="29"/>
        <v>1089.5441666666668</v>
      </c>
      <c r="P169" s="29">
        <f t="shared" si="30"/>
        <v>3813.404583333333</v>
      </c>
      <c r="Q169" s="29">
        <f t="shared" si="31"/>
        <v>4902.9487499999996</v>
      </c>
      <c r="R169" s="29">
        <f t="shared" si="32"/>
        <v>8171.5812500000011</v>
      </c>
    </row>
    <row r="170" spans="1:18">
      <c r="A170" s="44">
        <v>225389</v>
      </c>
      <c r="B170">
        <v>20</v>
      </c>
      <c r="C170" t="s">
        <v>826</v>
      </c>
      <c r="D170">
        <v>2019</v>
      </c>
      <c r="E170">
        <v>11</v>
      </c>
      <c r="F170">
        <v>0</v>
      </c>
      <c r="G170" t="s">
        <v>78</v>
      </c>
      <c r="H170" s="5">
        <v>12</v>
      </c>
      <c r="I170">
        <f t="shared" ref="I170:I179" si="36">D170+H170</f>
        <v>2031</v>
      </c>
      <c r="J170" s="4">
        <f t="shared" ref="J170:J179" si="37">+I170+(E170/12)</f>
        <v>2031.9166666666667</v>
      </c>
      <c r="K170" s="29">
        <v>10646.34</v>
      </c>
      <c r="L170" s="29">
        <f t="shared" si="35"/>
        <v>10646.34</v>
      </c>
      <c r="M170" s="29">
        <f t="shared" si="27"/>
        <v>73.932916666666671</v>
      </c>
      <c r="N170" s="29">
        <f t="shared" si="28"/>
        <v>887.19500000000005</v>
      </c>
      <c r="O170" s="29">
        <f t="shared" si="29"/>
        <v>887.19500000000005</v>
      </c>
      <c r="P170" s="29">
        <f t="shared" si="30"/>
        <v>3105.1824999999999</v>
      </c>
      <c r="Q170" s="29">
        <f t="shared" si="31"/>
        <v>3992.3775000000001</v>
      </c>
      <c r="R170" s="29">
        <f t="shared" si="32"/>
        <v>6653.9624999999996</v>
      </c>
    </row>
    <row r="171" spans="1:18">
      <c r="A171" s="44">
        <v>225388</v>
      </c>
      <c r="B171">
        <v>35</v>
      </c>
      <c r="C171" t="s">
        <v>827</v>
      </c>
      <c r="D171">
        <v>2019</v>
      </c>
      <c r="E171">
        <v>11</v>
      </c>
      <c r="F171">
        <v>0</v>
      </c>
      <c r="G171" t="s">
        <v>78</v>
      </c>
      <c r="H171" s="5">
        <v>12</v>
      </c>
      <c r="I171">
        <f t="shared" si="36"/>
        <v>2031</v>
      </c>
      <c r="J171" s="4">
        <f t="shared" si="37"/>
        <v>2031.9166666666667</v>
      </c>
      <c r="K171" s="29">
        <v>20566.95</v>
      </c>
      <c r="L171" s="29">
        <f t="shared" si="35"/>
        <v>20566.95</v>
      </c>
      <c r="M171" s="29">
        <f t="shared" si="27"/>
        <v>142.82604166666667</v>
      </c>
      <c r="N171" s="29">
        <f t="shared" si="28"/>
        <v>1713.9124999999999</v>
      </c>
      <c r="O171" s="29">
        <f t="shared" si="29"/>
        <v>1713.9124999999999</v>
      </c>
      <c r="P171" s="29">
        <f t="shared" si="30"/>
        <v>5998.6937500000004</v>
      </c>
      <c r="Q171" s="29">
        <f t="shared" si="31"/>
        <v>7712.6062500000007</v>
      </c>
      <c r="R171" s="29">
        <f t="shared" si="32"/>
        <v>12854.34375</v>
      </c>
    </row>
    <row r="172" spans="1:18">
      <c r="A172" s="44">
        <v>225387</v>
      </c>
      <c r="B172">
        <v>15</v>
      </c>
      <c r="C172" t="s">
        <v>828</v>
      </c>
      <c r="D172">
        <v>2019</v>
      </c>
      <c r="E172">
        <v>11</v>
      </c>
      <c r="F172">
        <v>0</v>
      </c>
      <c r="G172" t="s">
        <v>78</v>
      </c>
      <c r="H172" s="5">
        <v>12</v>
      </c>
      <c r="I172">
        <f t="shared" si="36"/>
        <v>2031</v>
      </c>
      <c r="J172" s="4">
        <f t="shared" si="37"/>
        <v>2031.9166666666667</v>
      </c>
      <c r="K172" s="29">
        <v>8893.2000000000007</v>
      </c>
      <c r="L172" s="29">
        <f t="shared" si="35"/>
        <v>8893.2000000000007</v>
      </c>
      <c r="M172" s="29">
        <f t="shared" si="27"/>
        <v>61.758333333333333</v>
      </c>
      <c r="N172" s="29">
        <f t="shared" si="28"/>
        <v>741.1</v>
      </c>
      <c r="O172" s="29">
        <f t="shared" si="29"/>
        <v>741.1</v>
      </c>
      <c r="P172" s="29">
        <f t="shared" si="30"/>
        <v>2593.8500000000004</v>
      </c>
      <c r="Q172" s="29">
        <f t="shared" si="31"/>
        <v>3334.9500000000003</v>
      </c>
      <c r="R172" s="29">
        <f t="shared" si="32"/>
        <v>5558.25</v>
      </c>
    </row>
    <row r="173" spans="1:18">
      <c r="A173" s="44">
        <v>236859</v>
      </c>
      <c r="B173">
        <v>15</v>
      </c>
      <c r="C173" s="47" t="s">
        <v>851</v>
      </c>
      <c r="D173">
        <v>2020</v>
      </c>
      <c r="E173">
        <v>8</v>
      </c>
      <c r="F173">
        <v>0</v>
      </c>
      <c r="G173" t="s">
        <v>78</v>
      </c>
      <c r="H173" s="5">
        <v>12</v>
      </c>
      <c r="I173">
        <f t="shared" si="36"/>
        <v>2032</v>
      </c>
      <c r="J173" s="4">
        <f t="shared" si="37"/>
        <v>2032.6666666666667</v>
      </c>
      <c r="K173" s="29">
        <v>7349.18</v>
      </c>
      <c r="L173" s="29">
        <f t="shared" si="35"/>
        <v>7349.18</v>
      </c>
      <c r="M173" s="29">
        <f t="shared" si="27"/>
        <v>51.035972222222227</v>
      </c>
      <c r="N173" s="29">
        <f t="shared" si="28"/>
        <v>612.43166666666673</v>
      </c>
      <c r="O173" s="29">
        <f t="shared" si="29"/>
        <v>612.43166666666673</v>
      </c>
      <c r="P173" s="29">
        <f t="shared" si="30"/>
        <v>1684.1870833333332</v>
      </c>
      <c r="Q173" s="29">
        <f t="shared" si="31"/>
        <v>2296.6187500000001</v>
      </c>
      <c r="R173" s="29">
        <f t="shared" si="32"/>
        <v>5052.5612500000007</v>
      </c>
    </row>
    <row r="174" spans="1:18">
      <c r="A174" s="44">
        <v>236858</v>
      </c>
      <c r="B174">
        <v>25</v>
      </c>
      <c r="C174" s="47" t="s">
        <v>850</v>
      </c>
      <c r="D174">
        <v>2020</v>
      </c>
      <c r="E174">
        <v>8</v>
      </c>
      <c r="F174">
        <v>0</v>
      </c>
      <c r="G174" t="s">
        <v>78</v>
      </c>
      <c r="H174" s="5">
        <v>12</v>
      </c>
      <c r="I174">
        <f t="shared" si="36"/>
        <v>2032</v>
      </c>
      <c r="J174" s="4">
        <f t="shared" si="37"/>
        <v>2032.6666666666667</v>
      </c>
      <c r="K174" s="29">
        <v>15940.84</v>
      </c>
      <c r="L174" s="29">
        <f t="shared" si="35"/>
        <v>15940.84</v>
      </c>
      <c r="M174" s="29">
        <f t="shared" si="27"/>
        <v>110.70027777777779</v>
      </c>
      <c r="N174" s="29">
        <f t="shared" si="28"/>
        <v>1328.4033333333334</v>
      </c>
      <c r="O174" s="29">
        <f t="shared" si="29"/>
        <v>1328.4033333333334</v>
      </c>
      <c r="P174" s="29">
        <f t="shared" si="30"/>
        <v>3653.1091666666653</v>
      </c>
      <c r="Q174" s="29">
        <f t="shared" si="31"/>
        <v>4981.5124999999989</v>
      </c>
      <c r="R174" s="29">
        <f t="shared" si="32"/>
        <v>10959.327500000001</v>
      </c>
    </row>
    <row r="175" spans="1:18">
      <c r="A175" s="44">
        <v>236857</v>
      </c>
      <c r="B175">
        <v>25</v>
      </c>
      <c r="C175" s="47" t="s">
        <v>849</v>
      </c>
      <c r="D175">
        <v>2020</v>
      </c>
      <c r="E175">
        <v>8</v>
      </c>
      <c r="F175">
        <v>0</v>
      </c>
      <c r="G175" t="s">
        <v>78</v>
      </c>
      <c r="H175" s="5">
        <v>12</v>
      </c>
      <c r="I175">
        <f t="shared" si="36"/>
        <v>2032</v>
      </c>
      <c r="J175" s="4">
        <f t="shared" si="37"/>
        <v>2032.6666666666667</v>
      </c>
      <c r="K175" s="29">
        <v>13862.24</v>
      </c>
      <c r="L175" s="29">
        <f t="shared" si="35"/>
        <v>13862.24</v>
      </c>
      <c r="M175" s="29">
        <f t="shared" si="27"/>
        <v>96.265555555555565</v>
      </c>
      <c r="N175" s="29">
        <f t="shared" si="28"/>
        <v>1155.1866666666667</v>
      </c>
      <c r="O175" s="29">
        <f t="shared" si="29"/>
        <v>1155.1866666666667</v>
      </c>
      <c r="P175" s="29">
        <f t="shared" si="30"/>
        <v>3176.7633333333324</v>
      </c>
      <c r="Q175" s="29">
        <f t="shared" si="31"/>
        <v>4331.9499999999989</v>
      </c>
      <c r="R175" s="29">
        <f t="shared" si="32"/>
        <v>9530.2900000000009</v>
      </c>
    </row>
    <row r="176" spans="1:18">
      <c r="A176" s="44">
        <v>236856</v>
      </c>
      <c r="B176">
        <v>10</v>
      </c>
      <c r="C176" s="47" t="s">
        <v>848</v>
      </c>
      <c r="D176">
        <v>2020</v>
      </c>
      <c r="E176">
        <v>8</v>
      </c>
      <c r="F176">
        <v>0</v>
      </c>
      <c r="G176" s="47" t="s">
        <v>78</v>
      </c>
      <c r="H176" s="5">
        <v>12</v>
      </c>
      <c r="I176">
        <f t="shared" si="36"/>
        <v>2032</v>
      </c>
      <c r="J176" s="4">
        <f t="shared" si="37"/>
        <v>2032.6666666666667</v>
      </c>
      <c r="K176" s="29">
        <v>7868.98</v>
      </c>
      <c r="L176" s="29">
        <f t="shared" si="35"/>
        <v>7868.98</v>
      </c>
      <c r="M176" s="29">
        <f t="shared" si="27"/>
        <v>54.645694444444445</v>
      </c>
      <c r="N176" s="29">
        <f t="shared" si="28"/>
        <v>655.74833333333333</v>
      </c>
      <c r="O176" s="29">
        <f t="shared" si="29"/>
        <v>655.74833333333333</v>
      </c>
      <c r="P176" s="29">
        <f t="shared" si="30"/>
        <v>1803.3079166666666</v>
      </c>
      <c r="Q176" s="29">
        <f t="shared" si="31"/>
        <v>2459.0562500000001</v>
      </c>
      <c r="R176" s="29">
        <f t="shared" si="32"/>
        <v>5409.9237499999999</v>
      </c>
    </row>
    <row r="177" spans="1:19">
      <c r="A177" s="44">
        <v>236855</v>
      </c>
      <c r="B177">
        <v>10</v>
      </c>
      <c r="C177" s="47" t="s">
        <v>852</v>
      </c>
      <c r="D177">
        <v>2020</v>
      </c>
      <c r="E177">
        <v>8</v>
      </c>
      <c r="F177">
        <v>0</v>
      </c>
      <c r="G177" s="47" t="s">
        <v>78</v>
      </c>
      <c r="H177" s="5">
        <v>12</v>
      </c>
      <c r="I177">
        <f t="shared" si="36"/>
        <v>2032</v>
      </c>
      <c r="J177" s="4">
        <f t="shared" si="37"/>
        <v>2032.6666666666667</v>
      </c>
      <c r="K177" s="29">
        <v>5123.05</v>
      </c>
      <c r="L177" s="29">
        <f t="shared" si="35"/>
        <v>5123.05</v>
      </c>
      <c r="M177" s="29">
        <f t="shared" si="27"/>
        <v>35.57673611111111</v>
      </c>
      <c r="N177" s="29">
        <f t="shared" si="28"/>
        <v>426.92083333333335</v>
      </c>
      <c r="O177" s="29">
        <f t="shared" si="29"/>
        <v>426.92083333333335</v>
      </c>
      <c r="P177" s="29">
        <f t="shared" si="30"/>
        <v>1174.0322916666669</v>
      </c>
      <c r="Q177" s="29">
        <f t="shared" si="31"/>
        <v>1600.9531250000002</v>
      </c>
      <c r="R177" s="29">
        <f t="shared" si="32"/>
        <v>3522.0968750000002</v>
      </c>
    </row>
    <row r="178" spans="1:19">
      <c r="A178" s="44">
        <v>236854</v>
      </c>
      <c r="B178">
        <v>15</v>
      </c>
      <c r="C178" s="47" t="s">
        <v>853</v>
      </c>
      <c r="D178">
        <v>2020</v>
      </c>
      <c r="E178">
        <v>8</v>
      </c>
      <c r="F178">
        <v>0</v>
      </c>
      <c r="G178" s="47" t="s">
        <v>78</v>
      </c>
      <c r="H178" s="5">
        <v>12</v>
      </c>
      <c r="I178">
        <f t="shared" si="36"/>
        <v>2032</v>
      </c>
      <c r="J178" s="4">
        <f t="shared" si="37"/>
        <v>2032.6666666666667</v>
      </c>
      <c r="K178" s="29">
        <v>8012.77</v>
      </c>
      <c r="L178" s="29">
        <f t="shared" si="35"/>
        <v>8012.77</v>
      </c>
      <c r="M178" s="29">
        <f t="shared" si="27"/>
        <v>55.64423611111112</v>
      </c>
      <c r="N178" s="29">
        <f t="shared" si="28"/>
        <v>667.73083333333341</v>
      </c>
      <c r="O178" s="29">
        <f t="shared" si="29"/>
        <v>667.73083333333341</v>
      </c>
      <c r="P178" s="29">
        <f t="shared" si="30"/>
        <v>1836.2597916666664</v>
      </c>
      <c r="Q178" s="29">
        <f t="shared" si="31"/>
        <v>2503.9906249999999</v>
      </c>
      <c r="R178" s="29">
        <f t="shared" si="32"/>
        <v>5508.7793750000001</v>
      </c>
    </row>
    <row r="179" spans="1:19">
      <c r="A179" s="44">
        <v>236330</v>
      </c>
      <c r="B179">
        <v>10</v>
      </c>
      <c r="C179" s="47" t="s">
        <v>854</v>
      </c>
      <c r="D179">
        <v>2020</v>
      </c>
      <c r="E179">
        <v>8</v>
      </c>
      <c r="F179">
        <v>0</v>
      </c>
      <c r="G179" s="47" t="s">
        <v>78</v>
      </c>
      <c r="H179" s="5">
        <v>12</v>
      </c>
      <c r="I179">
        <f t="shared" si="36"/>
        <v>2032</v>
      </c>
      <c r="J179" s="4">
        <f t="shared" si="37"/>
        <v>2032.6666666666667</v>
      </c>
      <c r="K179" s="29">
        <v>8281.58</v>
      </c>
      <c r="L179" s="29">
        <f t="shared" si="35"/>
        <v>8281.58</v>
      </c>
      <c r="M179" s="29">
        <f t="shared" si="27"/>
        <v>57.510972222222222</v>
      </c>
      <c r="N179" s="29">
        <f t="shared" si="28"/>
        <v>690.13166666666666</v>
      </c>
      <c r="O179" s="29">
        <f t="shared" si="29"/>
        <v>690.13166666666666</v>
      </c>
      <c r="P179" s="29">
        <f t="shared" si="30"/>
        <v>1897.8620833333334</v>
      </c>
      <c r="Q179" s="29">
        <f t="shared" si="31"/>
        <v>2587.9937500000001</v>
      </c>
      <c r="R179" s="29">
        <f t="shared" si="32"/>
        <v>5693.5862500000003</v>
      </c>
    </row>
    <row r="180" spans="1:19">
      <c r="A180" s="44">
        <v>242995</v>
      </c>
      <c r="B180">
        <v>13</v>
      </c>
      <c r="C180" s="47" t="s">
        <v>890</v>
      </c>
      <c r="D180">
        <v>2020</v>
      </c>
      <c r="E180">
        <v>11</v>
      </c>
      <c r="F180">
        <v>0</v>
      </c>
      <c r="G180" s="47" t="s">
        <v>78</v>
      </c>
      <c r="H180" s="5">
        <v>12</v>
      </c>
      <c r="I180">
        <f t="shared" ref="I180:I189" si="38">D180+H180</f>
        <v>2032</v>
      </c>
      <c r="J180" s="4">
        <f t="shared" ref="J180:J189" si="39">+I180+(E180/12)</f>
        <v>2032.9166666666667</v>
      </c>
      <c r="K180" s="29">
        <v>9912.74</v>
      </c>
      <c r="L180" s="29">
        <f t="shared" ref="L180:L189" si="40">K180-K180*F180</f>
        <v>9912.74</v>
      </c>
      <c r="M180" s="29">
        <f t="shared" si="27"/>
        <v>68.838472222222222</v>
      </c>
      <c r="N180" s="29">
        <f t="shared" si="28"/>
        <v>826.06166666666672</v>
      </c>
      <c r="O180" s="29">
        <f t="shared" si="29"/>
        <v>826.06166666666672</v>
      </c>
      <c r="P180" s="29">
        <f t="shared" si="30"/>
        <v>2065.1541666666662</v>
      </c>
      <c r="Q180" s="29">
        <f t="shared" si="31"/>
        <v>2891.2158333333327</v>
      </c>
      <c r="R180" s="29">
        <f t="shared" si="32"/>
        <v>7021.524166666667</v>
      </c>
      <c r="S180" s="62"/>
    </row>
    <row r="181" spans="1:19">
      <c r="A181" s="44">
        <v>243345</v>
      </c>
      <c r="B181">
        <v>15</v>
      </c>
      <c r="C181" s="47" t="s">
        <v>891</v>
      </c>
      <c r="D181">
        <v>2020</v>
      </c>
      <c r="E181">
        <v>11</v>
      </c>
      <c r="F181">
        <v>0</v>
      </c>
      <c r="G181" s="47" t="s">
        <v>78</v>
      </c>
      <c r="H181" s="5">
        <v>12</v>
      </c>
      <c r="I181">
        <f t="shared" si="38"/>
        <v>2032</v>
      </c>
      <c r="J181" s="4">
        <f t="shared" si="39"/>
        <v>2032.9166666666667</v>
      </c>
      <c r="K181" s="29">
        <v>7876.8</v>
      </c>
      <c r="L181" s="29">
        <f t="shared" si="40"/>
        <v>7876.8</v>
      </c>
      <c r="M181" s="29">
        <f t="shared" si="27"/>
        <v>54.699999999999996</v>
      </c>
      <c r="N181" s="29">
        <f t="shared" si="28"/>
        <v>656.4</v>
      </c>
      <c r="O181" s="29">
        <f t="shared" si="29"/>
        <v>656.4</v>
      </c>
      <c r="P181" s="29">
        <f t="shared" si="30"/>
        <v>1641.0000000000009</v>
      </c>
      <c r="Q181" s="29">
        <f t="shared" si="31"/>
        <v>2297.400000000001</v>
      </c>
      <c r="R181" s="29">
        <f t="shared" si="32"/>
        <v>5579.4</v>
      </c>
      <c r="S181" s="62"/>
    </row>
    <row r="182" spans="1:19">
      <c r="A182" s="44">
        <v>243346</v>
      </c>
      <c r="B182">
        <v>2</v>
      </c>
      <c r="C182" s="47" t="s">
        <v>892</v>
      </c>
      <c r="D182">
        <v>2020</v>
      </c>
      <c r="E182">
        <v>11</v>
      </c>
      <c r="F182">
        <v>0</v>
      </c>
      <c r="G182" s="47" t="s">
        <v>78</v>
      </c>
      <c r="H182" s="5">
        <v>12</v>
      </c>
      <c r="I182">
        <f t="shared" si="38"/>
        <v>2032</v>
      </c>
      <c r="J182" s="4">
        <f t="shared" si="39"/>
        <v>2032.9166666666667</v>
      </c>
      <c r="K182" s="29">
        <v>1525.04</v>
      </c>
      <c r="L182" s="29">
        <f t="shared" si="40"/>
        <v>1525.04</v>
      </c>
      <c r="M182" s="29">
        <f t="shared" si="27"/>
        <v>10.590555555555556</v>
      </c>
      <c r="N182" s="29">
        <f t="shared" si="28"/>
        <v>127.08666666666667</v>
      </c>
      <c r="O182" s="29">
        <f t="shared" si="29"/>
        <v>127.08666666666667</v>
      </c>
      <c r="P182" s="29">
        <f t="shared" si="30"/>
        <v>317.7166666666667</v>
      </c>
      <c r="Q182" s="29">
        <f t="shared" si="31"/>
        <v>444.8033333333334</v>
      </c>
      <c r="R182" s="29">
        <f t="shared" si="32"/>
        <v>1080.2366666666667</v>
      </c>
      <c r="S182" s="62"/>
    </row>
    <row r="183" spans="1:19">
      <c r="A183" s="44">
        <v>243347</v>
      </c>
      <c r="B183">
        <v>15</v>
      </c>
      <c r="C183" s="47" t="s">
        <v>893</v>
      </c>
      <c r="D183">
        <v>2020</v>
      </c>
      <c r="E183">
        <v>11</v>
      </c>
      <c r="F183">
        <v>0</v>
      </c>
      <c r="G183" s="47" t="s">
        <v>78</v>
      </c>
      <c r="H183" s="5">
        <v>12</v>
      </c>
      <c r="I183">
        <f t="shared" si="38"/>
        <v>2032</v>
      </c>
      <c r="J183" s="4">
        <f t="shared" si="39"/>
        <v>2032.9166666666667</v>
      </c>
      <c r="K183" s="29">
        <v>6252.21</v>
      </c>
      <c r="L183" s="29">
        <f t="shared" si="40"/>
        <v>6252.21</v>
      </c>
      <c r="M183" s="29">
        <f t="shared" si="27"/>
        <v>43.418125000000003</v>
      </c>
      <c r="N183" s="29">
        <f t="shared" si="28"/>
        <v>521.01750000000004</v>
      </c>
      <c r="O183" s="29">
        <f t="shared" si="29"/>
        <v>521.01750000000004</v>
      </c>
      <c r="P183" s="29">
        <f t="shared" si="30"/>
        <v>1302.5437499999998</v>
      </c>
      <c r="Q183" s="29">
        <f t="shared" si="31"/>
        <v>1823.5612499999997</v>
      </c>
      <c r="R183" s="29">
        <f t="shared" si="32"/>
        <v>4428.6487500000003</v>
      </c>
      <c r="S183" s="62"/>
    </row>
    <row r="184" spans="1:19">
      <c r="A184" s="44">
        <v>243348</v>
      </c>
      <c r="B184">
        <v>10</v>
      </c>
      <c r="C184" s="47" t="s">
        <v>894</v>
      </c>
      <c r="D184">
        <v>2020</v>
      </c>
      <c r="E184">
        <v>11</v>
      </c>
      <c r="F184">
        <v>0</v>
      </c>
      <c r="G184" s="47" t="s">
        <v>78</v>
      </c>
      <c r="H184" s="5">
        <v>12</v>
      </c>
      <c r="I184">
        <f t="shared" si="38"/>
        <v>2032</v>
      </c>
      <c r="J184" s="4">
        <f t="shared" si="39"/>
        <v>2032.9166666666667</v>
      </c>
      <c r="K184" s="29">
        <v>4638.5600000000004</v>
      </c>
      <c r="L184" s="29">
        <f t="shared" si="40"/>
        <v>4638.5600000000004</v>
      </c>
      <c r="M184" s="29">
        <f t="shared" si="27"/>
        <v>32.212222222222223</v>
      </c>
      <c r="N184" s="29">
        <f t="shared" si="28"/>
        <v>386.54666666666668</v>
      </c>
      <c r="O184" s="29">
        <f t="shared" si="29"/>
        <v>386.54666666666668</v>
      </c>
      <c r="P184" s="29">
        <f t="shared" si="30"/>
        <v>966.36666666666679</v>
      </c>
      <c r="Q184" s="29">
        <f t="shared" si="31"/>
        <v>1352.9133333333334</v>
      </c>
      <c r="R184" s="29">
        <f t="shared" si="32"/>
        <v>3285.646666666667</v>
      </c>
      <c r="S184" s="62"/>
    </row>
    <row r="185" spans="1:19">
      <c r="A185" s="44">
        <v>243349</v>
      </c>
      <c r="B185">
        <v>15</v>
      </c>
      <c r="C185" s="47" t="s">
        <v>895</v>
      </c>
      <c r="D185">
        <v>2020</v>
      </c>
      <c r="E185">
        <v>11</v>
      </c>
      <c r="F185">
        <v>0</v>
      </c>
      <c r="G185" s="47" t="s">
        <v>78</v>
      </c>
      <c r="H185" s="5">
        <v>12</v>
      </c>
      <c r="I185">
        <f t="shared" si="38"/>
        <v>2032</v>
      </c>
      <c r="J185" s="4">
        <f t="shared" si="39"/>
        <v>2032.9166666666667</v>
      </c>
      <c r="K185" s="29">
        <v>7072.71</v>
      </c>
      <c r="L185" s="29">
        <f t="shared" si="40"/>
        <v>7072.71</v>
      </c>
      <c r="M185" s="29">
        <f t="shared" si="27"/>
        <v>49.116041666666668</v>
      </c>
      <c r="N185" s="29">
        <f t="shared" si="28"/>
        <v>589.39250000000004</v>
      </c>
      <c r="O185" s="29">
        <f t="shared" si="29"/>
        <v>589.39250000000004</v>
      </c>
      <c r="P185" s="29">
        <f t="shared" si="30"/>
        <v>1473.4812499999998</v>
      </c>
      <c r="Q185" s="29">
        <f t="shared" si="31"/>
        <v>2062.8737499999997</v>
      </c>
      <c r="R185" s="29">
        <f t="shared" si="32"/>
        <v>5009.8362500000003</v>
      </c>
      <c r="S185" s="62"/>
    </row>
    <row r="186" spans="1:19">
      <c r="A186" s="44">
        <v>243350</v>
      </c>
      <c r="B186">
        <v>2</v>
      </c>
      <c r="C186" s="47" t="s">
        <v>896</v>
      </c>
      <c r="D186">
        <v>2020</v>
      </c>
      <c r="E186">
        <v>11</v>
      </c>
      <c r="F186">
        <v>0</v>
      </c>
      <c r="G186" s="47" t="s">
        <v>78</v>
      </c>
      <c r="H186" s="5">
        <v>12</v>
      </c>
      <c r="I186">
        <f t="shared" si="38"/>
        <v>2032</v>
      </c>
      <c r="J186" s="4">
        <f t="shared" si="39"/>
        <v>2032.9166666666667</v>
      </c>
      <c r="K186" s="29">
        <v>1542.56</v>
      </c>
      <c r="L186" s="29">
        <f t="shared" si="40"/>
        <v>1542.56</v>
      </c>
      <c r="M186" s="29">
        <f t="shared" si="27"/>
        <v>10.712222222222222</v>
      </c>
      <c r="N186" s="29">
        <f t="shared" si="28"/>
        <v>128.54666666666665</v>
      </c>
      <c r="O186" s="29">
        <f t="shared" si="29"/>
        <v>128.54666666666665</v>
      </c>
      <c r="P186" s="29">
        <f t="shared" si="30"/>
        <v>321.36666666666679</v>
      </c>
      <c r="Q186" s="29">
        <f t="shared" si="31"/>
        <v>449.91333333333341</v>
      </c>
      <c r="R186" s="29">
        <f t="shared" si="32"/>
        <v>1092.6466666666665</v>
      </c>
      <c r="S186" s="62"/>
    </row>
    <row r="187" spans="1:19">
      <c r="A187" s="44">
        <v>243351</v>
      </c>
      <c r="B187">
        <v>13</v>
      </c>
      <c r="C187" s="47" t="s">
        <v>896</v>
      </c>
      <c r="D187">
        <v>2020</v>
      </c>
      <c r="E187">
        <v>11</v>
      </c>
      <c r="F187">
        <v>0</v>
      </c>
      <c r="G187" s="47" t="s">
        <v>78</v>
      </c>
      <c r="H187" s="5">
        <v>12</v>
      </c>
      <c r="I187">
        <f t="shared" si="38"/>
        <v>2032</v>
      </c>
      <c r="J187" s="4">
        <f t="shared" si="39"/>
        <v>2032.9166666666667</v>
      </c>
      <c r="K187" s="29">
        <v>10026.52</v>
      </c>
      <c r="L187" s="29">
        <f t="shared" si="40"/>
        <v>10026.52</v>
      </c>
      <c r="M187" s="29">
        <f t="shared" si="27"/>
        <v>69.628611111111113</v>
      </c>
      <c r="N187" s="29">
        <f t="shared" si="28"/>
        <v>835.54333333333329</v>
      </c>
      <c r="O187" s="29">
        <f t="shared" si="29"/>
        <v>835.54333333333329</v>
      </c>
      <c r="P187" s="29">
        <f t="shared" si="30"/>
        <v>2088.8583333333336</v>
      </c>
      <c r="Q187" s="29">
        <f t="shared" si="31"/>
        <v>2924.4016666666666</v>
      </c>
      <c r="R187" s="29">
        <f t="shared" si="32"/>
        <v>7102.1183333333338</v>
      </c>
      <c r="S187" s="62"/>
    </row>
    <row r="188" spans="1:19">
      <c r="A188" s="44">
        <v>243352</v>
      </c>
      <c r="B188">
        <v>15</v>
      </c>
      <c r="C188" s="47" t="s">
        <v>898</v>
      </c>
      <c r="D188">
        <v>2020</v>
      </c>
      <c r="E188">
        <v>11</v>
      </c>
      <c r="F188">
        <v>0</v>
      </c>
      <c r="G188" s="47" t="s">
        <v>78</v>
      </c>
      <c r="H188" s="5">
        <v>12</v>
      </c>
      <c r="I188">
        <f t="shared" si="38"/>
        <v>2032</v>
      </c>
      <c r="J188" s="4">
        <f t="shared" si="39"/>
        <v>2032.9166666666667</v>
      </c>
      <c r="K188" s="29">
        <v>7614.24</v>
      </c>
      <c r="L188" s="29">
        <f t="shared" si="40"/>
        <v>7614.24</v>
      </c>
      <c r="M188" s="29">
        <f t="shared" si="27"/>
        <v>52.876666666666665</v>
      </c>
      <c r="N188" s="29">
        <f t="shared" si="28"/>
        <v>634.52</v>
      </c>
      <c r="O188" s="29">
        <f t="shared" si="29"/>
        <v>634.52</v>
      </c>
      <c r="P188" s="29">
        <f t="shared" si="30"/>
        <v>1586.3000000000002</v>
      </c>
      <c r="Q188" s="29">
        <f t="shared" si="31"/>
        <v>2220.8200000000002</v>
      </c>
      <c r="R188" s="29">
        <f t="shared" si="32"/>
        <v>5393.42</v>
      </c>
      <c r="S188" s="62"/>
    </row>
    <row r="189" spans="1:19">
      <c r="A189" s="44">
        <v>243353</v>
      </c>
      <c r="B189">
        <v>20</v>
      </c>
      <c r="C189" s="47" t="s">
        <v>897</v>
      </c>
      <c r="D189">
        <v>2020</v>
      </c>
      <c r="E189">
        <v>11</v>
      </c>
      <c r="F189">
        <v>0</v>
      </c>
      <c r="G189" s="47" t="s">
        <v>78</v>
      </c>
      <c r="H189" s="5">
        <v>12</v>
      </c>
      <c r="I189">
        <f t="shared" si="38"/>
        <v>2032</v>
      </c>
      <c r="J189" s="4">
        <f t="shared" si="39"/>
        <v>2032.9166666666667</v>
      </c>
      <c r="K189" s="29">
        <v>12230.92</v>
      </c>
      <c r="L189" s="29">
        <f t="shared" si="40"/>
        <v>12230.92</v>
      </c>
      <c r="M189" s="29">
        <f t="shared" si="27"/>
        <v>84.93694444444445</v>
      </c>
      <c r="N189" s="29">
        <f t="shared" si="28"/>
        <v>1019.2433333333333</v>
      </c>
      <c r="O189" s="29">
        <f t="shared" si="29"/>
        <v>1019.2433333333333</v>
      </c>
      <c r="P189" s="29">
        <f t="shared" si="30"/>
        <v>2548.1083333333336</v>
      </c>
      <c r="Q189" s="29">
        <f t="shared" si="31"/>
        <v>3567.3516666666669</v>
      </c>
      <c r="R189" s="29">
        <f t="shared" si="32"/>
        <v>8663.5683333333327</v>
      </c>
      <c r="S189" s="142"/>
    </row>
    <row r="190" spans="1:19">
      <c r="K190" s="29"/>
      <c r="L190" s="29"/>
      <c r="M190" s="29"/>
      <c r="N190" s="29"/>
      <c r="O190" s="29"/>
      <c r="P190" s="29"/>
      <c r="Q190" s="29"/>
      <c r="R190" s="29"/>
    </row>
    <row r="191" spans="1:19">
      <c r="B191" s="2">
        <f>SUM(B13:B190)</f>
        <v>3212</v>
      </c>
      <c r="C191" s="2" t="s">
        <v>407</v>
      </c>
      <c r="K191" s="76">
        <f t="shared" ref="K191:R191" si="41">SUM(K13:K190)</f>
        <v>1436655.3200000005</v>
      </c>
      <c r="L191" s="76">
        <f t="shared" si="41"/>
        <v>1436655.3200000005</v>
      </c>
      <c r="M191" s="76">
        <f t="shared" si="41"/>
        <v>11283.090027777773</v>
      </c>
      <c r="N191" s="76">
        <f t="shared" si="41"/>
        <v>135397.08033333335</v>
      </c>
      <c r="O191" s="76">
        <f t="shared" si="41"/>
        <v>54716.095000000016</v>
      </c>
      <c r="P191" s="76">
        <f t="shared" si="41"/>
        <v>1072579.7677777803</v>
      </c>
      <c r="Q191" s="76">
        <f t="shared" si="41"/>
        <v>1127295.8627777803</v>
      </c>
      <c r="R191" s="76">
        <f t="shared" si="41"/>
        <v>309359.45722221927</v>
      </c>
    </row>
    <row r="192" spans="1:19">
      <c r="K192" s="29"/>
      <c r="L192" s="29"/>
      <c r="M192" s="29"/>
      <c r="N192" s="29"/>
      <c r="O192" s="29"/>
      <c r="P192" s="29"/>
      <c r="Q192" s="29"/>
      <c r="R192" s="29"/>
    </row>
    <row r="193" spans="2:18">
      <c r="C193" s="2" t="s">
        <v>408</v>
      </c>
      <c r="K193" s="29"/>
      <c r="L193" s="29"/>
      <c r="M193" s="29"/>
      <c r="N193" s="29"/>
      <c r="O193" s="29"/>
      <c r="P193" s="29"/>
      <c r="Q193" s="29"/>
      <c r="R193" s="29"/>
    </row>
    <row r="194" spans="2:18" outlineLevel="1">
      <c r="B194">
        <v>0</v>
      </c>
      <c r="C194" t="s">
        <v>186</v>
      </c>
      <c r="D194">
        <v>2000</v>
      </c>
      <c r="E194">
        <v>1</v>
      </c>
      <c r="F194">
        <v>0</v>
      </c>
      <c r="G194" t="s">
        <v>78</v>
      </c>
      <c r="H194" s="5" t="s">
        <v>9</v>
      </c>
      <c r="I194">
        <f t="shared" ref="I194:I225" si="42">D194+H194</f>
        <v>2010</v>
      </c>
      <c r="J194" s="4">
        <f t="shared" ref="J194:J225" si="43">+I194+(E194/12)</f>
        <v>2010.0833333333333</v>
      </c>
      <c r="K194" s="29">
        <v>1944</v>
      </c>
      <c r="L194" s="29">
        <f t="shared" ref="L194:L225" si="44">K194-K194*F194</f>
        <v>1944</v>
      </c>
      <c r="M194" s="29">
        <f t="shared" ref="M194:M225" si="45">L194/H194/12</f>
        <v>16.2</v>
      </c>
      <c r="N194" s="29">
        <f t="shared" ref="N194:N225" si="46">+M194*12</f>
        <v>194.39999999999998</v>
      </c>
      <c r="O194" s="29">
        <f t="shared" ref="O194:O242" si="47">IF(J194&lt;=$N$6,0,N194)</f>
        <v>0</v>
      </c>
      <c r="P194" s="29">
        <f t="shared" ref="P194:P225" si="48">+IF(O194=0,L194,IF($L$3-D194&lt;1,0,(($L$3-D194)*O194)))</f>
        <v>1944</v>
      </c>
      <c r="Q194" s="29">
        <f t="shared" ref="Q194:Q257" si="49">IF(O194=0,L194,O194+P194)</f>
        <v>1944</v>
      </c>
      <c r="R194" s="29">
        <f t="shared" ref="R194:R225" si="50">+K194-Q194</f>
        <v>0</v>
      </c>
    </row>
    <row r="195" spans="2:18" outlineLevel="1">
      <c r="B195">
        <v>1</v>
      </c>
      <c r="C195" t="s">
        <v>202</v>
      </c>
      <c r="D195">
        <v>2000</v>
      </c>
      <c r="E195">
        <v>2</v>
      </c>
      <c r="F195">
        <v>0</v>
      </c>
      <c r="G195" t="s">
        <v>78</v>
      </c>
      <c r="H195" s="5" t="s">
        <v>9</v>
      </c>
      <c r="I195">
        <f t="shared" si="42"/>
        <v>2010</v>
      </c>
      <c r="J195" s="4">
        <f t="shared" si="43"/>
        <v>2010.1666666666667</v>
      </c>
      <c r="K195" s="29">
        <v>2391.12</v>
      </c>
      <c r="L195" s="29">
        <f t="shared" si="44"/>
        <v>2391.12</v>
      </c>
      <c r="M195" s="29">
        <f t="shared" si="45"/>
        <v>19.925999999999998</v>
      </c>
      <c r="N195" s="29">
        <f t="shared" si="46"/>
        <v>239.11199999999997</v>
      </c>
      <c r="O195" s="29">
        <f t="shared" si="47"/>
        <v>0</v>
      </c>
      <c r="P195" s="29">
        <f t="shared" si="48"/>
        <v>2391.12</v>
      </c>
      <c r="Q195" s="29">
        <f t="shared" si="49"/>
        <v>2391.12</v>
      </c>
      <c r="R195" s="29">
        <f t="shared" si="50"/>
        <v>0</v>
      </c>
    </row>
    <row r="196" spans="2:18" outlineLevel="1">
      <c r="B196">
        <v>706</v>
      </c>
      <c r="C196" t="s">
        <v>187</v>
      </c>
      <c r="D196">
        <v>2000</v>
      </c>
      <c r="E196">
        <v>2</v>
      </c>
      <c r="F196">
        <v>0</v>
      </c>
      <c r="G196" t="s">
        <v>78</v>
      </c>
      <c r="H196" s="5" t="s">
        <v>9</v>
      </c>
      <c r="I196">
        <f t="shared" si="42"/>
        <v>2010</v>
      </c>
      <c r="J196" s="4">
        <f t="shared" si="43"/>
        <v>2010.1666666666667</v>
      </c>
      <c r="K196" s="29">
        <v>33169.5</v>
      </c>
      <c r="L196" s="29">
        <f t="shared" si="44"/>
        <v>33169.5</v>
      </c>
      <c r="M196" s="29">
        <f t="shared" si="45"/>
        <v>276.41249999999997</v>
      </c>
      <c r="N196" s="29">
        <f t="shared" si="46"/>
        <v>3316.95</v>
      </c>
      <c r="O196" s="29">
        <f t="shared" si="47"/>
        <v>0</v>
      </c>
      <c r="P196" s="29">
        <f t="shared" si="48"/>
        <v>33169.5</v>
      </c>
      <c r="Q196" s="29">
        <f t="shared" si="49"/>
        <v>33169.5</v>
      </c>
      <c r="R196" s="29">
        <f t="shared" si="50"/>
        <v>0</v>
      </c>
    </row>
    <row r="197" spans="2:18" outlineLevel="1">
      <c r="B197">
        <v>706</v>
      </c>
      <c r="C197" t="s">
        <v>187</v>
      </c>
      <c r="D197">
        <v>2000</v>
      </c>
      <c r="E197">
        <v>2</v>
      </c>
      <c r="F197">
        <v>0</v>
      </c>
      <c r="G197" t="s">
        <v>78</v>
      </c>
      <c r="H197" s="5" t="s">
        <v>9</v>
      </c>
      <c r="I197">
        <f t="shared" si="42"/>
        <v>2010</v>
      </c>
      <c r="J197" s="4">
        <f t="shared" si="43"/>
        <v>2010.1666666666667</v>
      </c>
      <c r="K197" s="29">
        <v>33169.5</v>
      </c>
      <c r="L197" s="29">
        <f t="shared" si="44"/>
        <v>33169.5</v>
      </c>
      <c r="M197" s="29">
        <f t="shared" si="45"/>
        <v>276.41249999999997</v>
      </c>
      <c r="N197" s="29">
        <f t="shared" si="46"/>
        <v>3316.95</v>
      </c>
      <c r="O197" s="29">
        <f t="shared" si="47"/>
        <v>0</v>
      </c>
      <c r="P197" s="29">
        <f t="shared" si="48"/>
        <v>33169.5</v>
      </c>
      <c r="Q197" s="29">
        <f t="shared" si="49"/>
        <v>33169.5</v>
      </c>
      <c r="R197" s="29">
        <f t="shared" si="50"/>
        <v>0</v>
      </c>
    </row>
    <row r="198" spans="2:18" outlineLevel="1">
      <c r="B198">
        <v>565</v>
      </c>
      <c r="C198" t="s">
        <v>187</v>
      </c>
      <c r="D198">
        <v>2000</v>
      </c>
      <c r="E198">
        <v>2</v>
      </c>
      <c r="F198">
        <v>0</v>
      </c>
      <c r="G198" t="s">
        <v>78</v>
      </c>
      <c r="H198" s="5" t="s">
        <v>9</v>
      </c>
      <c r="I198">
        <f t="shared" si="42"/>
        <v>2010</v>
      </c>
      <c r="J198" s="4">
        <f t="shared" si="43"/>
        <v>2010.1666666666667</v>
      </c>
      <c r="K198" s="29">
        <v>26535.599999999999</v>
      </c>
      <c r="L198" s="29">
        <f t="shared" si="44"/>
        <v>26535.599999999999</v>
      </c>
      <c r="M198" s="29">
        <f t="shared" si="45"/>
        <v>221.13</v>
      </c>
      <c r="N198" s="29">
        <f t="shared" si="46"/>
        <v>2653.56</v>
      </c>
      <c r="O198" s="29">
        <f t="shared" si="47"/>
        <v>0</v>
      </c>
      <c r="P198" s="29">
        <f t="shared" si="48"/>
        <v>26535.599999999999</v>
      </c>
      <c r="Q198" s="29">
        <f t="shared" si="49"/>
        <v>26535.599999999999</v>
      </c>
      <c r="R198" s="29">
        <f t="shared" si="50"/>
        <v>0</v>
      </c>
    </row>
    <row r="199" spans="2:18" outlineLevel="1">
      <c r="B199">
        <v>2</v>
      </c>
      <c r="C199" t="s">
        <v>186</v>
      </c>
      <c r="D199">
        <v>2000</v>
      </c>
      <c r="E199">
        <v>3</v>
      </c>
      <c r="F199">
        <v>0</v>
      </c>
      <c r="G199" t="s">
        <v>78</v>
      </c>
      <c r="H199" s="5" t="s">
        <v>9</v>
      </c>
      <c r="I199">
        <f t="shared" si="42"/>
        <v>2010</v>
      </c>
      <c r="J199" s="4">
        <f t="shared" si="43"/>
        <v>2010.25</v>
      </c>
      <c r="K199" s="29">
        <v>7776</v>
      </c>
      <c r="L199" s="29">
        <f t="shared" si="44"/>
        <v>7776</v>
      </c>
      <c r="M199" s="29">
        <f t="shared" si="45"/>
        <v>64.8</v>
      </c>
      <c r="N199" s="29">
        <f t="shared" si="46"/>
        <v>777.59999999999991</v>
      </c>
      <c r="O199" s="29">
        <f t="shared" si="47"/>
        <v>0</v>
      </c>
      <c r="P199" s="29">
        <f t="shared" si="48"/>
        <v>7776</v>
      </c>
      <c r="Q199" s="29">
        <f t="shared" si="49"/>
        <v>7776</v>
      </c>
      <c r="R199" s="29">
        <f t="shared" si="50"/>
        <v>0</v>
      </c>
    </row>
    <row r="200" spans="2:18" outlineLevel="1">
      <c r="B200">
        <v>400</v>
      </c>
      <c r="C200" t="s">
        <v>302</v>
      </c>
      <c r="D200">
        <v>2000</v>
      </c>
      <c r="E200">
        <v>9</v>
      </c>
      <c r="F200">
        <v>0</v>
      </c>
      <c r="G200" t="s">
        <v>78</v>
      </c>
      <c r="H200" s="5" t="s">
        <v>9</v>
      </c>
      <c r="I200">
        <f t="shared" si="42"/>
        <v>2010</v>
      </c>
      <c r="J200" s="4">
        <f t="shared" si="43"/>
        <v>2010.75</v>
      </c>
      <c r="K200" s="29">
        <v>8524.1</v>
      </c>
      <c r="L200" s="29">
        <f t="shared" si="44"/>
        <v>8524.1</v>
      </c>
      <c r="M200" s="29">
        <f t="shared" si="45"/>
        <v>71.034166666666678</v>
      </c>
      <c r="N200" s="29">
        <f t="shared" si="46"/>
        <v>852.41000000000008</v>
      </c>
      <c r="O200" s="29">
        <f t="shared" si="47"/>
        <v>0</v>
      </c>
      <c r="P200" s="29">
        <f t="shared" si="48"/>
        <v>8524.1</v>
      </c>
      <c r="Q200" s="29">
        <f t="shared" si="49"/>
        <v>8524.1</v>
      </c>
      <c r="R200" s="29">
        <f t="shared" si="50"/>
        <v>0</v>
      </c>
    </row>
    <row r="201" spans="2:18" outlineLevel="1">
      <c r="B201">
        <v>261</v>
      </c>
      <c r="C201" t="s">
        <v>229</v>
      </c>
      <c r="D201">
        <v>2001</v>
      </c>
      <c r="E201">
        <v>10</v>
      </c>
      <c r="F201">
        <v>0</v>
      </c>
      <c r="G201" t="s">
        <v>78</v>
      </c>
      <c r="H201" s="5" t="s">
        <v>9</v>
      </c>
      <c r="I201">
        <f t="shared" si="42"/>
        <v>2011</v>
      </c>
      <c r="J201" s="4">
        <f t="shared" si="43"/>
        <v>2011.8333333333333</v>
      </c>
      <c r="K201" s="29">
        <v>12286.08</v>
      </c>
      <c r="L201" s="29">
        <f t="shared" si="44"/>
        <v>12286.08</v>
      </c>
      <c r="M201" s="29">
        <f t="shared" si="45"/>
        <v>102.384</v>
      </c>
      <c r="N201" s="29">
        <f t="shared" si="46"/>
        <v>1228.6079999999999</v>
      </c>
      <c r="O201" s="29">
        <f t="shared" si="47"/>
        <v>0</v>
      </c>
      <c r="P201" s="29">
        <f t="shared" si="48"/>
        <v>12286.08</v>
      </c>
      <c r="Q201" s="29">
        <f t="shared" si="49"/>
        <v>12286.08</v>
      </c>
      <c r="R201" s="29">
        <f t="shared" si="50"/>
        <v>0</v>
      </c>
    </row>
    <row r="202" spans="2:18" outlineLevel="1">
      <c r="B202">
        <v>52</v>
      </c>
      <c r="C202" t="s">
        <v>262</v>
      </c>
      <c r="D202">
        <v>2002</v>
      </c>
      <c r="E202">
        <v>3</v>
      </c>
      <c r="F202">
        <v>0</v>
      </c>
      <c r="G202" t="s">
        <v>78</v>
      </c>
      <c r="H202" s="5" t="s">
        <v>9</v>
      </c>
      <c r="I202">
        <f t="shared" si="42"/>
        <v>2012</v>
      </c>
      <c r="J202" s="4">
        <f t="shared" si="43"/>
        <v>2012.25</v>
      </c>
      <c r="K202" s="29">
        <v>2517.4899999999998</v>
      </c>
      <c r="L202" s="29">
        <f t="shared" si="44"/>
        <v>2517.4899999999998</v>
      </c>
      <c r="M202" s="29">
        <f t="shared" si="45"/>
        <v>20.979083333333332</v>
      </c>
      <c r="N202" s="29">
        <f t="shared" si="46"/>
        <v>251.74899999999997</v>
      </c>
      <c r="O202" s="29">
        <f t="shared" si="47"/>
        <v>0</v>
      </c>
      <c r="P202" s="29">
        <f t="shared" si="48"/>
        <v>2517.4899999999998</v>
      </c>
      <c r="Q202" s="29">
        <f t="shared" si="49"/>
        <v>2517.4899999999998</v>
      </c>
      <c r="R202" s="29">
        <f t="shared" si="50"/>
        <v>0</v>
      </c>
    </row>
    <row r="203" spans="2:18" outlineLevel="1">
      <c r="B203">
        <v>99</v>
      </c>
      <c r="C203" t="s">
        <v>262</v>
      </c>
      <c r="D203">
        <v>2002</v>
      </c>
      <c r="E203">
        <v>6</v>
      </c>
      <c r="F203">
        <v>0</v>
      </c>
      <c r="G203" t="s">
        <v>78</v>
      </c>
      <c r="H203" s="5" t="s">
        <v>9</v>
      </c>
      <c r="I203">
        <f t="shared" si="42"/>
        <v>2012</v>
      </c>
      <c r="J203" s="4">
        <f t="shared" si="43"/>
        <v>2012.5</v>
      </c>
      <c r="K203" s="29">
        <v>4759.5600000000004</v>
      </c>
      <c r="L203" s="29">
        <f t="shared" si="44"/>
        <v>4759.5600000000004</v>
      </c>
      <c r="M203" s="29">
        <f t="shared" si="45"/>
        <v>39.663000000000004</v>
      </c>
      <c r="N203" s="29">
        <f t="shared" si="46"/>
        <v>475.95600000000002</v>
      </c>
      <c r="O203" s="29">
        <f t="shared" si="47"/>
        <v>0</v>
      </c>
      <c r="P203" s="29">
        <f t="shared" si="48"/>
        <v>4759.5600000000004</v>
      </c>
      <c r="Q203" s="29">
        <f t="shared" si="49"/>
        <v>4759.5600000000004</v>
      </c>
      <c r="R203" s="29">
        <f t="shared" si="50"/>
        <v>0</v>
      </c>
    </row>
    <row r="204" spans="2:18" outlineLevel="1">
      <c r="B204">
        <v>105</v>
      </c>
      <c r="C204" t="s">
        <v>262</v>
      </c>
      <c r="D204">
        <v>2003</v>
      </c>
      <c r="E204">
        <v>2</v>
      </c>
      <c r="F204">
        <v>0</v>
      </c>
      <c r="G204" t="s">
        <v>78</v>
      </c>
      <c r="H204" s="5" t="s">
        <v>9</v>
      </c>
      <c r="I204">
        <f t="shared" si="42"/>
        <v>2013</v>
      </c>
      <c r="J204" s="4">
        <f t="shared" si="43"/>
        <v>2013.1666666666667</v>
      </c>
      <c r="K204" s="29">
        <v>5040.6000000000004</v>
      </c>
      <c r="L204" s="29">
        <f t="shared" si="44"/>
        <v>5040.6000000000004</v>
      </c>
      <c r="M204" s="29">
        <f t="shared" si="45"/>
        <v>42.005000000000003</v>
      </c>
      <c r="N204" s="29">
        <f t="shared" si="46"/>
        <v>504.06000000000006</v>
      </c>
      <c r="O204" s="29">
        <f t="shared" si="47"/>
        <v>0</v>
      </c>
      <c r="P204" s="29">
        <f t="shared" si="48"/>
        <v>5040.6000000000004</v>
      </c>
      <c r="Q204" s="29">
        <f t="shared" si="49"/>
        <v>5040.6000000000004</v>
      </c>
      <c r="R204" s="29">
        <f t="shared" si="50"/>
        <v>0</v>
      </c>
    </row>
    <row r="205" spans="2:18" outlineLevel="1">
      <c r="B205">
        <v>103</v>
      </c>
      <c r="C205" t="s">
        <v>262</v>
      </c>
      <c r="D205">
        <v>2003</v>
      </c>
      <c r="E205">
        <v>10</v>
      </c>
      <c r="F205">
        <v>0</v>
      </c>
      <c r="G205" t="s">
        <v>78</v>
      </c>
      <c r="H205" s="5" t="s">
        <v>9</v>
      </c>
      <c r="I205">
        <f t="shared" si="42"/>
        <v>2013</v>
      </c>
      <c r="J205" s="4">
        <f t="shared" si="43"/>
        <v>2013.8333333333333</v>
      </c>
      <c r="K205" s="29">
        <v>4932.2</v>
      </c>
      <c r="L205" s="29">
        <f t="shared" si="44"/>
        <v>4932.2</v>
      </c>
      <c r="M205" s="29">
        <f t="shared" si="45"/>
        <v>41.101666666666667</v>
      </c>
      <c r="N205" s="29">
        <f t="shared" si="46"/>
        <v>493.22</v>
      </c>
      <c r="O205" s="29">
        <f t="shared" si="47"/>
        <v>0</v>
      </c>
      <c r="P205" s="29">
        <f t="shared" si="48"/>
        <v>4932.2</v>
      </c>
      <c r="Q205" s="29">
        <f t="shared" si="49"/>
        <v>4932.2</v>
      </c>
      <c r="R205" s="29">
        <f t="shared" si="50"/>
        <v>0</v>
      </c>
    </row>
    <row r="206" spans="2:18" outlineLevel="1">
      <c r="B206">
        <v>94</v>
      </c>
      <c r="C206" t="s">
        <v>235</v>
      </c>
      <c r="D206">
        <v>2004</v>
      </c>
      <c r="E206">
        <v>6</v>
      </c>
      <c r="F206">
        <v>0</v>
      </c>
      <c r="G206" t="s">
        <v>78</v>
      </c>
      <c r="H206" s="5" t="s">
        <v>9</v>
      </c>
      <c r="I206">
        <f t="shared" si="42"/>
        <v>2014</v>
      </c>
      <c r="J206" s="4">
        <f t="shared" si="43"/>
        <v>2014.5</v>
      </c>
      <c r="K206" s="29">
        <v>4525.7</v>
      </c>
      <c r="L206" s="29">
        <f t="shared" si="44"/>
        <v>4525.7</v>
      </c>
      <c r="M206" s="29">
        <f t="shared" si="45"/>
        <v>37.714166666666664</v>
      </c>
      <c r="N206" s="29">
        <f t="shared" si="46"/>
        <v>452.56999999999994</v>
      </c>
      <c r="O206" s="29">
        <f t="shared" si="47"/>
        <v>0</v>
      </c>
      <c r="P206" s="29">
        <f t="shared" si="48"/>
        <v>4525.7</v>
      </c>
      <c r="Q206" s="29">
        <f t="shared" si="49"/>
        <v>4525.7</v>
      </c>
      <c r="R206" s="29">
        <f t="shared" si="50"/>
        <v>0</v>
      </c>
    </row>
    <row r="207" spans="2:18" outlineLevel="1">
      <c r="B207">
        <v>1036</v>
      </c>
      <c r="C207" t="s">
        <v>139</v>
      </c>
      <c r="D207">
        <v>2006</v>
      </c>
      <c r="E207">
        <v>1</v>
      </c>
      <c r="F207">
        <v>0</v>
      </c>
      <c r="G207" t="s">
        <v>78</v>
      </c>
      <c r="H207" s="5" t="s">
        <v>9</v>
      </c>
      <c r="I207">
        <f t="shared" si="42"/>
        <v>2016</v>
      </c>
      <c r="J207" s="4">
        <f t="shared" si="43"/>
        <v>2016.0833333333333</v>
      </c>
      <c r="K207" s="29">
        <v>48701.23</v>
      </c>
      <c r="L207" s="29">
        <f t="shared" si="44"/>
        <v>48701.23</v>
      </c>
      <c r="M207" s="29">
        <f t="shared" si="45"/>
        <v>405.84358333333336</v>
      </c>
      <c r="N207" s="29">
        <f t="shared" si="46"/>
        <v>4870.1230000000005</v>
      </c>
      <c r="O207" s="29">
        <f t="shared" si="47"/>
        <v>0</v>
      </c>
      <c r="P207" s="29">
        <f t="shared" si="48"/>
        <v>48701.23</v>
      </c>
      <c r="Q207" s="29">
        <f t="shared" si="49"/>
        <v>48701.23</v>
      </c>
      <c r="R207" s="29">
        <f t="shared" si="50"/>
        <v>0</v>
      </c>
    </row>
    <row r="208" spans="2:18" outlineLevel="1">
      <c r="B208">
        <v>247</v>
      </c>
      <c r="C208" t="s">
        <v>262</v>
      </c>
      <c r="D208">
        <v>2006</v>
      </c>
      <c r="E208">
        <v>2</v>
      </c>
      <c r="F208">
        <v>0</v>
      </c>
      <c r="G208" t="s">
        <v>78</v>
      </c>
      <c r="H208" s="5" t="s">
        <v>9</v>
      </c>
      <c r="I208">
        <f t="shared" si="42"/>
        <v>2016</v>
      </c>
      <c r="J208" s="4">
        <f t="shared" si="43"/>
        <v>2016.1666666666667</v>
      </c>
      <c r="K208" s="29">
        <v>11835.11</v>
      </c>
      <c r="L208" s="29">
        <f t="shared" si="44"/>
        <v>11835.11</v>
      </c>
      <c r="M208" s="29">
        <f t="shared" si="45"/>
        <v>98.625916666666669</v>
      </c>
      <c r="N208" s="29">
        <f t="shared" si="46"/>
        <v>1183.511</v>
      </c>
      <c r="O208" s="29">
        <f t="shared" si="47"/>
        <v>0</v>
      </c>
      <c r="P208" s="29">
        <f t="shared" si="48"/>
        <v>11835.11</v>
      </c>
      <c r="Q208" s="29">
        <f t="shared" si="49"/>
        <v>11835.11</v>
      </c>
      <c r="R208" s="29">
        <f t="shared" si="50"/>
        <v>0</v>
      </c>
    </row>
    <row r="209" spans="2:18" outlineLevel="1">
      <c r="B209">
        <v>674</v>
      </c>
      <c r="C209" t="s">
        <v>139</v>
      </c>
      <c r="D209">
        <v>2006</v>
      </c>
      <c r="E209">
        <v>5</v>
      </c>
      <c r="F209">
        <v>0</v>
      </c>
      <c r="G209" t="s">
        <v>78</v>
      </c>
      <c r="H209" s="5" t="s">
        <v>9</v>
      </c>
      <c r="I209">
        <f t="shared" si="42"/>
        <v>2016</v>
      </c>
      <c r="J209" s="4">
        <f t="shared" si="43"/>
        <v>2016.4166666666667</v>
      </c>
      <c r="K209" s="29">
        <v>31542.41</v>
      </c>
      <c r="L209" s="29">
        <f t="shared" si="44"/>
        <v>31542.41</v>
      </c>
      <c r="M209" s="29">
        <f t="shared" si="45"/>
        <v>262.85341666666665</v>
      </c>
      <c r="N209" s="29">
        <f t="shared" si="46"/>
        <v>3154.241</v>
      </c>
      <c r="O209" s="29">
        <f t="shared" si="47"/>
        <v>0</v>
      </c>
      <c r="P209" s="29">
        <f t="shared" si="48"/>
        <v>31542.41</v>
      </c>
      <c r="Q209" s="29">
        <f t="shared" si="49"/>
        <v>31542.41</v>
      </c>
      <c r="R209" s="29">
        <f t="shared" si="50"/>
        <v>0</v>
      </c>
    </row>
    <row r="210" spans="2:18" outlineLevel="1">
      <c r="B210">
        <v>294</v>
      </c>
      <c r="C210" t="s">
        <v>235</v>
      </c>
      <c r="D210">
        <v>2006</v>
      </c>
      <c r="E210">
        <v>7</v>
      </c>
      <c r="F210">
        <v>0</v>
      </c>
      <c r="G210" t="s">
        <v>78</v>
      </c>
      <c r="H210" s="5" t="s">
        <v>9</v>
      </c>
      <c r="I210">
        <f t="shared" si="42"/>
        <v>2016</v>
      </c>
      <c r="J210" s="4">
        <f t="shared" si="43"/>
        <v>2016.5833333333333</v>
      </c>
      <c r="K210" s="29">
        <v>14108.81</v>
      </c>
      <c r="L210" s="29">
        <f t="shared" si="44"/>
        <v>14108.81</v>
      </c>
      <c r="M210" s="29">
        <f t="shared" si="45"/>
        <v>117.57341666666666</v>
      </c>
      <c r="N210" s="29">
        <f t="shared" si="46"/>
        <v>1410.8809999999999</v>
      </c>
      <c r="O210" s="29">
        <f t="shared" si="47"/>
        <v>0</v>
      </c>
      <c r="P210" s="29">
        <f t="shared" si="48"/>
        <v>14108.81</v>
      </c>
      <c r="Q210" s="29">
        <f t="shared" si="49"/>
        <v>14108.81</v>
      </c>
      <c r="R210" s="29">
        <f t="shared" si="50"/>
        <v>0</v>
      </c>
    </row>
    <row r="211" spans="2:18" outlineLevel="1">
      <c r="B211">
        <v>673</v>
      </c>
      <c r="C211" t="s">
        <v>139</v>
      </c>
      <c r="D211">
        <v>2006</v>
      </c>
      <c r="E211">
        <v>11</v>
      </c>
      <c r="F211">
        <v>0</v>
      </c>
      <c r="G211" t="s">
        <v>78</v>
      </c>
      <c r="H211" s="5" t="s">
        <v>9</v>
      </c>
      <c r="I211">
        <f t="shared" si="42"/>
        <v>2016</v>
      </c>
      <c r="J211" s="4">
        <f t="shared" si="43"/>
        <v>2016.9166666666667</v>
      </c>
      <c r="K211" s="29">
        <v>31632</v>
      </c>
      <c r="L211" s="29">
        <f t="shared" si="44"/>
        <v>31632</v>
      </c>
      <c r="M211" s="29">
        <f t="shared" si="45"/>
        <v>263.59999999999997</v>
      </c>
      <c r="N211" s="29">
        <f t="shared" si="46"/>
        <v>3163.2</v>
      </c>
      <c r="O211" s="29">
        <f t="shared" si="47"/>
        <v>0</v>
      </c>
      <c r="P211" s="29">
        <f t="shared" si="48"/>
        <v>31632</v>
      </c>
      <c r="Q211" s="29">
        <f t="shared" si="49"/>
        <v>31632</v>
      </c>
      <c r="R211" s="29">
        <f t="shared" si="50"/>
        <v>0</v>
      </c>
    </row>
    <row r="212" spans="2:18" outlineLevel="1">
      <c r="B212">
        <v>354</v>
      </c>
      <c r="C212" t="s">
        <v>235</v>
      </c>
      <c r="D212">
        <v>2006</v>
      </c>
      <c r="E212">
        <v>11</v>
      </c>
      <c r="F212">
        <v>0</v>
      </c>
      <c r="G212" t="s">
        <v>78</v>
      </c>
      <c r="H212" s="5" t="s">
        <v>9</v>
      </c>
      <c r="I212">
        <f t="shared" si="42"/>
        <v>2016</v>
      </c>
      <c r="J212" s="4">
        <f t="shared" si="43"/>
        <v>2016.9166666666667</v>
      </c>
      <c r="K212" s="29">
        <v>16995.240000000002</v>
      </c>
      <c r="L212" s="29">
        <f t="shared" si="44"/>
        <v>16995.240000000002</v>
      </c>
      <c r="M212" s="29">
        <f t="shared" si="45"/>
        <v>141.62700000000001</v>
      </c>
      <c r="N212" s="29">
        <f t="shared" si="46"/>
        <v>1699.5240000000001</v>
      </c>
      <c r="O212" s="29">
        <f t="shared" si="47"/>
        <v>0</v>
      </c>
      <c r="P212" s="29">
        <f t="shared" si="48"/>
        <v>16995.240000000002</v>
      </c>
      <c r="Q212" s="29">
        <f t="shared" si="49"/>
        <v>16995.240000000002</v>
      </c>
      <c r="R212" s="29">
        <f t="shared" si="50"/>
        <v>0</v>
      </c>
    </row>
    <row r="213" spans="2:18" outlineLevel="1">
      <c r="B213">
        <v>2</v>
      </c>
      <c r="C213" t="s">
        <v>186</v>
      </c>
      <c r="D213">
        <v>2007</v>
      </c>
      <c r="E213">
        <v>1</v>
      </c>
      <c r="F213">
        <v>0</v>
      </c>
      <c r="G213" t="s">
        <v>78</v>
      </c>
      <c r="H213" s="5" t="s">
        <v>9</v>
      </c>
      <c r="I213">
        <f t="shared" si="42"/>
        <v>2017</v>
      </c>
      <c r="J213" s="4">
        <f t="shared" si="43"/>
        <v>2017.0833333333333</v>
      </c>
      <c r="K213" s="29">
        <v>7915.37</v>
      </c>
      <c r="L213" s="29">
        <f t="shared" si="44"/>
        <v>7915.37</v>
      </c>
      <c r="M213" s="29">
        <f t="shared" si="45"/>
        <v>65.961416666666665</v>
      </c>
      <c r="N213" s="29">
        <f t="shared" si="46"/>
        <v>791.53700000000003</v>
      </c>
      <c r="O213" s="29">
        <f t="shared" si="47"/>
        <v>0</v>
      </c>
      <c r="P213" s="29">
        <f t="shared" si="48"/>
        <v>7915.37</v>
      </c>
      <c r="Q213" s="29">
        <f t="shared" si="49"/>
        <v>7915.37</v>
      </c>
      <c r="R213" s="29">
        <f t="shared" si="50"/>
        <v>0</v>
      </c>
    </row>
    <row r="214" spans="2:18" outlineLevel="1">
      <c r="B214">
        <v>682</v>
      </c>
      <c r="C214" t="s">
        <v>139</v>
      </c>
      <c r="D214">
        <v>2007</v>
      </c>
      <c r="E214">
        <v>2</v>
      </c>
      <c r="F214">
        <v>0</v>
      </c>
      <c r="G214" t="s">
        <v>78</v>
      </c>
      <c r="H214" s="5" t="s">
        <v>9</v>
      </c>
      <c r="I214">
        <f t="shared" si="42"/>
        <v>2017</v>
      </c>
      <c r="J214" s="4">
        <f t="shared" si="43"/>
        <v>2017.1666666666667</v>
      </c>
      <c r="K214" s="29">
        <v>32066.89</v>
      </c>
      <c r="L214" s="29">
        <f t="shared" si="44"/>
        <v>32066.89</v>
      </c>
      <c r="M214" s="29">
        <f t="shared" si="45"/>
        <v>267.22408333333334</v>
      </c>
      <c r="N214" s="29">
        <f t="shared" si="46"/>
        <v>3206.6890000000003</v>
      </c>
      <c r="O214" s="29">
        <f t="shared" si="47"/>
        <v>0</v>
      </c>
      <c r="P214" s="29">
        <f t="shared" si="48"/>
        <v>32066.89</v>
      </c>
      <c r="Q214" s="29">
        <f t="shared" si="49"/>
        <v>32066.89</v>
      </c>
      <c r="R214" s="29">
        <f t="shared" si="50"/>
        <v>0</v>
      </c>
    </row>
    <row r="215" spans="2:18" outlineLevel="1">
      <c r="B215">
        <v>988</v>
      </c>
      <c r="C215" t="s">
        <v>144</v>
      </c>
      <c r="D215">
        <v>2007</v>
      </c>
      <c r="E215">
        <v>3</v>
      </c>
      <c r="F215">
        <v>0</v>
      </c>
      <c r="G215" t="s">
        <v>78</v>
      </c>
      <c r="H215" s="5" t="s">
        <v>9</v>
      </c>
      <c r="I215">
        <f t="shared" si="42"/>
        <v>2017</v>
      </c>
      <c r="J215" s="4">
        <f t="shared" si="43"/>
        <v>2017.25</v>
      </c>
      <c r="K215" s="29">
        <v>46451.73</v>
      </c>
      <c r="L215" s="29">
        <f t="shared" si="44"/>
        <v>46451.73</v>
      </c>
      <c r="M215" s="29">
        <f t="shared" si="45"/>
        <v>387.09775000000008</v>
      </c>
      <c r="N215" s="29">
        <f t="shared" si="46"/>
        <v>4645.1730000000007</v>
      </c>
      <c r="O215" s="29">
        <f t="shared" si="47"/>
        <v>0</v>
      </c>
      <c r="P215" s="29">
        <f t="shared" si="48"/>
        <v>46451.73</v>
      </c>
      <c r="Q215" s="29">
        <f t="shared" si="49"/>
        <v>46451.73</v>
      </c>
      <c r="R215" s="29">
        <f t="shared" si="50"/>
        <v>0</v>
      </c>
    </row>
    <row r="216" spans="2:18" outlineLevel="1">
      <c r="B216">
        <v>974</v>
      </c>
      <c r="C216" t="s">
        <v>144</v>
      </c>
      <c r="D216">
        <v>2007</v>
      </c>
      <c r="E216">
        <v>3</v>
      </c>
      <c r="F216">
        <v>0</v>
      </c>
      <c r="G216" t="s">
        <v>78</v>
      </c>
      <c r="H216" s="5" t="s">
        <v>9</v>
      </c>
      <c r="I216">
        <f t="shared" si="42"/>
        <v>2017</v>
      </c>
      <c r="J216" s="4">
        <f t="shared" si="43"/>
        <v>2017.25</v>
      </c>
      <c r="K216" s="29">
        <v>45770.27</v>
      </c>
      <c r="L216" s="29">
        <f t="shared" si="44"/>
        <v>45770.27</v>
      </c>
      <c r="M216" s="29">
        <f t="shared" si="45"/>
        <v>381.41891666666669</v>
      </c>
      <c r="N216" s="29">
        <f t="shared" si="46"/>
        <v>4577.027</v>
      </c>
      <c r="O216" s="29">
        <f t="shared" si="47"/>
        <v>0</v>
      </c>
      <c r="P216" s="29">
        <f t="shared" si="48"/>
        <v>45770.27</v>
      </c>
      <c r="Q216" s="29">
        <f t="shared" si="49"/>
        <v>45770.27</v>
      </c>
      <c r="R216" s="29">
        <f t="shared" si="50"/>
        <v>0</v>
      </c>
    </row>
    <row r="217" spans="2:18" outlineLevel="1">
      <c r="B217">
        <v>227</v>
      </c>
      <c r="C217" t="s">
        <v>262</v>
      </c>
      <c r="D217">
        <v>2007</v>
      </c>
      <c r="E217">
        <v>5</v>
      </c>
      <c r="F217">
        <v>0</v>
      </c>
      <c r="G217" t="s">
        <v>78</v>
      </c>
      <c r="H217" s="5" t="s">
        <v>9</v>
      </c>
      <c r="I217">
        <f t="shared" si="42"/>
        <v>2017</v>
      </c>
      <c r="J217" s="4">
        <f t="shared" si="43"/>
        <v>2017.4166666666667</v>
      </c>
      <c r="K217" s="29">
        <v>10907.6</v>
      </c>
      <c r="L217" s="29">
        <f t="shared" si="44"/>
        <v>10907.6</v>
      </c>
      <c r="M217" s="29">
        <f t="shared" si="45"/>
        <v>90.896666666666661</v>
      </c>
      <c r="N217" s="29">
        <f t="shared" si="46"/>
        <v>1090.76</v>
      </c>
      <c r="O217" s="29">
        <f t="shared" si="47"/>
        <v>0</v>
      </c>
      <c r="P217" s="29">
        <f t="shared" si="48"/>
        <v>10907.6</v>
      </c>
      <c r="Q217" s="29">
        <f t="shared" si="49"/>
        <v>10907.6</v>
      </c>
      <c r="R217" s="29">
        <f t="shared" si="50"/>
        <v>0</v>
      </c>
    </row>
    <row r="218" spans="2:18" outlineLevel="1">
      <c r="B218">
        <v>684</v>
      </c>
      <c r="C218" t="s">
        <v>139</v>
      </c>
      <c r="D218">
        <v>2007</v>
      </c>
      <c r="E218">
        <v>6</v>
      </c>
      <c r="F218">
        <v>0</v>
      </c>
      <c r="G218" t="s">
        <v>78</v>
      </c>
      <c r="H218" s="5" t="s">
        <v>9</v>
      </c>
      <c r="I218">
        <f t="shared" si="42"/>
        <v>2017</v>
      </c>
      <c r="J218" s="4">
        <f t="shared" si="43"/>
        <v>2017.5</v>
      </c>
      <c r="K218" s="29">
        <v>32136</v>
      </c>
      <c r="L218" s="29">
        <f t="shared" si="44"/>
        <v>32136</v>
      </c>
      <c r="M218" s="29">
        <f t="shared" si="45"/>
        <v>267.8</v>
      </c>
      <c r="N218" s="29">
        <f t="shared" si="46"/>
        <v>3213.6000000000004</v>
      </c>
      <c r="O218" s="29">
        <f t="shared" si="47"/>
        <v>0</v>
      </c>
      <c r="P218" s="29">
        <f t="shared" si="48"/>
        <v>32136</v>
      </c>
      <c r="Q218" s="29">
        <f t="shared" si="49"/>
        <v>32136</v>
      </c>
      <c r="R218" s="29">
        <f t="shared" si="50"/>
        <v>0</v>
      </c>
    </row>
    <row r="219" spans="2:18" outlineLevel="1">
      <c r="B219">
        <v>684</v>
      </c>
      <c r="C219" t="s">
        <v>139</v>
      </c>
      <c r="D219">
        <v>2007</v>
      </c>
      <c r="E219">
        <v>7</v>
      </c>
      <c r="F219">
        <v>0</v>
      </c>
      <c r="G219" t="s">
        <v>78</v>
      </c>
      <c r="H219" s="5" t="s">
        <v>9</v>
      </c>
      <c r="I219">
        <f t="shared" si="42"/>
        <v>2017</v>
      </c>
      <c r="J219" s="4">
        <f t="shared" si="43"/>
        <v>2017.5833333333333</v>
      </c>
      <c r="K219" s="29">
        <v>32136</v>
      </c>
      <c r="L219" s="29">
        <f t="shared" si="44"/>
        <v>32136</v>
      </c>
      <c r="M219" s="29">
        <f t="shared" si="45"/>
        <v>267.8</v>
      </c>
      <c r="N219" s="29">
        <f t="shared" si="46"/>
        <v>3213.6000000000004</v>
      </c>
      <c r="O219" s="29">
        <f t="shared" si="47"/>
        <v>0</v>
      </c>
      <c r="P219" s="29">
        <f t="shared" si="48"/>
        <v>32136</v>
      </c>
      <c r="Q219" s="29">
        <f t="shared" si="49"/>
        <v>32136</v>
      </c>
      <c r="R219" s="29">
        <f t="shared" si="50"/>
        <v>0</v>
      </c>
    </row>
    <row r="220" spans="2:18" outlineLevel="1">
      <c r="B220">
        <v>946</v>
      </c>
      <c r="C220" t="s">
        <v>144</v>
      </c>
      <c r="D220">
        <v>2007</v>
      </c>
      <c r="E220">
        <v>8</v>
      </c>
      <c r="F220">
        <v>0</v>
      </c>
      <c r="G220" t="s">
        <v>78</v>
      </c>
      <c r="H220" s="5" t="s">
        <v>9</v>
      </c>
      <c r="I220">
        <f t="shared" si="42"/>
        <v>2017</v>
      </c>
      <c r="J220" s="4">
        <f t="shared" si="43"/>
        <v>2017.6666666666667</v>
      </c>
      <c r="K220" s="29">
        <v>44439.74</v>
      </c>
      <c r="L220" s="29">
        <f t="shared" si="44"/>
        <v>44439.74</v>
      </c>
      <c r="M220" s="29">
        <f t="shared" si="45"/>
        <v>370.33116666666666</v>
      </c>
      <c r="N220" s="29">
        <f t="shared" si="46"/>
        <v>4443.9740000000002</v>
      </c>
      <c r="O220" s="29">
        <f t="shared" si="47"/>
        <v>0</v>
      </c>
      <c r="P220" s="29">
        <f t="shared" si="48"/>
        <v>44439.74</v>
      </c>
      <c r="Q220" s="29">
        <f t="shared" si="49"/>
        <v>44439.74</v>
      </c>
      <c r="R220" s="29">
        <f t="shared" si="50"/>
        <v>0</v>
      </c>
    </row>
    <row r="221" spans="2:18" outlineLevel="1">
      <c r="B221">
        <v>942</v>
      </c>
      <c r="C221" t="s">
        <v>144</v>
      </c>
      <c r="D221">
        <v>2007</v>
      </c>
      <c r="E221">
        <v>8</v>
      </c>
      <c r="F221">
        <v>0</v>
      </c>
      <c r="G221" t="s">
        <v>78</v>
      </c>
      <c r="H221" s="5" t="s">
        <v>9</v>
      </c>
      <c r="I221">
        <f t="shared" si="42"/>
        <v>2017</v>
      </c>
      <c r="J221" s="4">
        <f t="shared" si="43"/>
        <v>2017.6666666666667</v>
      </c>
      <c r="K221" s="29">
        <v>44295</v>
      </c>
      <c r="L221" s="29">
        <f t="shared" si="44"/>
        <v>44295</v>
      </c>
      <c r="M221" s="29">
        <f t="shared" si="45"/>
        <v>369.125</v>
      </c>
      <c r="N221" s="29">
        <f t="shared" si="46"/>
        <v>4429.5</v>
      </c>
      <c r="O221" s="29">
        <f t="shared" si="47"/>
        <v>0</v>
      </c>
      <c r="P221" s="29">
        <f t="shared" si="48"/>
        <v>44295</v>
      </c>
      <c r="Q221" s="29">
        <f t="shared" si="49"/>
        <v>44295</v>
      </c>
      <c r="R221" s="29">
        <f t="shared" si="50"/>
        <v>0</v>
      </c>
    </row>
    <row r="222" spans="2:18" outlineLevel="1">
      <c r="B222">
        <v>588</v>
      </c>
      <c r="C222" t="s">
        <v>235</v>
      </c>
      <c r="D222">
        <v>2007</v>
      </c>
      <c r="E222">
        <v>9</v>
      </c>
      <c r="F222">
        <v>0</v>
      </c>
      <c r="G222" t="s">
        <v>78</v>
      </c>
      <c r="H222" s="5" t="s">
        <v>9</v>
      </c>
      <c r="I222">
        <f t="shared" si="42"/>
        <v>2017</v>
      </c>
      <c r="J222" s="4">
        <f t="shared" si="43"/>
        <v>2017.75</v>
      </c>
      <c r="K222" s="29">
        <v>28226.39</v>
      </c>
      <c r="L222" s="29">
        <f t="shared" si="44"/>
        <v>28226.39</v>
      </c>
      <c r="M222" s="29">
        <f t="shared" si="45"/>
        <v>235.21991666666668</v>
      </c>
      <c r="N222" s="29">
        <f t="shared" si="46"/>
        <v>2822.6390000000001</v>
      </c>
      <c r="O222" s="29">
        <f t="shared" si="47"/>
        <v>0</v>
      </c>
      <c r="P222" s="29">
        <f t="shared" si="48"/>
        <v>28226.39</v>
      </c>
      <c r="Q222" s="29">
        <f t="shared" si="49"/>
        <v>28226.39</v>
      </c>
      <c r="R222" s="29">
        <f t="shared" si="50"/>
        <v>0</v>
      </c>
    </row>
    <row r="223" spans="2:18" outlineLevel="1">
      <c r="B223">
        <v>973</v>
      </c>
      <c r="C223" t="s">
        <v>144</v>
      </c>
      <c r="D223">
        <v>2007</v>
      </c>
      <c r="E223">
        <v>10</v>
      </c>
      <c r="F223">
        <v>0</v>
      </c>
      <c r="G223" t="s">
        <v>78</v>
      </c>
      <c r="H223" s="5" t="s">
        <v>9</v>
      </c>
      <c r="I223">
        <f t="shared" si="42"/>
        <v>2017</v>
      </c>
      <c r="J223" s="4">
        <f t="shared" si="43"/>
        <v>2017.8333333333333</v>
      </c>
      <c r="K223" s="29">
        <v>45739.67</v>
      </c>
      <c r="L223" s="29">
        <f t="shared" si="44"/>
        <v>45739.67</v>
      </c>
      <c r="M223" s="29">
        <f t="shared" si="45"/>
        <v>381.16391666666664</v>
      </c>
      <c r="N223" s="29">
        <f t="shared" si="46"/>
        <v>4573.9669999999996</v>
      </c>
      <c r="O223" s="29">
        <f t="shared" si="47"/>
        <v>0</v>
      </c>
      <c r="P223" s="29">
        <f t="shared" si="48"/>
        <v>45739.67</v>
      </c>
      <c r="Q223" s="29">
        <f t="shared" si="49"/>
        <v>45739.67</v>
      </c>
      <c r="R223" s="29">
        <f t="shared" si="50"/>
        <v>0</v>
      </c>
    </row>
    <row r="224" spans="2:18" outlineLevel="1">
      <c r="B224">
        <v>690</v>
      </c>
      <c r="C224" t="s">
        <v>139</v>
      </c>
      <c r="D224">
        <v>2007</v>
      </c>
      <c r="E224">
        <v>10</v>
      </c>
      <c r="F224">
        <v>0</v>
      </c>
      <c r="G224" t="s">
        <v>78</v>
      </c>
      <c r="H224" s="5" t="s">
        <v>9</v>
      </c>
      <c r="I224">
        <f t="shared" si="42"/>
        <v>2017</v>
      </c>
      <c r="J224" s="4">
        <f t="shared" si="43"/>
        <v>2017.8333333333333</v>
      </c>
      <c r="K224" s="29">
        <v>32434.02</v>
      </c>
      <c r="L224" s="29">
        <f t="shared" si="44"/>
        <v>32434.02</v>
      </c>
      <c r="M224" s="29">
        <f t="shared" si="45"/>
        <v>270.2835</v>
      </c>
      <c r="N224" s="29">
        <f t="shared" si="46"/>
        <v>3243.402</v>
      </c>
      <c r="O224" s="29">
        <f t="shared" si="47"/>
        <v>0</v>
      </c>
      <c r="P224" s="29">
        <f t="shared" si="48"/>
        <v>32434.02</v>
      </c>
      <c r="Q224" s="29">
        <f t="shared" si="49"/>
        <v>32434.02</v>
      </c>
      <c r="R224" s="29">
        <f t="shared" si="50"/>
        <v>0</v>
      </c>
    </row>
    <row r="225" spans="1:18" outlineLevel="1">
      <c r="B225">
        <v>975</v>
      </c>
      <c r="C225" t="s">
        <v>144</v>
      </c>
      <c r="D225">
        <v>2007</v>
      </c>
      <c r="E225">
        <v>11</v>
      </c>
      <c r="F225">
        <v>0</v>
      </c>
      <c r="G225" t="s">
        <v>78</v>
      </c>
      <c r="H225" s="5" t="s">
        <v>9</v>
      </c>
      <c r="I225">
        <f t="shared" si="42"/>
        <v>2017</v>
      </c>
      <c r="J225" s="4">
        <f t="shared" si="43"/>
        <v>2017.9166666666667</v>
      </c>
      <c r="K225" s="29">
        <v>45842.93</v>
      </c>
      <c r="L225" s="29">
        <f t="shared" si="44"/>
        <v>45842.93</v>
      </c>
      <c r="M225" s="29">
        <f t="shared" si="45"/>
        <v>382.02441666666664</v>
      </c>
      <c r="N225" s="29">
        <f t="shared" si="46"/>
        <v>4584.2929999999997</v>
      </c>
      <c r="O225" s="29">
        <f t="shared" si="47"/>
        <v>0</v>
      </c>
      <c r="P225" s="29">
        <f t="shared" si="48"/>
        <v>45842.93</v>
      </c>
      <c r="Q225" s="29">
        <f t="shared" si="49"/>
        <v>45842.93</v>
      </c>
      <c r="R225" s="29">
        <f t="shared" si="50"/>
        <v>0</v>
      </c>
    </row>
    <row r="226" spans="1:18" outlineLevel="1">
      <c r="B226">
        <v>725</v>
      </c>
      <c r="C226" t="s">
        <v>139</v>
      </c>
      <c r="D226">
        <v>2008</v>
      </c>
      <c r="E226">
        <v>2</v>
      </c>
      <c r="F226">
        <v>0</v>
      </c>
      <c r="G226" t="s">
        <v>78</v>
      </c>
      <c r="H226" s="5" t="s">
        <v>8</v>
      </c>
      <c r="I226">
        <f t="shared" ref="I226:I257" si="51">D226+H226</f>
        <v>2013</v>
      </c>
      <c r="J226" s="4">
        <f t="shared" ref="J226:J257" si="52">+I226+(E226/12)</f>
        <v>2013.1666666666667</v>
      </c>
      <c r="K226" s="29">
        <v>34085.35</v>
      </c>
      <c r="L226" s="29">
        <f t="shared" ref="L226:L257" si="53">K226-K226*F226</f>
        <v>34085.35</v>
      </c>
      <c r="M226" s="29">
        <f t="shared" ref="M226:M257" si="54">L226/H226/12</f>
        <v>568.08916666666664</v>
      </c>
      <c r="N226" s="29">
        <f t="shared" ref="N226:N257" si="55">+M226*12</f>
        <v>6817.07</v>
      </c>
      <c r="O226" s="29">
        <f t="shared" si="47"/>
        <v>0</v>
      </c>
      <c r="P226" s="29">
        <f t="shared" ref="P226:P257" si="56">+IF(O226=0,L226,IF($L$3-D226&lt;1,0,(($L$3-D226)*O226)))</f>
        <v>34085.35</v>
      </c>
      <c r="Q226" s="29">
        <f t="shared" si="49"/>
        <v>34085.35</v>
      </c>
      <c r="R226" s="29">
        <f t="shared" ref="R226:R257" si="57">+K226-Q226</f>
        <v>0</v>
      </c>
    </row>
    <row r="227" spans="1:18" outlineLevel="1">
      <c r="B227">
        <v>75</v>
      </c>
      <c r="C227" t="s">
        <v>223</v>
      </c>
      <c r="D227">
        <v>2009</v>
      </c>
      <c r="E227">
        <v>2</v>
      </c>
      <c r="F227">
        <v>0</v>
      </c>
      <c r="G227" t="s">
        <v>78</v>
      </c>
      <c r="H227" s="5">
        <v>7</v>
      </c>
      <c r="I227">
        <f t="shared" si="51"/>
        <v>2016</v>
      </c>
      <c r="J227" s="4">
        <f t="shared" si="52"/>
        <v>2016.1666666666667</v>
      </c>
      <c r="K227" s="29">
        <v>3861.76</v>
      </c>
      <c r="L227" s="29">
        <f t="shared" si="53"/>
        <v>3861.76</v>
      </c>
      <c r="M227" s="29">
        <f t="shared" si="54"/>
        <v>45.973333333333336</v>
      </c>
      <c r="N227" s="29">
        <f t="shared" si="55"/>
        <v>551.68000000000006</v>
      </c>
      <c r="O227" s="29">
        <f t="shared" si="47"/>
        <v>0</v>
      </c>
      <c r="P227" s="29">
        <f t="shared" si="56"/>
        <v>3861.76</v>
      </c>
      <c r="Q227" s="29">
        <f t="shared" si="49"/>
        <v>3861.76</v>
      </c>
      <c r="R227" s="29">
        <f t="shared" si="57"/>
        <v>0</v>
      </c>
    </row>
    <row r="228" spans="1:18" outlineLevel="1">
      <c r="B228">
        <v>930</v>
      </c>
      <c r="C228" t="s">
        <v>225</v>
      </c>
      <c r="D228">
        <v>2009</v>
      </c>
      <c r="E228">
        <v>2</v>
      </c>
      <c r="F228">
        <v>0</v>
      </c>
      <c r="G228" t="s">
        <v>78</v>
      </c>
      <c r="H228" s="5">
        <v>7</v>
      </c>
      <c r="I228">
        <f t="shared" si="51"/>
        <v>2016</v>
      </c>
      <c r="J228" s="4">
        <f t="shared" si="52"/>
        <v>2016.1666666666667</v>
      </c>
      <c r="K228" s="29">
        <v>38457.08</v>
      </c>
      <c r="L228" s="29">
        <f t="shared" si="53"/>
        <v>38457.08</v>
      </c>
      <c r="M228" s="29">
        <f t="shared" si="54"/>
        <v>457.82238095238102</v>
      </c>
      <c r="N228" s="29">
        <f t="shared" si="55"/>
        <v>5493.8685714285721</v>
      </c>
      <c r="O228" s="29">
        <f t="shared" si="47"/>
        <v>0</v>
      </c>
      <c r="P228" s="29">
        <f t="shared" si="56"/>
        <v>38457.08</v>
      </c>
      <c r="Q228" s="29">
        <f t="shared" si="49"/>
        <v>38457.08</v>
      </c>
      <c r="R228" s="29">
        <f t="shared" si="57"/>
        <v>0</v>
      </c>
    </row>
    <row r="229" spans="1:18" outlineLevel="1">
      <c r="B229">
        <v>75</v>
      </c>
      <c r="C229" t="s">
        <v>226</v>
      </c>
      <c r="D229">
        <v>2009</v>
      </c>
      <c r="E229">
        <v>2</v>
      </c>
      <c r="F229">
        <v>0</v>
      </c>
      <c r="G229" t="s">
        <v>78</v>
      </c>
      <c r="H229" s="5">
        <v>7</v>
      </c>
      <c r="I229">
        <f t="shared" si="51"/>
        <v>2016</v>
      </c>
      <c r="J229" s="4">
        <f t="shared" si="52"/>
        <v>2016.1666666666667</v>
      </c>
      <c r="K229" s="29">
        <v>4321.3900000000003</v>
      </c>
      <c r="L229" s="29">
        <f t="shared" si="53"/>
        <v>4321.3900000000003</v>
      </c>
      <c r="M229" s="29">
        <f t="shared" si="54"/>
        <v>51.445119047619052</v>
      </c>
      <c r="N229" s="29">
        <f t="shared" si="55"/>
        <v>617.34142857142865</v>
      </c>
      <c r="O229" s="29">
        <f t="shared" si="47"/>
        <v>0</v>
      </c>
      <c r="P229" s="29">
        <f t="shared" si="56"/>
        <v>4321.3900000000003</v>
      </c>
      <c r="Q229" s="29">
        <f t="shared" si="49"/>
        <v>4321.3900000000003</v>
      </c>
      <c r="R229" s="29">
        <f t="shared" si="57"/>
        <v>0</v>
      </c>
    </row>
    <row r="230" spans="1:18" outlineLevel="1">
      <c r="B230">
        <v>486</v>
      </c>
      <c r="C230" t="s">
        <v>306</v>
      </c>
      <c r="D230">
        <v>2009</v>
      </c>
      <c r="E230">
        <v>3</v>
      </c>
      <c r="F230">
        <v>0</v>
      </c>
      <c r="G230" t="s">
        <v>78</v>
      </c>
      <c r="H230" s="5">
        <v>7</v>
      </c>
      <c r="I230">
        <f t="shared" si="51"/>
        <v>2016</v>
      </c>
      <c r="J230" s="4">
        <f t="shared" si="52"/>
        <v>2016.25</v>
      </c>
      <c r="K230" s="29">
        <v>24510</v>
      </c>
      <c r="L230" s="29">
        <f t="shared" si="53"/>
        <v>24510</v>
      </c>
      <c r="M230" s="29">
        <f t="shared" si="54"/>
        <v>291.78571428571428</v>
      </c>
      <c r="N230" s="29">
        <f t="shared" si="55"/>
        <v>3501.4285714285716</v>
      </c>
      <c r="O230" s="29">
        <f t="shared" si="47"/>
        <v>0</v>
      </c>
      <c r="P230" s="29">
        <f t="shared" si="56"/>
        <v>24510</v>
      </c>
      <c r="Q230" s="29">
        <f t="shared" si="49"/>
        <v>24510</v>
      </c>
      <c r="R230" s="29">
        <f t="shared" si="57"/>
        <v>0</v>
      </c>
    </row>
    <row r="231" spans="1:18" outlineLevel="1">
      <c r="B231">
        <v>50</v>
      </c>
      <c r="C231" t="s">
        <v>262</v>
      </c>
      <c r="D231">
        <v>2009</v>
      </c>
      <c r="E231">
        <v>4</v>
      </c>
      <c r="F231">
        <v>0</v>
      </c>
      <c r="G231" t="s">
        <v>78</v>
      </c>
      <c r="H231" s="5">
        <v>7</v>
      </c>
      <c r="I231">
        <f t="shared" si="51"/>
        <v>2016</v>
      </c>
      <c r="J231" s="4">
        <f t="shared" si="52"/>
        <v>2016.3333333333333</v>
      </c>
      <c r="K231" s="29">
        <v>2152.64</v>
      </c>
      <c r="L231" s="29">
        <f t="shared" si="53"/>
        <v>2152.64</v>
      </c>
      <c r="M231" s="29">
        <f t="shared" si="54"/>
        <v>25.626666666666665</v>
      </c>
      <c r="N231" s="29">
        <f t="shared" si="55"/>
        <v>307.52</v>
      </c>
      <c r="O231" s="29">
        <f t="shared" si="47"/>
        <v>0</v>
      </c>
      <c r="P231" s="29">
        <f t="shared" si="56"/>
        <v>2152.64</v>
      </c>
      <c r="Q231" s="29">
        <f t="shared" si="49"/>
        <v>2152.64</v>
      </c>
      <c r="R231" s="29">
        <f t="shared" si="57"/>
        <v>0</v>
      </c>
    </row>
    <row r="232" spans="1:18" outlineLevel="1">
      <c r="B232">
        <v>315</v>
      </c>
      <c r="C232" t="s">
        <v>139</v>
      </c>
      <c r="D232">
        <v>2009</v>
      </c>
      <c r="E232">
        <v>6</v>
      </c>
      <c r="F232">
        <v>0</v>
      </c>
      <c r="G232" t="s">
        <v>78</v>
      </c>
      <c r="H232" s="5">
        <v>7</v>
      </c>
      <c r="I232">
        <f t="shared" si="51"/>
        <v>2016</v>
      </c>
      <c r="J232" s="4">
        <f t="shared" si="52"/>
        <v>2016.5</v>
      </c>
      <c r="K232" s="29">
        <v>13018.2</v>
      </c>
      <c r="L232" s="29">
        <f t="shared" si="53"/>
        <v>13018.2</v>
      </c>
      <c r="M232" s="29">
        <f t="shared" si="54"/>
        <v>154.97857142857143</v>
      </c>
      <c r="N232" s="29">
        <f t="shared" si="55"/>
        <v>1859.7428571428572</v>
      </c>
      <c r="O232" s="29">
        <f t="shared" si="47"/>
        <v>0</v>
      </c>
      <c r="P232" s="29">
        <f t="shared" si="56"/>
        <v>13018.2</v>
      </c>
      <c r="Q232" s="29">
        <f t="shared" si="49"/>
        <v>13018.2</v>
      </c>
      <c r="R232" s="29">
        <f t="shared" si="57"/>
        <v>0</v>
      </c>
    </row>
    <row r="233" spans="1:18" outlineLevel="1">
      <c r="B233">
        <v>50</v>
      </c>
      <c r="C233" t="s">
        <v>306</v>
      </c>
      <c r="D233">
        <v>2009</v>
      </c>
      <c r="E233">
        <v>6</v>
      </c>
      <c r="F233">
        <v>0</v>
      </c>
      <c r="G233" t="s">
        <v>78</v>
      </c>
      <c r="H233" s="5">
        <v>7</v>
      </c>
      <c r="I233">
        <f t="shared" si="51"/>
        <v>2016</v>
      </c>
      <c r="J233" s="4">
        <f t="shared" si="52"/>
        <v>2016.5</v>
      </c>
      <c r="K233" s="29">
        <v>2314.85</v>
      </c>
      <c r="L233" s="29">
        <f t="shared" si="53"/>
        <v>2314.85</v>
      </c>
      <c r="M233" s="29">
        <f t="shared" si="54"/>
        <v>27.557738095238093</v>
      </c>
      <c r="N233" s="29">
        <f t="shared" si="55"/>
        <v>330.69285714285712</v>
      </c>
      <c r="O233" s="29">
        <f t="shared" si="47"/>
        <v>0</v>
      </c>
      <c r="P233" s="29">
        <f t="shared" si="56"/>
        <v>2314.85</v>
      </c>
      <c r="Q233" s="29">
        <f t="shared" si="49"/>
        <v>2314.85</v>
      </c>
      <c r="R233" s="29">
        <f t="shared" si="57"/>
        <v>0</v>
      </c>
    </row>
    <row r="234" spans="1:18" outlineLevel="1">
      <c r="B234">
        <v>540</v>
      </c>
      <c r="C234" t="s">
        <v>224</v>
      </c>
      <c r="D234">
        <v>2009</v>
      </c>
      <c r="E234">
        <v>7</v>
      </c>
      <c r="F234">
        <v>0</v>
      </c>
      <c r="G234" t="s">
        <v>78</v>
      </c>
      <c r="H234" s="5">
        <v>7</v>
      </c>
      <c r="I234">
        <f t="shared" si="51"/>
        <v>2016</v>
      </c>
      <c r="J234" s="4">
        <f t="shared" si="52"/>
        <v>2016.5833333333333</v>
      </c>
      <c r="K234" s="29">
        <v>18474.009999999998</v>
      </c>
      <c r="L234" s="29">
        <f t="shared" si="53"/>
        <v>18474.009999999998</v>
      </c>
      <c r="M234" s="29">
        <f t="shared" si="54"/>
        <v>219.92869047619047</v>
      </c>
      <c r="N234" s="29">
        <f t="shared" si="55"/>
        <v>2639.1442857142856</v>
      </c>
      <c r="O234" s="29">
        <f t="shared" si="47"/>
        <v>0</v>
      </c>
      <c r="P234" s="29">
        <f t="shared" si="56"/>
        <v>18474.009999999998</v>
      </c>
      <c r="Q234" s="29">
        <f t="shared" si="49"/>
        <v>18474.009999999998</v>
      </c>
      <c r="R234" s="29">
        <f t="shared" si="57"/>
        <v>0</v>
      </c>
    </row>
    <row r="235" spans="1:18" outlineLevel="1">
      <c r="B235">
        <v>846</v>
      </c>
      <c r="C235" t="s">
        <v>227</v>
      </c>
      <c r="D235">
        <v>2009</v>
      </c>
      <c r="E235">
        <v>11</v>
      </c>
      <c r="F235">
        <v>0</v>
      </c>
      <c r="G235" t="s">
        <v>78</v>
      </c>
      <c r="H235" s="5">
        <v>7</v>
      </c>
      <c r="I235">
        <f t="shared" si="51"/>
        <v>2016</v>
      </c>
      <c r="J235" s="4">
        <f t="shared" si="52"/>
        <v>2016.9166666666667</v>
      </c>
      <c r="K235" s="29">
        <v>29308.86</v>
      </c>
      <c r="L235" s="29">
        <f t="shared" si="53"/>
        <v>29308.86</v>
      </c>
      <c r="M235" s="29">
        <f t="shared" si="54"/>
        <v>348.91500000000002</v>
      </c>
      <c r="N235" s="29">
        <f t="shared" si="55"/>
        <v>4186.9800000000005</v>
      </c>
      <c r="O235" s="29">
        <f t="shared" si="47"/>
        <v>0</v>
      </c>
      <c r="P235" s="29">
        <f t="shared" si="56"/>
        <v>29308.86</v>
      </c>
      <c r="Q235" s="29">
        <f t="shared" si="49"/>
        <v>29308.86</v>
      </c>
      <c r="R235" s="29">
        <f t="shared" si="57"/>
        <v>0</v>
      </c>
    </row>
    <row r="236" spans="1:18" outlineLevel="1">
      <c r="B236">
        <v>486</v>
      </c>
      <c r="C236" t="s">
        <v>308</v>
      </c>
      <c r="D236">
        <v>2009</v>
      </c>
      <c r="E236">
        <v>12</v>
      </c>
      <c r="F236">
        <v>0</v>
      </c>
      <c r="G236" t="s">
        <v>78</v>
      </c>
      <c r="H236" s="5">
        <v>7</v>
      </c>
      <c r="I236">
        <f t="shared" si="51"/>
        <v>2016</v>
      </c>
      <c r="J236" s="4">
        <f t="shared" si="52"/>
        <v>2017</v>
      </c>
      <c r="K236" s="29">
        <v>24198.25</v>
      </c>
      <c r="L236" s="29">
        <f t="shared" si="53"/>
        <v>24198.25</v>
      </c>
      <c r="M236" s="29">
        <f t="shared" si="54"/>
        <v>288.07440476190476</v>
      </c>
      <c r="N236" s="29">
        <f t="shared" si="55"/>
        <v>3456.8928571428569</v>
      </c>
      <c r="O236" s="29">
        <f t="shared" si="47"/>
        <v>0</v>
      </c>
      <c r="P236" s="29">
        <f t="shared" si="56"/>
        <v>24198.25</v>
      </c>
      <c r="Q236" s="29">
        <f t="shared" si="49"/>
        <v>24198.25</v>
      </c>
      <c r="R236" s="29">
        <f t="shared" si="57"/>
        <v>0</v>
      </c>
    </row>
    <row r="237" spans="1:18" outlineLevel="1">
      <c r="A237" s="44">
        <v>73807</v>
      </c>
      <c r="B237">
        <v>1080</v>
      </c>
      <c r="C237" t="s">
        <v>398</v>
      </c>
      <c r="D237">
        <v>2010</v>
      </c>
      <c r="E237">
        <v>4</v>
      </c>
      <c r="F237">
        <v>0</v>
      </c>
      <c r="G237" t="s">
        <v>78</v>
      </c>
      <c r="H237" s="5">
        <v>7</v>
      </c>
      <c r="I237">
        <f t="shared" si="51"/>
        <v>2017</v>
      </c>
      <c r="J237" s="4">
        <f t="shared" si="52"/>
        <v>2017.3333333333333</v>
      </c>
      <c r="K237" s="29">
        <v>36044.57</v>
      </c>
      <c r="L237" s="29">
        <f t="shared" si="53"/>
        <v>36044.57</v>
      </c>
      <c r="M237" s="29">
        <f t="shared" si="54"/>
        <v>429.10202380952381</v>
      </c>
      <c r="N237" s="29">
        <f t="shared" si="55"/>
        <v>5149.2242857142855</v>
      </c>
      <c r="O237" s="29">
        <f t="shared" si="47"/>
        <v>0</v>
      </c>
      <c r="P237" s="29">
        <f t="shared" si="56"/>
        <v>36044.57</v>
      </c>
      <c r="Q237" s="29">
        <f t="shared" si="49"/>
        <v>36044.57</v>
      </c>
      <c r="R237" s="29">
        <f t="shared" si="57"/>
        <v>0</v>
      </c>
    </row>
    <row r="238" spans="1:18" outlineLevel="1">
      <c r="A238" s="44">
        <v>76937</v>
      </c>
      <c r="B238">
        <v>1080</v>
      </c>
      <c r="C238" t="s">
        <v>398</v>
      </c>
      <c r="D238">
        <v>2010</v>
      </c>
      <c r="E238">
        <v>8</v>
      </c>
      <c r="F238">
        <v>0</v>
      </c>
      <c r="G238" t="s">
        <v>78</v>
      </c>
      <c r="H238" s="5">
        <v>7</v>
      </c>
      <c r="I238">
        <f t="shared" si="51"/>
        <v>2017</v>
      </c>
      <c r="J238" s="4">
        <f t="shared" si="52"/>
        <v>2017.6666666666667</v>
      </c>
      <c r="K238" s="29">
        <v>36068</v>
      </c>
      <c r="L238" s="29">
        <f t="shared" si="53"/>
        <v>36068</v>
      </c>
      <c r="M238" s="29">
        <f t="shared" si="54"/>
        <v>429.38095238095235</v>
      </c>
      <c r="N238" s="29">
        <f t="shared" si="55"/>
        <v>5152.5714285714284</v>
      </c>
      <c r="O238" s="29">
        <f t="shared" si="47"/>
        <v>0</v>
      </c>
      <c r="P238" s="29">
        <f t="shared" si="56"/>
        <v>36068</v>
      </c>
      <c r="Q238" s="29">
        <f t="shared" si="49"/>
        <v>36068</v>
      </c>
      <c r="R238" s="29">
        <f t="shared" si="57"/>
        <v>0</v>
      </c>
    </row>
    <row r="239" spans="1:18" outlineLevel="1">
      <c r="A239" s="44">
        <v>77219</v>
      </c>
      <c r="B239">
        <v>100</v>
      </c>
      <c r="C239" t="s">
        <v>399</v>
      </c>
      <c r="D239">
        <v>2010</v>
      </c>
      <c r="E239">
        <v>9</v>
      </c>
      <c r="F239">
        <v>0</v>
      </c>
      <c r="G239" t="s">
        <v>78</v>
      </c>
      <c r="H239" s="5">
        <v>7</v>
      </c>
      <c r="I239">
        <f t="shared" si="51"/>
        <v>2017</v>
      </c>
      <c r="J239" s="4">
        <f t="shared" si="52"/>
        <v>2017.75</v>
      </c>
      <c r="K239" s="29">
        <v>4841.2700000000004</v>
      </c>
      <c r="L239" s="29">
        <f t="shared" si="53"/>
        <v>4841.2700000000004</v>
      </c>
      <c r="M239" s="29">
        <f t="shared" si="54"/>
        <v>57.634166666666665</v>
      </c>
      <c r="N239" s="29">
        <f t="shared" si="55"/>
        <v>691.61</v>
      </c>
      <c r="O239" s="29">
        <f t="shared" si="47"/>
        <v>0</v>
      </c>
      <c r="P239" s="29">
        <f t="shared" si="56"/>
        <v>4841.2700000000004</v>
      </c>
      <c r="Q239" s="29">
        <f t="shared" si="49"/>
        <v>4841.2700000000004</v>
      </c>
      <c r="R239" s="29">
        <f t="shared" si="57"/>
        <v>0</v>
      </c>
    </row>
    <row r="240" spans="1:18" outlineLevel="1">
      <c r="A240" s="44">
        <v>78781</v>
      </c>
      <c r="B240">
        <v>270</v>
      </c>
      <c r="C240" t="s">
        <v>398</v>
      </c>
      <c r="D240">
        <v>2010</v>
      </c>
      <c r="E240">
        <v>11</v>
      </c>
      <c r="F240">
        <v>0</v>
      </c>
      <c r="G240" t="s">
        <v>78</v>
      </c>
      <c r="H240" s="5">
        <v>7</v>
      </c>
      <c r="I240">
        <f t="shared" si="51"/>
        <v>2017</v>
      </c>
      <c r="J240" s="4">
        <f t="shared" si="52"/>
        <v>2017.9166666666667</v>
      </c>
      <c r="K240" s="29">
        <v>9025.7900000000009</v>
      </c>
      <c r="L240" s="29">
        <f t="shared" si="53"/>
        <v>9025.7900000000009</v>
      </c>
      <c r="M240" s="29">
        <f t="shared" si="54"/>
        <v>107.44988095238097</v>
      </c>
      <c r="N240" s="29">
        <f t="shared" si="55"/>
        <v>1289.3985714285716</v>
      </c>
      <c r="O240" s="29">
        <f t="shared" si="47"/>
        <v>0</v>
      </c>
      <c r="P240" s="29">
        <f t="shared" si="56"/>
        <v>9025.7900000000009</v>
      </c>
      <c r="Q240" s="29">
        <f t="shared" si="49"/>
        <v>9025.7900000000009</v>
      </c>
      <c r="R240" s="29">
        <f t="shared" si="57"/>
        <v>0</v>
      </c>
    </row>
    <row r="241" spans="1:18" outlineLevel="1">
      <c r="A241" s="44">
        <v>78664</v>
      </c>
      <c r="B241">
        <v>648</v>
      </c>
      <c r="C241" t="s">
        <v>400</v>
      </c>
      <c r="D241">
        <v>2010</v>
      </c>
      <c r="E241">
        <v>11</v>
      </c>
      <c r="F241">
        <v>0</v>
      </c>
      <c r="G241" t="s">
        <v>78</v>
      </c>
      <c r="H241" s="5">
        <v>7</v>
      </c>
      <c r="I241">
        <f t="shared" si="51"/>
        <v>2017</v>
      </c>
      <c r="J241" s="4">
        <f t="shared" si="52"/>
        <v>2017.9166666666667</v>
      </c>
      <c r="K241" s="29">
        <v>27321.69</v>
      </c>
      <c r="L241" s="29">
        <f t="shared" si="53"/>
        <v>27321.69</v>
      </c>
      <c r="M241" s="29">
        <f t="shared" si="54"/>
        <v>325.25821428571425</v>
      </c>
      <c r="N241" s="29">
        <f t="shared" si="55"/>
        <v>3903.0985714285707</v>
      </c>
      <c r="O241" s="29">
        <f t="shared" si="47"/>
        <v>0</v>
      </c>
      <c r="P241" s="29">
        <f t="shared" si="56"/>
        <v>27321.69</v>
      </c>
      <c r="Q241" s="29">
        <f t="shared" si="49"/>
        <v>27321.69</v>
      </c>
      <c r="R241" s="29">
        <f t="shared" si="57"/>
        <v>0</v>
      </c>
    </row>
    <row r="242" spans="1:18" outlineLevel="1">
      <c r="A242" s="44">
        <v>81015</v>
      </c>
      <c r="B242">
        <v>1080</v>
      </c>
      <c r="C242" t="s">
        <v>398</v>
      </c>
      <c r="D242">
        <v>2011</v>
      </c>
      <c r="E242">
        <v>4</v>
      </c>
      <c r="F242">
        <v>0</v>
      </c>
      <c r="G242" t="s">
        <v>78</v>
      </c>
      <c r="H242" s="5">
        <v>7</v>
      </c>
      <c r="I242">
        <f t="shared" si="51"/>
        <v>2018</v>
      </c>
      <c r="J242" s="4">
        <f t="shared" si="52"/>
        <v>2018.3333333333333</v>
      </c>
      <c r="K242" s="29">
        <v>36815.379999999997</v>
      </c>
      <c r="L242" s="29">
        <f t="shared" si="53"/>
        <v>36815.379999999997</v>
      </c>
      <c r="M242" s="29">
        <f t="shared" si="54"/>
        <v>438.27833333333325</v>
      </c>
      <c r="N242" s="29">
        <f t="shared" si="55"/>
        <v>5259.3399999999992</v>
      </c>
      <c r="O242" s="29">
        <f t="shared" si="47"/>
        <v>0</v>
      </c>
      <c r="P242" s="29">
        <f t="shared" si="56"/>
        <v>36815.379999999997</v>
      </c>
      <c r="Q242" s="29">
        <f t="shared" si="49"/>
        <v>36815.379999999997</v>
      </c>
      <c r="R242" s="29">
        <f t="shared" si="57"/>
        <v>0</v>
      </c>
    </row>
    <row r="243" spans="1:18">
      <c r="Q243" s="29">
        <f t="shared" si="49"/>
        <v>0</v>
      </c>
    </row>
    <row r="244" spans="1:18">
      <c r="Q244" s="29">
        <f t="shared" si="49"/>
        <v>0</v>
      </c>
    </row>
    <row r="245" spans="1:18" outlineLevel="1">
      <c r="A245" s="44">
        <v>85605</v>
      </c>
      <c r="B245">
        <v>100</v>
      </c>
      <c r="C245" t="s">
        <v>399</v>
      </c>
      <c r="D245">
        <v>2011</v>
      </c>
      <c r="E245">
        <v>7</v>
      </c>
      <c r="F245">
        <v>0</v>
      </c>
      <c r="G245" t="s">
        <v>78</v>
      </c>
      <c r="H245" s="5">
        <v>7</v>
      </c>
      <c r="I245">
        <f t="shared" si="51"/>
        <v>2018</v>
      </c>
      <c r="J245" s="4">
        <f t="shared" si="52"/>
        <v>2018.5833333333333</v>
      </c>
      <c r="K245" s="29">
        <v>5500.23</v>
      </c>
      <c r="L245" s="29">
        <f t="shared" si="53"/>
        <v>5500.23</v>
      </c>
      <c r="M245" s="29">
        <f t="shared" si="54"/>
        <v>65.478928571428568</v>
      </c>
      <c r="N245" s="29">
        <f t="shared" si="55"/>
        <v>785.74714285714276</v>
      </c>
      <c r="O245" s="29">
        <f t="shared" ref="O245:O308" si="58">IF(J245&lt;=$N$6,0,N245)</f>
        <v>0</v>
      </c>
      <c r="P245" s="29">
        <f t="shared" si="56"/>
        <v>5500.23</v>
      </c>
      <c r="Q245" s="29">
        <f t="shared" si="49"/>
        <v>5500.23</v>
      </c>
      <c r="R245" s="29">
        <f t="shared" si="57"/>
        <v>0</v>
      </c>
    </row>
    <row r="246" spans="1:18" outlineLevel="1">
      <c r="A246" s="44">
        <v>88135</v>
      </c>
      <c r="B246">
        <v>1080</v>
      </c>
      <c r="C246" t="s">
        <v>398</v>
      </c>
      <c r="D246">
        <v>2011</v>
      </c>
      <c r="E246">
        <v>10</v>
      </c>
      <c r="F246">
        <v>0</v>
      </c>
      <c r="G246" t="s">
        <v>78</v>
      </c>
      <c r="H246" s="5">
        <v>7</v>
      </c>
      <c r="I246">
        <f t="shared" si="51"/>
        <v>2018</v>
      </c>
      <c r="J246" s="4">
        <f t="shared" si="52"/>
        <v>2018.8333333333333</v>
      </c>
      <c r="K246" s="29">
        <v>38752.42</v>
      </c>
      <c r="L246" s="29">
        <f t="shared" si="53"/>
        <v>38752.42</v>
      </c>
      <c r="M246" s="29">
        <f t="shared" si="54"/>
        <v>461.33833333333331</v>
      </c>
      <c r="N246" s="29">
        <f t="shared" si="55"/>
        <v>5536.0599999999995</v>
      </c>
      <c r="O246" s="29">
        <f t="shared" si="58"/>
        <v>0</v>
      </c>
      <c r="P246" s="29">
        <f t="shared" si="56"/>
        <v>38752.42</v>
      </c>
      <c r="Q246" s="29">
        <f t="shared" si="49"/>
        <v>38752.42</v>
      </c>
      <c r="R246" s="29">
        <f t="shared" si="57"/>
        <v>0</v>
      </c>
    </row>
    <row r="247" spans="1:18" outlineLevel="1">
      <c r="A247" s="44">
        <v>88606</v>
      </c>
      <c r="B247">
        <v>548</v>
      </c>
      <c r="C247" t="s">
        <v>400</v>
      </c>
      <c r="D247">
        <v>2011</v>
      </c>
      <c r="E247">
        <v>12</v>
      </c>
      <c r="F247">
        <v>0</v>
      </c>
      <c r="G247" t="s">
        <v>78</v>
      </c>
      <c r="H247" s="5">
        <v>7</v>
      </c>
      <c r="I247">
        <f t="shared" si="51"/>
        <v>2018</v>
      </c>
      <c r="J247" s="4">
        <f t="shared" si="52"/>
        <v>2019</v>
      </c>
      <c r="K247" s="29">
        <v>24666.94</v>
      </c>
      <c r="L247" s="29">
        <f t="shared" si="53"/>
        <v>24666.94</v>
      </c>
      <c r="M247" s="29">
        <f t="shared" si="54"/>
        <v>293.65404761904762</v>
      </c>
      <c r="N247" s="29">
        <f t="shared" si="55"/>
        <v>3523.8485714285716</v>
      </c>
      <c r="O247" s="29">
        <f t="shared" si="58"/>
        <v>0</v>
      </c>
      <c r="P247" s="29">
        <f t="shared" si="56"/>
        <v>24666.94</v>
      </c>
      <c r="Q247" s="29">
        <f t="shared" si="49"/>
        <v>24666.94</v>
      </c>
      <c r="R247" s="29">
        <f t="shared" si="57"/>
        <v>0</v>
      </c>
    </row>
    <row r="248" spans="1:18" outlineLevel="1">
      <c r="A248" s="44">
        <v>96399</v>
      </c>
      <c r="B248">
        <v>324</v>
      </c>
      <c r="C248" t="s">
        <v>400</v>
      </c>
      <c r="D248">
        <v>2012</v>
      </c>
      <c r="E248">
        <v>6</v>
      </c>
      <c r="F248">
        <v>0</v>
      </c>
      <c r="G248" t="s">
        <v>78</v>
      </c>
      <c r="H248" s="5">
        <v>7</v>
      </c>
      <c r="I248">
        <f t="shared" si="51"/>
        <v>2019</v>
      </c>
      <c r="J248" s="4">
        <f t="shared" si="52"/>
        <v>2019.5</v>
      </c>
      <c r="K248" s="29">
        <v>14461</v>
      </c>
      <c r="L248" s="29">
        <f t="shared" si="53"/>
        <v>14461</v>
      </c>
      <c r="M248" s="29">
        <f t="shared" si="54"/>
        <v>172.1547619047619</v>
      </c>
      <c r="N248" s="29">
        <f t="shared" si="55"/>
        <v>2065.8571428571427</v>
      </c>
      <c r="O248" s="29">
        <f t="shared" si="58"/>
        <v>0</v>
      </c>
      <c r="P248" s="29">
        <f t="shared" si="56"/>
        <v>14461</v>
      </c>
      <c r="Q248" s="29">
        <f t="shared" si="49"/>
        <v>14461</v>
      </c>
      <c r="R248" s="29">
        <f t="shared" si="57"/>
        <v>0</v>
      </c>
    </row>
    <row r="249" spans="1:18" outlineLevel="1">
      <c r="A249" s="44">
        <v>96400</v>
      </c>
      <c r="B249">
        <v>243</v>
      </c>
      <c r="C249" t="s">
        <v>399</v>
      </c>
      <c r="D249">
        <v>2012</v>
      </c>
      <c r="E249">
        <v>6</v>
      </c>
      <c r="F249">
        <v>0</v>
      </c>
      <c r="G249" t="s">
        <v>78</v>
      </c>
      <c r="H249" s="5">
        <v>7</v>
      </c>
      <c r="I249">
        <f t="shared" si="51"/>
        <v>2019</v>
      </c>
      <c r="J249" s="4">
        <f t="shared" si="52"/>
        <v>2019.5</v>
      </c>
      <c r="K249" s="29">
        <v>12605</v>
      </c>
      <c r="L249" s="29">
        <f t="shared" si="53"/>
        <v>12605</v>
      </c>
      <c r="M249" s="29">
        <f t="shared" si="54"/>
        <v>150.05952380952382</v>
      </c>
      <c r="N249" s="29">
        <f t="shared" si="55"/>
        <v>1800.7142857142858</v>
      </c>
      <c r="O249" s="29">
        <f t="shared" si="58"/>
        <v>0</v>
      </c>
      <c r="P249" s="29">
        <f t="shared" si="56"/>
        <v>12605</v>
      </c>
      <c r="Q249" s="29">
        <f t="shared" si="49"/>
        <v>12605</v>
      </c>
      <c r="R249" s="29">
        <f t="shared" si="57"/>
        <v>0</v>
      </c>
    </row>
    <row r="250" spans="1:18" outlineLevel="1">
      <c r="A250" s="44">
        <v>96397</v>
      </c>
      <c r="B250">
        <v>217</v>
      </c>
      <c r="C250" t="s">
        <v>466</v>
      </c>
      <c r="D250">
        <v>2012</v>
      </c>
      <c r="E250">
        <v>7</v>
      </c>
      <c r="F250">
        <v>0</v>
      </c>
      <c r="G250" t="s">
        <v>78</v>
      </c>
      <c r="H250" s="5">
        <v>7</v>
      </c>
      <c r="I250">
        <f t="shared" si="51"/>
        <v>2019</v>
      </c>
      <c r="J250" s="4">
        <f t="shared" si="52"/>
        <v>2019.5833333333333</v>
      </c>
      <c r="K250" s="29">
        <v>7374</v>
      </c>
      <c r="L250" s="29">
        <f t="shared" si="53"/>
        <v>7374</v>
      </c>
      <c r="M250" s="29">
        <f t="shared" si="54"/>
        <v>87.785714285714278</v>
      </c>
      <c r="N250" s="29">
        <f t="shared" si="55"/>
        <v>1053.4285714285713</v>
      </c>
      <c r="O250" s="29">
        <f t="shared" si="58"/>
        <v>0</v>
      </c>
      <c r="P250" s="29">
        <f t="shared" si="56"/>
        <v>7374</v>
      </c>
      <c r="Q250" s="29">
        <f t="shared" si="49"/>
        <v>7374</v>
      </c>
      <c r="R250" s="29">
        <f t="shared" si="57"/>
        <v>0</v>
      </c>
    </row>
    <row r="251" spans="1:18" outlineLevel="1">
      <c r="A251" s="44">
        <v>96398</v>
      </c>
      <c r="B251">
        <v>810</v>
      </c>
      <c r="C251" t="s">
        <v>398</v>
      </c>
      <c r="D251">
        <v>2012</v>
      </c>
      <c r="E251">
        <v>7</v>
      </c>
      <c r="F251">
        <v>0</v>
      </c>
      <c r="G251" t="s">
        <v>78</v>
      </c>
      <c r="H251" s="5">
        <v>7</v>
      </c>
      <c r="I251">
        <f t="shared" si="51"/>
        <v>2019</v>
      </c>
      <c r="J251" s="4">
        <f t="shared" si="52"/>
        <v>2019.5833333333333</v>
      </c>
      <c r="K251" s="29">
        <v>28316</v>
      </c>
      <c r="L251" s="29">
        <f t="shared" si="53"/>
        <v>28316</v>
      </c>
      <c r="M251" s="29">
        <f t="shared" si="54"/>
        <v>337.09523809523813</v>
      </c>
      <c r="N251" s="29">
        <f t="shared" si="55"/>
        <v>4045.1428571428578</v>
      </c>
      <c r="O251" s="29">
        <f t="shared" si="58"/>
        <v>0</v>
      </c>
      <c r="P251" s="29">
        <f t="shared" si="56"/>
        <v>28316</v>
      </c>
      <c r="Q251" s="29">
        <f t="shared" si="49"/>
        <v>28316</v>
      </c>
      <c r="R251" s="29">
        <f t="shared" si="57"/>
        <v>0</v>
      </c>
    </row>
    <row r="252" spans="1:18" outlineLevel="1">
      <c r="A252" s="44">
        <v>94943</v>
      </c>
      <c r="B252">
        <v>486</v>
      </c>
      <c r="C252" t="s">
        <v>473</v>
      </c>
      <c r="D252">
        <v>2012</v>
      </c>
      <c r="E252">
        <v>7</v>
      </c>
      <c r="F252">
        <v>0</v>
      </c>
      <c r="G252" t="s">
        <v>78</v>
      </c>
      <c r="H252" s="5">
        <v>7</v>
      </c>
      <c r="I252">
        <f t="shared" si="51"/>
        <v>2019</v>
      </c>
      <c r="J252" s="4">
        <f t="shared" si="52"/>
        <v>2019.5833333333333</v>
      </c>
      <c r="K252" s="29">
        <v>25210</v>
      </c>
      <c r="L252" s="29">
        <f t="shared" si="53"/>
        <v>25210</v>
      </c>
      <c r="M252" s="29">
        <f t="shared" si="54"/>
        <v>300.11904761904765</v>
      </c>
      <c r="N252" s="29">
        <f t="shared" si="55"/>
        <v>3601.4285714285716</v>
      </c>
      <c r="O252" s="29">
        <f t="shared" si="58"/>
        <v>0</v>
      </c>
      <c r="P252" s="29">
        <f t="shared" si="56"/>
        <v>25210</v>
      </c>
      <c r="Q252" s="29">
        <f t="shared" si="49"/>
        <v>25210</v>
      </c>
      <c r="R252" s="29">
        <f t="shared" si="57"/>
        <v>0</v>
      </c>
    </row>
    <row r="253" spans="1:18" outlineLevel="1">
      <c r="A253" s="44">
        <v>96401</v>
      </c>
      <c r="B253">
        <v>810</v>
      </c>
      <c r="C253" t="s">
        <v>398</v>
      </c>
      <c r="D253">
        <v>2012</v>
      </c>
      <c r="E253">
        <v>9</v>
      </c>
      <c r="F253">
        <v>0</v>
      </c>
      <c r="G253" t="s">
        <v>78</v>
      </c>
      <c r="H253" s="5">
        <v>7</v>
      </c>
      <c r="I253">
        <f t="shared" si="51"/>
        <v>2019</v>
      </c>
      <c r="J253" s="4">
        <f t="shared" si="52"/>
        <v>2019.75</v>
      </c>
      <c r="K253" s="29">
        <v>27988</v>
      </c>
      <c r="L253" s="29">
        <f t="shared" si="53"/>
        <v>27988</v>
      </c>
      <c r="M253" s="29">
        <f t="shared" si="54"/>
        <v>333.1904761904762</v>
      </c>
      <c r="N253" s="29">
        <f t="shared" si="55"/>
        <v>3998.2857142857147</v>
      </c>
      <c r="O253" s="29">
        <f t="shared" si="58"/>
        <v>0</v>
      </c>
      <c r="P253" s="29">
        <f t="shared" si="56"/>
        <v>27988</v>
      </c>
      <c r="Q253" s="29">
        <f t="shared" si="49"/>
        <v>27988</v>
      </c>
      <c r="R253" s="29">
        <f t="shared" si="57"/>
        <v>0</v>
      </c>
    </row>
    <row r="254" spans="1:18" outlineLevel="1">
      <c r="A254" s="44">
        <v>96948</v>
      </c>
      <c r="B254">
        <v>324</v>
      </c>
      <c r="C254" t="s">
        <v>400</v>
      </c>
      <c r="D254">
        <v>2012</v>
      </c>
      <c r="E254">
        <v>9</v>
      </c>
      <c r="F254">
        <v>0</v>
      </c>
      <c r="G254" t="s">
        <v>78</v>
      </c>
      <c r="H254" s="5">
        <v>7</v>
      </c>
      <c r="I254">
        <f t="shared" si="51"/>
        <v>2019</v>
      </c>
      <c r="J254" s="4">
        <f t="shared" si="52"/>
        <v>2019.75</v>
      </c>
      <c r="K254" s="29">
        <v>14292</v>
      </c>
      <c r="L254" s="29">
        <f t="shared" si="53"/>
        <v>14292</v>
      </c>
      <c r="M254" s="29">
        <f t="shared" si="54"/>
        <v>170.14285714285714</v>
      </c>
      <c r="N254" s="29">
        <f t="shared" si="55"/>
        <v>2041.7142857142858</v>
      </c>
      <c r="O254" s="29">
        <f t="shared" si="58"/>
        <v>0</v>
      </c>
      <c r="P254" s="29">
        <f t="shared" si="56"/>
        <v>14292</v>
      </c>
      <c r="Q254" s="29">
        <f t="shared" si="49"/>
        <v>14292</v>
      </c>
      <c r="R254" s="29">
        <f t="shared" si="57"/>
        <v>0</v>
      </c>
    </row>
    <row r="255" spans="1:18" outlineLevel="1">
      <c r="A255" s="44" t="s">
        <v>468</v>
      </c>
      <c r="B255">
        <v>1215</v>
      </c>
      <c r="C255" t="s">
        <v>399</v>
      </c>
      <c r="D255">
        <v>2012</v>
      </c>
      <c r="E255">
        <v>9</v>
      </c>
      <c r="F255">
        <v>0</v>
      </c>
      <c r="G255" t="s">
        <v>78</v>
      </c>
      <c r="H255" s="5">
        <v>7</v>
      </c>
      <c r="I255">
        <f t="shared" si="51"/>
        <v>2019</v>
      </c>
      <c r="J255" s="4">
        <f t="shared" si="52"/>
        <v>2019.75</v>
      </c>
      <c r="K255" s="29">
        <v>61284</v>
      </c>
      <c r="L255" s="29">
        <f t="shared" si="53"/>
        <v>61284</v>
      </c>
      <c r="M255" s="29">
        <f t="shared" si="54"/>
        <v>729.57142857142856</v>
      </c>
      <c r="N255" s="29">
        <f t="shared" si="55"/>
        <v>8754.8571428571431</v>
      </c>
      <c r="O255" s="29">
        <f t="shared" si="58"/>
        <v>0</v>
      </c>
      <c r="P255" s="29">
        <f t="shared" si="56"/>
        <v>61284</v>
      </c>
      <c r="Q255" s="29">
        <f t="shared" si="49"/>
        <v>61284</v>
      </c>
      <c r="R255" s="29">
        <f t="shared" si="57"/>
        <v>0</v>
      </c>
    </row>
    <row r="256" spans="1:18" outlineLevel="1">
      <c r="A256" s="44">
        <v>97739</v>
      </c>
      <c r="B256">
        <v>217</v>
      </c>
      <c r="C256" t="s">
        <v>474</v>
      </c>
      <c r="D256">
        <v>2012</v>
      </c>
      <c r="E256">
        <v>10</v>
      </c>
      <c r="F256">
        <v>0</v>
      </c>
      <c r="G256" t="s">
        <v>78</v>
      </c>
      <c r="H256" s="5">
        <v>7</v>
      </c>
      <c r="I256">
        <f t="shared" si="51"/>
        <v>2019</v>
      </c>
      <c r="J256" s="4">
        <f t="shared" si="52"/>
        <v>2019.8333333333333</v>
      </c>
      <c r="K256" s="29">
        <v>7167</v>
      </c>
      <c r="L256" s="29">
        <f t="shared" si="53"/>
        <v>7167</v>
      </c>
      <c r="M256" s="29">
        <f t="shared" si="54"/>
        <v>85.321428571428569</v>
      </c>
      <c r="N256" s="29">
        <f t="shared" si="55"/>
        <v>1023.8571428571429</v>
      </c>
      <c r="O256" s="29">
        <f t="shared" si="58"/>
        <v>0</v>
      </c>
      <c r="P256" s="29">
        <f t="shared" si="56"/>
        <v>7167</v>
      </c>
      <c r="Q256" s="29">
        <f t="shared" si="49"/>
        <v>7167</v>
      </c>
      <c r="R256" s="29">
        <f t="shared" si="57"/>
        <v>0</v>
      </c>
    </row>
    <row r="257" spans="1:18" outlineLevel="1">
      <c r="A257" s="44">
        <v>104087</v>
      </c>
      <c r="B257">
        <v>324</v>
      </c>
      <c r="C257" t="s">
        <v>400</v>
      </c>
      <c r="D257">
        <v>2013</v>
      </c>
      <c r="E257">
        <v>3</v>
      </c>
      <c r="F257">
        <v>0</v>
      </c>
      <c r="G257" t="s">
        <v>78</v>
      </c>
      <c r="H257" s="5">
        <v>7</v>
      </c>
      <c r="I257">
        <f t="shared" si="51"/>
        <v>2020</v>
      </c>
      <c r="J257" s="4">
        <f t="shared" si="52"/>
        <v>2020.25</v>
      </c>
      <c r="K257" s="29">
        <v>14387.53</v>
      </c>
      <c r="L257" s="29">
        <f t="shared" si="53"/>
        <v>14387.53</v>
      </c>
      <c r="M257" s="29">
        <f t="shared" si="54"/>
        <v>171.28011904761908</v>
      </c>
      <c r="N257" s="29">
        <f t="shared" si="55"/>
        <v>2055.3614285714289</v>
      </c>
      <c r="O257" s="29">
        <f t="shared" si="58"/>
        <v>0</v>
      </c>
      <c r="P257" s="29">
        <f t="shared" si="56"/>
        <v>14387.53</v>
      </c>
      <c r="Q257" s="29">
        <f t="shared" si="49"/>
        <v>14387.53</v>
      </c>
      <c r="R257" s="29">
        <f t="shared" si="57"/>
        <v>0</v>
      </c>
    </row>
    <row r="258" spans="1:18">
      <c r="O258" s="29">
        <f t="shared" si="58"/>
        <v>0</v>
      </c>
      <c r="Q258" s="29">
        <f t="shared" ref="Q258:Q321" si="59">IF(O258=0,L258,O258+P258)</f>
        <v>0</v>
      </c>
    </row>
    <row r="259" spans="1:18" outlineLevel="1">
      <c r="A259" s="44">
        <v>104088</v>
      </c>
      <c r="B259">
        <v>444</v>
      </c>
      <c r="C259" t="s">
        <v>398</v>
      </c>
      <c r="D259">
        <v>2013</v>
      </c>
      <c r="E259">
        <v>5</v>
      </c>
      <c r="F259">
        <v>0</v>
      </c>
      <c r="G259" t="s">
        <v>78</v>
      </c>
      <c r="H259" s="5">
        <v>7</v>
      </c>
      <c r="I259">
        <f t="shared" ref="I259:I289" si="60">D259+H259</f>
        <v>2020</v>
      </c>
      <c r="J259" s="4">
        <f t="shared" ref="J259:J289" si="61">+I259+(E259/12)</f>
        <v>2020.4166666666667</v>
      </c>
      <c r="K259" s="29">
        <v>16700.669999999998</v>
      </c>
      <c r="L259" s="29">
        <f t="shared" ref="L259:L289" si="62">K259-K259*F259</f>
        <v>16700.669999999998</v>
      </c>
      <c r="M259" s="29">
        <f t="shared" ref="M259:M277" si="63">L259/H259/12</f>
        <v>198.8175</v>
      </c>
      <c r="N259" s="29">
        <f t="shared" ref="N259:N277" si="64">+M259*12</f>
        <v>2385.81</v>
      </c>
      <c r="O259" s="29">
        <f t="shared" si="58"/>
        <v>0</v>
      </c>
      <c r="P259" s="29">
        <f t="shared" ref="P259:P276" si="65">+IF(O259=0,L259,IF($L$3-D259&lt;1,0,(($L$3-D259)*O259)))</f>
        <v>16700.669999999998</v>
      </c>
      <c r="Q259" s="29">
        <f t="shared" si="59"/>
        <v>16700.669999999998</v>
      </c>
      <c r="R259" s="29">
        <f t="shared" ref="R259:R277" si="66">+K259-Q259</f>
        <v>0</v>
      </c>
    </row>
    <row r="260" spans="1:18" outlineLevel="1">
      <c r="A260" s="44">
        <v>104089</v>
      </c>
      <c r="B260">
        <v>126</v>
      </c>
      <c r="C260" t="s">
        <v>399</v>
      </c>
      <c r="D260">
        <v>2013</v>
      </c>
      <c r="E260">
        <v>5</v>
      </c>
      <c r="F260">
        <v>0</v>
      </c>
      <c r="G260" t="s">
        <v>78</v>
      </c>
      <c r="H260" s="5">
        <v>7</v>
      </c>
      <c r="I260">
        <f t="shared" si="60"/>
        <v>2020</v>
      </c>
      <c r="J260" s="4">
        <f t="shared" si="61"/>
        <v>2020.4166666666667</v>
      </c>
      <c r="K260" s="29">
        <v>6580.15</v>
      </c>
      <c r="L260" s="29">
        <f t="shared" si="62"/>
        <v>6580.15</v>
      </c>
      <c r="M260" s="29">
        <f t="shared" si="63"/>
        <v>78.335119047619045</v>
      </c>
      <c r="N260" s="29">
        <f t="shared" si="64"/>
        <v>940.02142857142849</v>
      </c>
      <c r="O260" s="29">
        <f t="shared" si="58"/>
        <v>0</v>
      </c>
      <c r="P260" s="29">
        <f t="shared" si="65"/>
        <v>6580.15</v>
      </c>
      <c r="Q260" s="29">
        <f t="shared" si="59"/>
        <v>6580.15</v>
      </c>
      <c r="R260" s="29">
        <f t="shared" si="66"/>
        <v>0</v>
      </c>
    </row>
    <row r="261" spans="1:18" outlineLevel="1">
      <c r="A261" s="44">
        <v>106448</v>
      </c>
      <c r="B261">
        <v>540</v>
      </c>
      <c r="C261" t="s">
        <v>398</v>
      </c>
      <c r="D261">
        <v>2013</v>
      </c>
      <c r="E261">
        <v>7</v>
      </c>
      <c r="F261">
        <v>0</v>
      </c>
      <c r="G261" t="s">
        <v>78</v>
      </c>
      <c r="H261" s="5">
        <v>7</v>
      </c>
      <c r="I261">
        <f t="shared" si="60"/>
        <v>2020</v>
      </c>
      <c r="J261" s="4">
        <f t="shared" si="61"/>
        <v>2020.5833333333333</v>
      </c>
      <c r="K261" s="29">
        <v>21137.37</v>
      </c>
      <c r="L261" s="29">
        <f t="shared" si="62"/>
        <v>21137.37</v>
      </c>
      <c r="M261" s="29">
        <f t="shared" si="63"/>
        <v>251.63535714285715</v>
      </c>
      <c r="N261" s="29">
        <f t="shared" si="64"/>
        <v>3019.6242857142856</v>
      </c>
      <c r="O261" s="29">
        <f t="shared" si="58"/>
        <v>0</v>
      </c>
      <c r="P261" s="29">
        <f t="shared" si="65"/>
        <v>21137.37</v>
      </c>
      <c r="Q261" s="29">
        <f t="shared" si="59"/>
        <v>21137.37</v>
      </c>
      <c r="R261" s="29">
        <f t="shared" si="66"/>
        <v>0</v>
      </c>
    </row>
    <row r="262" spans="1:18" outlineLevel="1">
      <c r="A262" s="44">
        <v>107455</v>
      </c>
      <c r="B262">
        <v>162</v>
      </c>
      <c r="C262" t="s">
        <v>400</v>
      </c>
      <c r="D262">
        <v>2013</v>
      </c>
      <c r="E262">
        <v>7</v>
      </c>
      <c r="F262">
        <v>0</v>
      </c>
      <c r="G262" t="s">
        <v>78</v>
      </c>
      <c r="H262" s="5">
        <v>7</v>
      </c>
      <c r="I262">
        <f t="shared" si="60"/>
        <v>2020</v>
      </c>
      <c r="J262" s="4">
        <f t="shared" si="61"/>
        <v>2020.5833333333333</v>
      </c>
      <c r="K262" s="29">
        <v>7724.66</v>
      </c>
      <c r="L262" s="29">
        <f t="shared" si="62"/>
        <v>7724.66</v>
      </c>
      <c r="M262" s="29">
        <f t="shared" si="63"/>
        <v>91.960238095238097</v>
      </c>
      <c r="N262" s="29">
        <f t="shared" si="64"/>
        <v>1103.5228571428572</v>
      </c>
      <c r="O262" s="29">
        <f t="shared" si="58"/>
        <v>0</v>
      </c>
      <c r="P262" s="29">
        <f t="shared" si="65"/>
        <v>7724.66</v>
      </c>
      <c r="Q262" s="29">
        <f t="shared" si="59"/>
        <v>7724.66</v>
      </c>
      <c r="R262" s="29">
        <f t="shared" si="66"/>
        <v>0</v>
      </c>
    </row>
    <row r="263" spans="1:18" outlineLevel="1">
      <c r="A263" s="44">
        <v>107454</v>
      </c>
      <c r="B263">
        <v>237</v>
      </c>
      <c r="C263" t="s">
        <v>399</v>
      </c>
      <c r="D263">
        <v>2013</v>
      </c>
      <c r="E263">
        <v>7</v>
      </c>
      <c r="F263">
        <v>0</v>
      </c>
      <c r="G263" t="s">
        <v>78</v>
      </c>
      <c r="H263" s="5">
        <v>7</v>
      </c>
      <c r="I263">
        <f t="shared" si="60"/>
        <v>2020</v>
      </c>
      <c r="J263" s="4">
        <f t="shared" si="61"/>
        <v>2020.5833333333333</v>
      </c>
      <c r="K263" s="29">
        <v>13002.62</v>
      </c>
      <c r="L263" s="29">
        <f t="shared" si="62"/>
        <v>13002.62</v>
      </c>
      <c r="M263" s="29">
        <f t="shared" si="63"/>
        <v>154.79309523809525</v>
      </c>
      <c r="N263" s="29">
        <f t="shared" si="64"/>
        <v>1857.517142857143</v>
      </c>
      <c r="O263" s="29">
        <f t="shared" si="58"/>
        <v>0</v>
      </c>
      <c r="P263" s="29">
        <f t="shared" si="65"/>
        <v>13002.62</v>
      </c>
      <c r="Q263" s="29">
        <f t="shared" si="59"/>
        <v>13002.62</v>
      </c>
      <c r="R263" s="29">
        <f t="shared" si="66"/>
        <v>0</v>
      </c>
    </row>
    <row r="264" spans="1:18" outlineLevel="1">
      <c r="A264" s="44">
        <v>109344</v>
      </c>
      <c r="B264">
        <v>1080</v>
      </c>
      <c r="C264" t="s">
        <v>398</v>
      </c>
      <c r="D264">
        <v>2013</v>
      </c>
      <c r="E264">
        <v>11</v>
      </c>
      <c r="F264">
        <v>0</v>
      </c>
      <c r="G264" t="s">
        <v>78</v>
      </c>
      <c r="H264" s="5">
        <v>7</v>
      </c>
      <c r="I264">
        <f t="shared" si="60"/>
        <v>2020</v>
      </c>
      <c r="J264" s="4">
        <f t="shared" si="61"/>
        <v>2020.9166666666667</v>
      </c>
      <c r="K264" s="29">
        <v>38869.17</v>
      </c>
      <c r="L264" s="29">
        <f t="shared" si="62"/>
        <v>38869.17</v>
      </c>
      <c r="M264" s="29">
        <f t="shared" si="63"/>
        <v>462.72821428571427</v>
      </c>
      <c r="N264" s="29">
        <f t="shared" si="64"/>
        <v>5552.738571428571</v>
      </c>
      <c r="O264" s="29">
        <f t="shared" si="58"/>
        <v>0</v>
      </c>
      <c r="P264" s="29">
        <f t="shared" si="65"/>
        <v>38869.17</v>
      </c>
      <c r="Q264" s="29">
        <f t="shared" si="59"/>
        <v>38869.17</v>
      </c>
      <c r="R264" s="29">
        <f t="shared" si="66"/>
        <v>0</v>
      </c>
    </row>
    <row r="265" spans="1:18" outlineLevel="1">
      <c r="A265" s="44">
        <v>109186</v>
      </c>
      <c r="B265">
        <v>324</v>
      </c>
      <c r="C265" t="s">
        <v>400</v>
      </c>
      <c r="D265">
        <v>2013</v>
      </c>
      <c r="E265">
        <v>11</v>
      </c>
      <c r="F265">
        <v>0</v>
      </c>
      <c r="G265" t="s">
        <v>78</v>
      </c>
      <c r="H265" s="5">
        <v>7</v>
      </c>
      <c r="I265">
        <f t="shared" si="60"/>
        <v>2020</v>
      </c>
      <c r="J265" s="4">
        <f t="shared" si="61"/>
        <v>2020.9166666666667</v>
      </c>
      <c r="K265" s="29">
        <v>13520.49</v>
      </c>
      <c r="L265" s="29">
        <f t="shared" si="62"/>
        <v>13520.49</v>
      </c>
      <c r="M265" s="29">
        <f t="shared" si="63"/>
        <v>160.95821428571429</v>
      </c>
      <c r="N265" s="29">
        <f t="shared" si="64"/>
        <v>1931.4985714285715</v>
      </c>
      <c r="O265" s="29">
        <f t="shared" si="58"/>
        <v>0</v>
      </c>
      <c r="P265" s="29">
        <f t="shared" si="65"/>
        <v>13520.49</v>
      </c>
      <c r="Q265" s="29">
        <f t="shared" si="59"/>
        <v>13520.49</v>
      </c>
      <c r="R265" s="29">
        <f t="shared" si="66"/>
        <v>0</v>
      </c>
    </row>
    <row r="266" spans="1:18" outlineLevel="1">
      <c r="A266" s="44">
        <v>109341</v>
      </c>
      <c r="B266">
        <v>122</v>
      </c>
      <c r="C266" t="s">
        <v>399</v>
      </c>
      <c r="D266">
        <v>2013</v>
      </c>
      <c r="E266">
        <v>11</v>
      </c>
      <c r="F266">
        <v>0</v>
      </c>
      <c r="G266" t="s">
        <v>78</v>
      </c>
      <c r="H266" s="5">
        <v>7</v>
      </c>
      <c r="I266">
        <f t="shared" si="60"/>
        <v>2020</v>
      </c>
      <c r="J266" s="4">
        <f t="shared" si="61"/>
        <v>2020.9166666666667</v>
      </c>
      <c r="K266" s="29">
        <f>7308.09</f>
        <v>7308.09</v>
      </c>
      <c r="L266" s="29">
        <f t="shared" si="62"/>
        <v>7308.09</v>
      </c>
      <c r="M266" s="29">
        <f t="shared" si="63"/>
        <v>87.001071428571436</v>
      </c>
      <c r="N266" s="29">
        <f t="shared" si="64"/>
        <v>1044.0128571428572</v>
      </c>
      <c r="O266" s="29">
        <f t="shared" si="58"/>
        <v>0</v>
      </c>
      <c r="P266" s="29">
        <f t="shared" si="65"/>
        <v>7308.09</v>
      </c>
      <c r="Q266" s="29">
        <f t="shared" si="59"/>
        <v>7308.09</v>
      </c>
      <c r="R266" s="29">
        <f t="shared" si="66"/>
        <v>0</v>
      </c>
    </row>
    <row r="267" spans="1:18" outlineLevel="1">
      <c r="A267" s="44">
        <v>112465</v>
      </c>
      <c r="B267">
        <v>210</v>
      </c>
      <c r="C267" t="s">
        <v>466</v>
      </c>
      <c r="D267">
        <v>2014</v>
      </c>
      <c r="E267">
        <v>3</v>
      </c>
      <c r="F267">
        <v>0</v>
      </c>
      <c r="G267" t="s">
        <v>78</v>
      </c>
      <c r="H267" s="5">
        <v>7</v>
      </c>
      <c r="I267">
        <f t="shared" si="60"/>
        <v>2021</v>
      </c>
      <c r="J267" s="4">
        <f t="shared" si="61"/>
        <v>2021.25</v>
      </c>
      <c r="K267" s="29">
        <v>9383.1</v>
      </c>
      <c r="L267" s="29">
        <f t="shared" si="62"/>
        <v>9383.1</v>
      </c>
      <c r="M267" s="29">
        <f t="shared" si="63"/>
        <v>111.70357142857144</v>
      </c>
      <c r="N267" s="29">
        <f t="shared" si="64"/>
        <v>1340.4428571428573</v>
      </c>
      <c r="O267" s="29">
        <f t="shared" si="58"/>
        <v>0</v>
      </c>
      <c r="P267" s="29">
        <f t="shared" si="65"/>
        <v>9383.1</v>
      </c>
      <c r="Q267" s="29">
        <f t="shared" si="59"/>
        <v>9383.1</v>
      </c>
      <c r="R267" s="29">
        <f t="shared" si="66"/>
        <v>0</v>
      </c>
    </row>
    <row r="268" spans="1:18" outlineLevel="1">
      <c r="A268" s="44">
        <v>112464</v>
      </c>
      <c r="B268">
        <v>810</v>
      </c>
      <c r="C268" t="s">
        <v>398</v>
      </c>
      <c r="D268">
        <v>2014</v>
      </c>
      <c r="E268">
        <v>3</v>
      </c>
      <c r="F268">
        <v>0</v>
      </c>
      <c r="G268" t="s">
        <v>78</v>
      </c>
      <c r="H268" s="5">
        <v>7</v>
      </c>
      <c r="I268">
        <f t="shared" si="60"/>
        <v>2021</v>
      </c>
      <c r="J268" s="4">
        <f t="shared" si="61"/>
        <v>2021.25</v>
      </c>
      <c r="K268" s="29">
        <v>30408.07</v>
      </c>
      <c r="L268" s="29">
        <f t="shared" si="62"/>
        <v>30408.07</v>
      </c>
      <c r="M268" s="29">
        <f t="shared" si="63"/>
        <v>362.00083333333333</v>
      </c>
      <c r="N268" s="29">
        <f t="shared" si="64"/>
        <v>4344.01</v>
      </c>
      <c r="O268" s="29">
        <f t="shared" si="58"/>
        <v>0</v>
      </c>
      <c r="P268" s="29">
        <f t="shared" si="65"/>
        <v>30408.07</v>
      </c>
      <c r="Q268" s="29">
        <f t="shared" si="59"/>
        <v>30408.07</v>
      </c>
      <c r="R268" s="29">
        <f t="shared" si="66"/>
        <v>0</v>
      </c>
    </row>
    <row r="269" spans="1:18" outlineLevel="1">
      <c r="A269" s="44">
        <v>112463</v>
      </c>
      <c r="B269">
        <v>324</v>
      </c>
      <c r="C269" t="s">
        <v>400</v>
      </c>
      <c r="D269">
        <v>2014</v>
      </c>
      <c r="E269">
        <v>3</v>
      </c>
      <c r="F269">
        <v>0</v>
      </c>
      <c r="G269" t="s">
        <v>78</v>
      </c>
      <c r="H269" s="5">
        <v>7</v>
      </c>
      <c r="I269">
        <f t="shared" si="60"/>
        <v>2021</v>
      </c>
      <c r="J269" s="4">
        <f t="shared" si="61"/>
        <v>2021.25</v>
      </c>
      <c r="K269" s="29">
        <v>16748.46</v>
      </c>
      <c r="L269" s="29">
        <f t="shared" si="62"/>
        <v>16748.46</v>
      </c>
      <c r="M269" s="29">
        <f t="shared" si="63"/>
        <v>199.38642857142858</v>
      </c>
      <c r="N269" s="29">
        <f t="shared" si="64"/>
        <v>2392.6371428571429</v>
      </c>
      <c r="O269" s="29">
        <f t="shared" si="58"/>
        <v>0</v>
      </c>
      <c r="P269" s="29">
        <f t="shared" si="65"/>
        <v>16748.46</v>
      </c>
      <c r="Q269" s="29">
        <f t="shared" si="59"/>
        <v>16748.46</v>
      </c>
      <c r="R269" s="29">
        <f t="shared" si="66"/>
        <v>0</v>
      </c>
    </row>
    <row r="270" spans="1:18" outlineLevel="1">
      <c r="A270" s="44">
        <v>112462</v>
      </c>
      <c r="B270">
        <v>243</v>
      </c>
      <c r="C270" t="s">
        <v>399</v>
      </c>
      <c r="D270">
        <v>2014</v>
      </c>
      <c r="E270">
        <v>3</v>
      </c>
      <c r="F270">
        <v>0</v>
      </c>
      <c r="G270" t="s">
        <v>78</v>
      </c>
      <c r="H270" s="5">
        <v>7</v>
      </c>
      <c r="I270">
        <f t="shared" si="60"/>
        <v>2021</v>
      </c>
      <c r="J270" s="4">
        <f t="shared" si="61"/>
        <v>2021.25</v>
      </c>
      <c r="K270" s="29">
        <v>14855.45</v>
      </c>
      <c r="L270" s="29">
        <f t="shared" si="62"/>
        <v>14855.45</v>
      </c>
      <c r="M270" s="29">
        <f t="shared" si="63"/>
        <v>176.85059523809525</v>
      </c>
      <c r="N270" s="29">
        <f t="shared" si="64"/>
        <v>2122.207142857143</v>
      </c>
      <c r="O270" s="29">
        <f t="shared" si="58"/>
        <v>0</v>
      </c>
      <c r="P270" s="29">
        <f t="shared" si="65"/>
        <v>14855.45</v>
      </c>
      <c r="Q270" s="29">
        <f t="shared" si="59"/>
        <v>14855.45</v>
      </c>
      <c r="R270" s="29">
        <f t="shared" si="66"/>
        <v>0</v>
      </c>
    </row>
    <row r="271" spans="1:18" outlineLevel="1">
      <c r="A271" s="44">
        <v>115104</v>
      </c>
      <c r="B271">
        <v>637</v>
      </c>
      <c r="C271" t="s">
        <v>513</v>
      </c>
      <c r="D271">
        <v>2014</v>
      </c>
      <c r="E271">
        <v>7</v>
      </c>
      <c r="F271">
        <v>0</v>
      </c>
      <c r="G271" t="s">
        <v>78</v>
      </c>
      <c r="H271" s="5">
        <v>7</v>
      </c>
      <c r="I271">
        <f t="shared" si="60"/>
        <v>2021</v>
      </c>
      <c r="J271" s="4">
        <f t="shared" si="61"/>
        <v>2021.5833333333333</v>
      </c>
      <c r="K271" s="29">
        <v>33464.61</v>
      </c>
      <c r="L271" s="29">
        <f t="shared" si="62"/>
        <v>33464.61</v>
      </c>
      <c r="M271" s="29">
        <f t="shared" si="63"/>
        <v>398.38821428571424</v>
      </c>
      <c r="N271" s="29">
        <f t="shared" si="64"/>
        <v>4780.6585714285711</v>
      </c>
      <c r="O271" s="29">
        <f t="shared" si="58"/>
        <v>0</v>
      </c>
      <c r="P271" s="29">
        <f t="shared" si="65"/>
        <v>33464.61</v>
      </c>
      <c r="Q271" s="29">
        <f t="shared" si="59"/>
        <v>33464.61</v>
      </c>
      <c r="R271" s="29">
        <f t="shared" si="66"/>
        <v>0</v>
      </c>
    </row>
    <row r="272" spans="1:18" outlineLevel="1">
      <c r="A272" s="44">
        <v>115103</v>
      </c>
      <c r="B272">
        <v>504</v>
      </c>
      <c r="C272" t="s">
        <v>512</v>
      </c>
      <c r="D272">
        <v>2014</v>
      </c>
      <c r="E272">
        <v>7</v>
      </c>
      <c r="F272">
        <v>0</v>
      </c>
      <c r="G272" t="s">
        <v>78</v>
      </c>
      <c r="H272" s="5">
        <v>7</v>
      </c>
      <c r="I272">
        <f t="shared" si="60"/>
        <v>2021</v>
      </c>
      <c r="J272" s="4">
        <f t="shared" si="61"/>
        <v>2021.5833333333333</v>
      </c>
      <c r="K272" s="29">
        <v>29260.560000000001</v>
      </c>
      <c r="L272" s="29">
        <f t="shared" si="62"/>
        <v>29260.560000000001</v>
      </c>
      <c r="M272" s="29">
        <f t="shared" si="63"/>
        <v>348.34</v>
      </c>
      <c r="N272" s="29">
        <f t="shared" si="64"/>
        <v>4180.08</v>
      </c>
      <c r="O272" s="29">
        <f t="shared" si="58"/>
        <v>0</v>
      </c>
      <c r="P272" s="29">
        <f t="shared" si="65"/>
        <v>29260.560000000001</v>
      </c>
      <c r="Q272" s="29">
        <f t="shared" si="59"/>
        <v>29260.560000000001</v>
      </c>
      <c r="R272" s="29">
        <f t="shared" si="66"/>
        <v>0</v>
      </c>
    </row>
    <row r="273" spans="1:18" outlineLevel="1">
      <c r="A273" s="44">
        <v>116682</v>
      </c>
      <c r="B273">
        <v>480</v>
      </c>
      <c r="C273" t="s">
        <v>398</v>
      </c>
      <c r="D273">
        <v>2014</v>
      </c>
      <c r="E273">
        <v>10</v>
      </c>
      <c r="F273">
        <v>0</v>
      </c>
      <c r="G273" t="s">
        <v>78</v>
      </c>
      <c r="H273" s="5">
        <v>7</v>
      </c>
      <c r="I273">
        <f t="shared" si="60"/>
        <v>2021</v>
      </c>
      <c r="J273" s="4">
        <f t="shared" si="61"/>
        <v>2021.8333333333333</v>
      </c>
      <c r="K273" s="29">
        <v>20039.759999999998</v>
      </c>
      <c r="L273" s="29">
        <f t="shared" si="62"/>
        <v>20039.759999999998</v>
      </c>
      <c r="M273" s="29">
        <f t="shared" si="63"/>
        <v>238.5685714285714</v>
      </c>
      <c r="N273" s="29">
        <f t="shared" si="64"/>
        <v>2862.8228571428567</v>
      </c>
      <c r="O273" s="29">
        <f t="shared" si="58"/>
        <v>0</v>
      </c>
      <c r="P273" s="29">
        <f t="shared" si="65"/>
        <v>20039.759999999998</v>
      </c>
      <c r="Q273" s="29">
        <f t="shared" si="59"/>
        <v>20039.759999999998</v>
      </c>
      <c r="R273" s="29">
        <f t="shared" si="66"/>
        <v>0</v>
      </c>
    </row>
    <row r="274" spans="1:18" outlineLevel="1">
      <c r="A274" s="44">
        <v>120166</v>
      </c>
      <c r="B274">
        <v>360</v>
      </c>
      <c r="C274" t="s">
        <v>400</v>
      </c>
      <c r="D274">
        <v>2015</v>
      </c>
      <c r="E274">
        <v>1</v>
      </c>
      <c r="F274">
        <v>0</v>
      </c>
      <c r="G274" t="s">
        <v>78</v>
      </c>
      <c r="H274" s="5">
        <v>7</v>
      </c>
      <c r="I274">
        <f t="shared" si="60"/>
        <v>2022</v>
      </c>
      <c r="J274" s="4">
        <f t="shared" si="61"/>
        <v>2022.0833333333333</v>
      </c>
      <c r="K274" s="29">
        <v>17686.53</v>
      </c>
      <c r="L274" s="29">
        <f t="shared" si="62"/>
        <v>17686.53</v>
      </c>
      <c r="M274" s="29">
        <f t="shared" si="63"/>
        <v>210.55392857142854</v>
      </c>
      <c r="N274" s="29">
        <f t="shared" si="64"/>
        <v>2526.6471428571426</v>
      </c>
      <c r="O274" s="29">
        <f t="shared" si="58"/>
        <v>0</v>
      </c>
      <c r="P274" s="29">
        <f t="shared" si="65"/>
        <v>17686.53</v>
      </c>
      <c r="Q274" s="29">
        <f t="shared" si="59"/>
        <v>17686.53</v>
      </c>
      <c r="R274" s="29">
        <f t="shared" si="66"/>
        <v>0</v>
      </c>
    </row>
    <row r="275" spans="1:18" outlineLevel="1">
      <c r="A275" s="44">
        <v>120167</v>
      </c>
      <c r="B275">
        <v>360</v>
      </c>
      <c r="C275" t="s">
        <v>512</v>
      </c>
      <c r="D275">
        <v>2015</v>
      </c>
      <c r="E275">
        <v>1</v>
      </c>
      <c r="F275">
        <v>0</v>
      </c>
      <c r="G275" t="s">
        <v>78</v>
      </c>
      <c r="H275" s="5">
        <v>7</v>
      </c>
      <c r="I275">
        <f t="shared" si="60"/>
        <v>2022</v>
      </c>
      <c r="J275" s="4">
        <f t="shared" si="61"/>
        <v>2022.0833333333333</v>
      </c>
      <c r="K275" s="29">
        <v>19252</v>
      </c>
      <c r="L275" s="29">
        <f t="shared" si="62"/>
        <v>19252</v>
      </c>
      <c r="M275" s="29">
        <f t="shared" si="63"/>
        <v>229.19047619047618</v>
      </c>
      <c r="N275" s="29">
        <f t="shared" si="64"/>
        <v>2750.2857142857142</v>
      </c>
      <c r="O275" s="29">
        <f t="shared" si="58"/>
        <v>0</v>
      </c>
      <c r="P275" s="29">
        <f t="shared" si="65"/>
        <v>19252</v>
      </c>
      <c r="Q275" s="29">
        <f t="shared" si="59"/>
        <v>19252</v>
      </c>
      <c r="R275" s="29">
        <f t="shared" si="66"/>
        <v>0</v>
      </c>
    </row>
    <row r="276" spans="1:18" outlineLevel="1">
      <c r="A276" s="44">
        <v>120169</v>
      </c>
      <c r="B276">
        <v>1404</v>
      </c>
      <c r="C276" t="s">
        <v>398</v>
      </c>
      <c r="D276">
        <v>2015</v>
      </c>
      <c r="E276">
        <v>2</v>
      </c>
      <c r="F276">
        <v>0</v>
      </c>
      <c r="G276" t="s">
        <v>78</v>
      </c>
      <c r="H276" s="5">
        <v>7</v>
      </c>
      <c r="I276">
        <f t="shared" si="60"/>
        <v>2022</v>
      </c>
      <c r="J276" s="4">
        <f t="shared" si="61"/>
        <v>2022.1666666666667</v>
      </c>
      <c r="K276" s="29">
        <v>55764.93</v>
      </c>
      <c r="L276" s="29">
        <f t="shared" si="62"/>
        <v>55764.93</v>
      </c>
      <c r="M276" s="29">
        <f t="shared" si="63"/>
        <v>663.86821428571432</v>
      </c>
      <c r="N276" s="29">
        <f t="shared" si="64"/>
        <v>7966.4185714285722</v>
      </c>
      <c r="O276" s="29">
        <f t="shared" si="58"/>
        <v>0</v>
      </c>
      <c r="P276" s="29">
        <f t="shared" si="65"/>
        <v>55764.93</v>
      </c>
      <c r="Q276" s="29">
        <f t="shared" si="59"/>
        <v>55764.93</v>
      </c>
      <c r="R276" s="29">
        <f t="shared" si="66"/>
        <v>0</v>
      </c>
    </row>
    <row r="277" spans="1:18">
      <c r="A277" s="44">
        <v>123661</v>
      </c>
      <c r="B277">
        <v>648</v>
      </c>
      <c r="C277" t="s">
        <v>400</v>
      </c>
      <c r="D277">
        <v>2015</v>
      </c>
      <c r="E277">
        <v>4</v>
      </c>
      <c r="F277">
        <v>0</v>
      </c>
      <c r="G277" t="s">
        <v>78</v>
      </c>
      <c r="H277" s="5">
        <v>7</v>
      </c>
      <c r="I277">
        <f t="shared" si="60"/>
        <v>2022</v>
      </c>
      <c r="J277" s="4">
        <f t="shared" si="61"/>
        <v>2022.3333333333333</v>
      </c>
      <c r="K277" s="29">
        <v>30802.93</v>
      </c>
      <c r="L277" s="29">
        <f t="shared" si="62"/>
        <v>30802.93</v>
      </c>
      <c r="M277" s="29">
        <f t="shared" si="63"/>
        <v>366.70154761904763</v>
      </c>
      <c r="N277" s="29">
        <f t="shared" si="64"/>
        <v>4400.4185714285713</v>
      </c>
      <c r="O277" s="29">
        <f t="shared" si="58"/>
        <v>0</v>
      </c>
      <c r="P277" s="29">
        <f t="shared" ref="P277:P331" si="67">+IF($J277&lt;=$N$7,$L277,IF(($D277+($E277/12))&gt;=$N$7,0,((($L277-((($J277-$N$7)*12)*$M277))))))</f>
        <v>30802.93</v>
      </c>
      <c r="Q277" s="29">
        <f t="shared" si="59"/>
        <v>30802.93</v>
      </c>
      <c r="R277" s="29">
        <f t="shared" si="66"/>
        <v>0</v>
      </c>
    </row>
    <row r="278" spans="1:18">
      <c r="A278" s="44">
        <v>123662</v>
      </c>
      <c r="B278">
        <v>840</v>
      </c>
      <c r="C278" t="s">
        <v>398</v>
      </c>
      <c r="D278">
        <v>2015</v>
      </c>
      <c r="E278">
        <v>6</v>
      </c>
      <c r="F278">
        <v>0</v>
      </c>
      <c r="G278" t="s">
        <v>78</v>
      </c>
      <c r="H278" s="5">
        <v>7</v>
      </c>
      <c r="I278">
        <f t="shared" si="60"/>
        <v>2022</v>
      </c>
      <c r="J278" s="4">
        <f t="shared" si="61"/>
        <v>2022.5</v>
      </c>
      <c r="K278" s="29">
        <v>32103.19</v>
      </c>
      <c r="L278" s="29">
        <f t="shared" si="62"/>
        <v>32103.19</v>
      </c>
      <c r="M278" s="29">
        <f t="shared" ref="M278:M331" si="68">L278/H278/12</f>
        <v>382.18083333333334</v>
      </c>
      <c r="N278" s="29">
        <f t="shared" ref="N278:N331" si="69">+M278*12</f>
        <v>4586.17</v>
      </c>
      <c r="O278" s="29">
        <f t="shared" si="58"/>
        <v>0</v>
      </c>
      <c r="P278" s="29">
        <f t="shared" si="67"/>
        <v>32103.19</v>
      </c>
      <c r="Q278" s="29">
        <f t="shared" si="59"/>
        <v>32103.19</v>
      </c>
      <c r="R278" s="29">
        <f t="shared" ref="R278:R331" si="70">+K278-Q278</f>
        <v>0</v>
      </c>
    </row>
    <row r="279" spans="1:18">
      <c r="A279" s="44" t="s">
        <v>564</v>
      </c>
      <c r="B279">
        <f>276+192</f>
        <v>468</v>
      </c>
      <c r="C279" t="s">
        <v>512</v>
      </c>
      <c r="D279">
        <v>2015</v>
      </c>
      <c r="E279">
        <v>6</v>
      </c>
      <c r="F279">
        <v>0</v>
      </c>
      <c r="G279" t="s">
        <v>78</v>
      </c>
      <c r="H279" s="5">
        <v>7</v>
      </c>
      <c r="I279">
        <f t="shared" si="60"/>
        <v>2022</v>
      </c>
      <c r="J279" s="4">
        <f t="shared" si="61"/>
        <v>2022.5</v>
      </c>
      <c r="K279" s="29">
        <f>9871.7+8569.2</f>
        <v>18440.900000000001</v>
      </c>
      <c r="L279" s="29">
        <f t="shared" si="62"/>
        <v>18440.900000000001</v>
      </c>
      <c r="M279" s="29">
        <f t="shared" si="68"/>
        <v>219.53452380952385</v>
      </c>
      <c r="N279" s="29">
        <f t="shared" si="69"/>
        <v>2634.4142857142861</v>
      </c>
      <c r="O279" s="29">
        <f t="shared" si="58"/>
        <v>0</v>
      </c>
      <c r="P279" s="29">
        <f t="shared" si="67"/>
        <v>18440.900000000001</v>
      </c>
      <c r="Q279" s="29">
        <f t="shared" si="59"/>
        <v>18440.900000000001</v>
      </c>
      <c r="R279" s="29">
        <f t="shared" si="70"/>
        <v>0</v>
      </c>
    </row>
    <row r="280" spans="1:18">
      <c r="A280" s="44">
        <v>126736</v>
      </c>
      <c r="B280">
        <v>1140</v>
      </c>
      <c r="C280" t="s">
        <v>398</v>
      </c>
      <c r="D280">
        <v>2015</v>
      </c>
      <c r="E280">
        <v>9</v>
      </c>
      <c r="F280">
        <v>0</v>
      </c>
      <c r="G280" t="s">
        <v>78</v>
      </c>
      <c r="H280" s="5">
        <v>7</v>
      </c>
      <c r="I280">
        <f t="shared" si="60"/>
        <v>2022</v>
      </c>
      <c r="J280" s="4">
        <f t="shared" si="61"/>
        <v>2022.75</v>
      </c>
      <c r="K280" s="29">
        <v>39343.97</v>
      </c>
      <c r="L280" s="29">
        <f t="shared" si="62"/>
        <v>39343.97</v>
      </c>
      <c r="M280" s="29">
        <f t="shared" si="68"/>
        <v>468.38059523809528</v>
      </c>
      <c r="N280" s="29">
        <f t="shared" si="69"/>
        <v>5620.5671428571432</v>
      </c>
      <c r="O280" s="29">
        <f t="shared" si="58"/>
        <v>0</v>
      </c>
      <c r="P280" s="29">
        <f t="shared" si="67"/>
        <v>39343.97</v>
      </c>
      <c r="Q280" s="29">
        <f t="shared" si="59"/>
        <v>39343.97</v>
      </c>
      <c r="R280" s="29">
        <f t="shared" si="70"/>
        <v>0</v>
      </c>
    </row>
    <row r="281" spans="1:18">
      <c r="A281" s="44">
        <v>126474</v>
      </c>
      <c r="B281">
        <v>432</v>
      </c>
      <c r="C281" t="s">
        <v>513</v>
      </c>
      <c r="D281">
        <v>2015</v>
      </c>
      <c r="E281">
        <v>9</v>
      </c>
      <c r="F281">
        <v>0</v>
      </c>
      <c r="G281" t="s">
        <v>78</v>
      </c>
      <c r="H281" s="5">
        <v>7</v>
      </c>
      <c r="I281">
        <f t="shared" si="60"/>
        <v>2022</v>
      </c>
      <c r="J281" s="4">
        <f t="shared" si="61"/>
        <v>2022.75</v>
      </c>
      <c r="K281" s="29">
        <v>20520.12</v>
      </c>
      <c r="L281" s="29">
        <f t="shared" si="62"/>
        <v>20520.12</v>
      </c>
      <c r="M281" s="29">
        <f t="shared" si="68"/>
        <v>244.28714285714284</v>
      </c>
      <c r="N281" s="29">
        <f t="shared" si="69"/>
        <v>2931.4457142857141</v>
      </c>
      <c r="O281" s="29">
        <f t="shared" si="58"/>
        <v>0</v>
      </c>
      <c r="P281" s="29">
        <f t="shared" si="67"/>
        <v>20520.12</v>
      </c>
      <c r="Q281" s="29">
        <f t="shared" si="59"/>
        <v>20520.12</v>
      </c>
      <c r="R281" s="29">
        <f t="shared" si="70"/>
        <v>0</v>
      </c>
    </row>
    <row r="282" spans="1:18">
      <c r="A282" s="44">
        <v>126473</v>
      </c>
      <c r="B282">
        <v>312</v>
      </c>
      <c r="C282" t="s">
        <v>512</v>
      </c>
      <c r="D282">
        <v>2015</v>
      </c>
      <c r="E282">
        <v>9</v>
      </c>
      <c r="F282">
        <v>0</v>
      </c>
      <c r="G282" t="s">
        <v>78</v>
      </c>
      <c r="H282" s="5">
        <v>7</v>
      </c>
      <c r="I282">
        <f t="shared" si="60"/>
        <v>2022</v>
      </c>
      <c r="J282" s="4">
        <f t="shared" si="61"/>
        <v>2022.75</v>
      </c>
      <c r="K282" s="29">
        <v>16893.89</v>
      </c>
      <c r="L282" s="29">
        <f t="shared" si="62"/>
        <v>16893.89</v>
      </c>
      <c r="M282" s="29">
        <f t="shared" si="68"/>
        <v>201.11773809523808</v>
      </c>
      <c r="N282" s="29">
        <f t="shared" si="69"/>
        <v>2413.4128571428569</v>
      </c>
      <c r="O282" s="29">
        <f t="shared" si="58"/>
        <v>0</v>
      </c>
      <c r="P282" s="29">
        <f t="shared" si="67"/>
        <v>16893.89</v>
      </c>
      <c r="Q282" s="29">
        <f t="shared" si="59"/>
        <v>16893.89</v>
      </c>
      <c r="R282" s="29">
        <f t="shared" si="70"/>
        <v>0</v>
      </c>
    </row>
    <row r="283" spans="1:18">
      <c r="A283" s="44">
        <v>127478</v>
      </c>
      <c r="B283">
        <v>864</v>
      </c>
      <c r="C283" t="s">
        <v>513</v>
      </c>
      <c r="D283">
        <v>2015</v>
      </c>
      <c r="E283">
        <v>11</v>
      </c>
      <c r="F283">
        <v>0</v>
      </c>
      <c r="G283" t="s">
        <v>78</v>
      </c>
      <c r="H283" s="5">
        <v>7</v>
      </c>
      <c r="I283">
        <f t="shared" si="60"/>
        <v>2022</v>
      </c>
      <c r="J283" s="4">
        <f t="shared" si="61"/>
        <v>2022.9166666666667</v>
      </c>
      <c r="K283" s="29">
        <v>39330.959999999999</v>
      </c>
      <c r="L283" s="29">
        <f t="shared" si="62"/>
        <v>39330.959999999999</v>
      </c>
      <c r="M283" s="29">
        <f t="shared" si="68"/>
        <v>468.22571428571428</v>
      </c>
      <c r="N283" s="29">
        <f t="shared" si="69"/>
        <v>5618.7085714285713</v>
      </c>
      <c r="O283" s="29">
        <f t="shared" si="58"/>
        <v>0</v>
      </c>
      <c r="P283" s="29">
        <f t="shared" si="67"/>
        <v>39330.959999999999</v>
      </c>
      <c r="Q283" s="29">
        <f t="shared" si="59"/>
        <v>39330.959999999999</v>
      </c>
      <c r="R283" s="29">
        <f t="shared" si="70"/>
        <v>0</v>
      </c>
    </row>
    <row r="284" spans="1:18">
      <c r="A284" s="44">
        <v>128183</v>
      </c>
      <c r="B284">
        <v>288</v>
      </c>
      <c r="C284" t="s">
        <v>512</v>
      </c>
      <c r="D284">
        <v>2015</v>
      </c>
      <c r="E284">
        <v>11</v>
      </c>
      <c r="F284">
        <v>0</v>
      </c>
      <c r="G284" t="s">
        <v>78</v>
      </c>
      <c r="H284" s="5">
        <v>7</v>
      </c>
      <c r="I284">
        <f t="shared" si="60"/>
        <v>2022</v>
      </c>
      <c r="J284" s="4">
        <f t="shared" si="61"/>
        <v>2022.9166666666667</v>
      </c>
      <c r="K284" s="29">
        <v>16008.28</v>
      </c>
      <c r="L284" s="29">
        <f t="shared" si="62"/>
        <v>16008.28</v>
      </c>
      <c r="M284" s="29">
        <f t="shared" si="68"/>
        <v>190.57476190476191</v>
      </c>
      <c r="N284" s="29">
        <f t="shared" si="69"/>
        <v>2286.8971428571431</v>
      </c>
      <c r="O284" s="29">
        <f t="shared" si="58"/>
        <v>0</v>
      </c>
      <c r="P284" s="29">
        <f t="shared" si="67"/>
        <v>16008.28</v>
      </c>
      <c r="Q284" s="29">
        <f t="shared" si="59"/>
        <v>16008.28</v>
      </c>
      <c r="R284" s="29">
        <f t="shared" si="70"/>
        <v>0</v>
      </c>
    </row>
    <row r="285" spans="1:18">
      <c r="A285" s="44">
        <v>129324</v>
      </c>
      <c r="B285">
        <v>500</v>
      </c>
      <c r="C285" t="s">
        <v>586</v>
      </c>
      <c r="D285">
        <v>2016</v>
      </c>
      <c r="E285">
        <v>1</v>
      </c>
      <c r="F285">
        <v>0</v>
      </c>
      <c r="G285" t="s">
        <v>78</v>
      </c>
      <c r="H285" s="5">
        <v>7</v>
      </c>
      <c r="I285">
        <f t="shared" si="60"/>
        <v>2023</v>
      </c>
      <c r="J285" s="4">
        <f t="shared" si="61"/>
        <v>2023.0833333333333</v>
      </c>
      <c r="K285" s="29">
        <v>17256.13</v>
      </c>
      <c r="L285" s="29">
        <f t="shared" si="62"/>
        <v>17256.13</v>
      </c>
      <c r="M285" s="29">
        <f t="shared" si="68"/>
        <v>205.43011904761906</v>
      </c>
      <c r="N285" s="29">
        <f t="shared" si="69"/>
        <v>2465.1614285714286</v>
      </c>
      <c r="O285" s="29">
        <f t="shared" si="58"/>
        <v>0</v>
      </c>
      <c r="P285" s="29">
        <f t="shared" si="67"/>
        <v>17256.13</v>
      </c>
      <c r="Q285" s="29">
        <f t="shared" si="59"/>
        <v>17256.13</v>
      </c>
      <c r="R285" s="29">
        <f t="shared" si="70"/>
        <v>0</v>
      </c>
    </row>
    <row r="286" spans="1:18">
      <c r="A286" s="44">
        <v>131197</v>
      </c>
      <c r="B286">
        <v>624</v>
      </c>
      <c r="C286" t="s">
        <v>587</v>
      </c>
      <c r="D286">
        <v>2016</v>
      </c>
      <c r="E286">
        <v>3</v>
      </c>
      <c r="F286">
        <v>0</v>
      </c>
      <c r="G286" t="s">
        <v>78</v>
      </c>
      <c r="H286" s="5">
        <v>7</v>
      </c>
      <c r="I286">
        <f t="shared" si="60"/>
        <v>2023</v>
      </c>
      <c r="J286" s="4">
        <f t="shared" si="61"/>
        <v>2023.25</v>
      </c>
      <c r="K286" s="29">
        <v>30834.93</v>
      </c>
      <c r="L286" s="29">
        <f t="shared" si="62"/>
        <v>30834.93</v>
      </c>
      <c r="M286" s="29">
        <f t="shared" si="68"/>
        <v>367.08249999999998</v>
      </c>
      <c r="N286" s="29">
        <f t="shared" si="69"/>
        <v>4404.99</v>
      </c>
      <c r="O286" s="29">
        <f t="shared" si="58"/>
        <v>0</v>
      </c>
      <c r="P286" s="29">
        <f t="shared" si="67"/>
        <v>30834.93</v>
      </c>
      <c r="Q286" s="29">
        <f t="shared" si="59"/>
        <v>30834.93</v>
      </c>
      <c r="R286" s="29">
        <f t="shared" si="70"/>
        <v>0</v>
      </c>
    </row>
    <row r="287" spans="1:18">
      <c r="A287" s="44">
        <v>131756</v>
      </c>
      <c r="B287">
        <v>840</v>
      </c>
      <c r="C287" t="s">
        <v>586</v>
      </c>
      <c r="D287">
        <v>2016</v>
      </c>
      <c r="E287">
        <v>4</v>
      </c>
      <c r="F287">
        <v>0</v>
      </c>
      <c r="G287" t="s">
        <v>78</v>
      </c>
      <c r="H287" s="5">
        <v>7</v>
      </c>
      <c r="I287">
        <f t="shared" si="60"/>
        <v>2023</v>
      </c>
      <c r="J287" s="4">
        <f t="shared" si="61"/>
        <v>2023.3333333333333</v>
      </c>
      <c r="K287" s="29">
        <v>29504.44</v>
      </c>
      <c r="L287" s="29">
        <f t="shared" si="62"/>
        <v>29504.44</v>
      </c>
      <c r="M287" s="29">
        <f t="shared" si="68"/>
        <v>351.24333333333334</v>
      </c>
      <c r="N287" s="29">
        <f t="shared" si="69"/>
        <v>4214.92</v>
      </c>
      <c r="O287" s="29">
        <f t="shared" si="58"/>
        <v>0</v>
      </c>
      <c r="P287" s="29">
        <f t="shared" si="67"/>
        <v>29504.44</v>
      </c>
      <c r="Q287" s="29">
        <f t="shared" si="59"/>
        <v>29504.44</v>
      </c>
      <c r="R287" s="29">
        <f t="shared" si="70"/>
        <v>0</v>
      </c>
    </row>
    <row r="288" spans="1:18">
      <c r="A288" s="44">
        <v>165691</v>
      </c>
      <c r="B288">
        <v>624</v>
      </c>
      <c r="C288" t="s">
        <v>587</v>
      </c>
      <c r="D288">
        <v>2016</v>
      </c>
      <c r="E288">
        <v>6</v>
      </c>
      <c r="F288">
        <v>0</v>
      </c>
      <c r="G288" t="s">
        <v>78</v>
      </c>
      <c r="H288" s="5">
        <v>7</v>
      </c>
      <c r="I288">
        <f t="shared" si="60"/>
        <v>2023</v>
      </c>
      <c r="J288" s="4">
        <f t="shared" si="61"/>
        <v>2023.5</v>
      </c>
      <c r="K288" s="29">
        <v>30864.1</v>
      </c>
      <c r="L288" s="29">
        <f t="shared" si="62"/>
        <v>30864.1</v>
      </c>
      <c r="M288" s="29">
        <f t="shared" si="68"/>
        <v>367.42976190476185</v>
      </c>
      <c r="N288" s="29">
        <f t="shared" si="69"/>
        <v>4409.1571428571424</v>
      </c>
      <c r="O288" s="29">
        <f t="shared" si="58"/>
        <v>0</v>
      </c>
      <c r="P288" s="29">
        <f t="shared" si="67"/>
        <v>30496.670238095572</v>
      </c>
      <c r="Q288" s="29">
        <f t="shared" si="59"/>
        <v>30864.1</v>
      </c>
      <c r="R288" s="29">
        <f t="shared" si="70"/>
        <v>0</v>
      </c>
    </row>
    <row r="289" spans="1:18">
      <c r="A289" s="44">
        <v>165693</v>
      </c>
      <c r="B289">
        <v>950</v>
      </c>
      <c r="C289" t="s">
        <v>586</v>
      </c>
      <c r="D289">
        <v>2016</v>
      </c>
      <c r="E289">
        <v>7</v>
      </c>
      <c r="F289">
        <v>0</v>
      </c>
      <c r="G289" t="s">
        <v>78</v>
      </c>
      <c r="H289" s="5">
        <v>7</v>
      </c>
      <c r="I289">
        <f t="shared" si="60"/>
        <v>2023</v>
      </c>
      <c r="J289" s="4">
        <f t="shared" si="61"/>
        <v>2023.5833333333333</v>
      </c>
      <c r="K289" s="29">
        <v>33156.589999999997</v>
      </c>
      <c r="L289" s="29">
        <f t="shared" si="62"/>
        <v>33156.589999999997</v>
      </c>
      <c r="M289" s="29">
        <f t="shared" si="68"/>
        <v>394.72130952380945</v>
      </c>
      <c r="N289" s="29">
        <f t="shared" si="69"/>
        <v>4736.6557142857137</v>
      </c>
      <c r="O289" s="29">
        <f t="shared" si="58"/>
        <v>0</v>
      </c>
      <c r="P289" s="29">
        <f t="shared" si="67"/>
        <v>32367.147380953094</v>
      </c>
      <c r="Q289" s="29">
        <f t="shared" si="59"/>
        <v>33156.589999999997</v>
      </c>
      <c r="R289" s="29">
        <f t="shared" si="70"/>
        <v>0</v>
      </c>
    </row>
    <row r="290" spans="1:18">
      <c r="A290" s="44">
        <v>166033</v>
      </c>
      <c r="B290">
        <v>864</v>
      </c>
      <c r="C290" t="s">
        <v>596</v>
      </c>
      <c r="D290">
        <v>2016</v>
      </c>
      <c r="E290">
        <v>7</v>
      </c>
      <c r="F290">
        <v>0</v>
      </c>
      <c r="G290" t="s">
        <v>78</v>
      </c>
      <c r="H290" s="5">
        <v>7</v>
      </c>
      <c r="I290">
        <f t="shared" ref="I290:I315" si="71">D290+H290</f>
        <v>2023</v>
      </c>
      <c r="J290" s="4">
        <f t="shared" ref="J290:J315" si="72">+I290+(E290/12)</f>
        <v>2023.5833333333333</v>
      </c>
      <c r="K290" s="29">
        <v>36851.300000000003</v>
      </c>
      <c r="L290" s="29">
        <f t="shared" ref="L290:L315" si="73">K290-K290*F290</f>
        <v>36851.300000000003</v>
      </c>
      <c r="M290" s="29">
        <f t="shared" si="68"/>
        <v>438.7059523809524</v>
      </c>
      <c r="N290" s="29">
        <f t="shared" si="69"/>
        <v>5264.471428571429</v>
      </c>
      <c r="O290" s="29">
        <f t="shared" si="58"/>
        <v>0</v>
      </c>
      <c r="P290" s="29">
        <f t="shared" si="67"/>
        <v>35973.888095238894</v>
      </c>
      <c r="Q290" s="29">
        <f t="shared" si="59"/>
        <v>36851.300000000003</v>
      </c>
      <c r="R290" s="29">
        <f t="shared" si="70"/>
        <v>0</v>
      </c>
    </row>
    <row r="291" spans="1:18">
      <c r="A291" s="44">
        <v>170668</v>
      </c>
      <c r="B291">
        <v>950</v>
      </c>
      <c r="C291" t="s">
        <v>586</v>
      </c>
      <c r="D291">
        <v>2016</v>
      </c>
      <c r="E291">
        <v>11</v>
      </c>
      <c r="F291">
        <v>0</v>
      </c>
      <c r="G291" t="s">
        <v>78</v>
      </c>
      <c r="H291" s="5">
        <v>7</v>
      </c>
      <c r="I291">
        <f t="shared" si="71"/>
        <v>2023</v>
      </c>
      <c r="J291" s="4">
        <f t="shared" si="72"/>
        <v>2023.9166666666667</v>
      </c>
      <c r="K291" s="29">
        <v>37597.57</v>
      </c>
      <c r="L291" s="29">
        <f t="shared" si="73"/>
        <v>37597.57</v>
      </c>
      <c r="M291" s="29">
        <f t="shared" si="68"/>
        <v>447.59011904761905</v>
      </c>
      <c r="N291" s="29">
        <f t="shared" si="69"/>
        <v>5371.0814285714287</v>
      </c>
      <c r="O291" s="29">
        <f t="shared" si="58"/>
        <v>0</v>
      </c>
      <c r="P291" s="29">
        <f t="shared" si="67"/>
        <v>34912.029285714285</v>
      </c>
      <c r="Q291" s="29">
        <f t="shared" si="59"/>
        <v>37597.57</v>
      </c>
      <c r="R291" s="29">
        <f t="shared" si="70"/>
        <v>0</v>
      </c>
    </row>
    <row r="292" spans="1:18">
      <c r="A292" s="44">
        <v>170669</v>
      </c>
      <c r="B292">
        <v>864</v>
      </c>
      <c r="C292" t="s">
        <v>596</v>
      </c>
      <c r="D292">
        <v>2016</v>
      </c>
      <c r="E292">
        <v>11</v>
      </c>
      <c r="F292">
        <v>0</v>
      </c>
      <c r="G292" t="s">
        <v>78</v>
      </c>
      <c r="H292" s="5">
        <v>7</v>
      </c>
      <c r="I292">
        <f t="shared" si="71"/>
        <v>2023</v>
      </c>
      <c r="J292" s="4">
        <f t="shared" si="72"/>
        <v>2023.9166666666667</v>
      </c>
      <c r="K292" s="29">
        <v>37809.53</v>
      </c>
      <c r="L292" s="29">
        <f t="shared" si="73"/>
        <v>37809.53</v>
      </c>
      <c r="M292" s="29">
        <f t="shared" si="68"/>
        <v>450.11345238095237</v>
      </c>
      <c r="N292" s="29">
        <f t="shared" si="69"/>
        <v>5401.3614285714284</v>
      </c>
      <c r="O292" s="29">
        <f t="shared" si="58"/>
        <v>0</v>
      </c>
      <c r="P292" s="29">
        <f t="shared" si="67"/>
        <v>35108.849285714285</v>
      </c>
      <c r="Q292" s="29">
        <f t="shared" si="59"/>
        <v>37809.53</v>
      </c>
      <c r="R292" s="29">
        <f t="shared" si="70"/>
        <v>0</v>
      </c>
    </row>
    <row r="293" spans="1:18">
      <c r="A293" s="44">
        <v>176637</v>
      </c>
      <c r="B293">
        <v>875</v>
      </c>
      <c r="C293" t="s">
        <v>624</v>
      </c>
      <c r="D293">
        <v>2017</v>
      </c>
      <c r="E293">
        <v>1</v>
      </c>
      <c r="F293">
        <v>0</v>
      </c>
      <c r="G293" t="s">
        <v>78</v>
      </c>
      <c r="H293" s="5">
        <v>7</v>
      </c>
      <c r="I293">
        <f t="shared" si="71"/>
        <v>2024</v>
      </c>
      <c r="J293" s="4">
        <f t="shared" si="72"/>
        <v>2024.0833333333333</v>
      </c>
      <c r="K293" s="29">
        <v>30080.55</v>
      </c>
      <c r="L293" s="29">
        <f t="shared" si="73"/>
        <v>30080.55</v>
      </c>
      <c r="M293" s="29">
        <f t="shared" si="68"/>
        <v>358.10178571428565</v>
      </c>
      <c r="N293" s="29">
        <f t="shared" si="69"/>
        <v>4297.2214285714281</v>
      </c>
      <c r="O293" s="29">
        <f t="shared" si="58"/>
        <v>0</v>
      </c>
      <c r="P293" s="29">
        <f t="shared" si="67"/>
        <v>27215.735714286366</v>
      </c>
      <c r="Q293" s="29">
        <f t="shared" si="59"/>
        <v>30080.55</v>
      </c>
      <c r="R293" s="29">
        <f t="shared" si="70"/>
        <v>0</v>
      </c>
    </row>
    <row r="294" spans="1:18">
      <c r="A294" s="44">
        <v>179026</v>
      </c>
      <c r="B294">
        <v>945</v>
      </c>
      <c r="C294" t="s">
        <v>621</v>
      </c>
      <c r="D294">
        <v>2017</v>
      </c>
      <c r="E294">
        <v>3</v>
      </c>
      <c r="F294">
        <v>0</v>
      </c>
      <c r="G294" t="s">
        <v>78</v>
      </c>
      <c r="H294" s="5">
        <v>7</v>
      </c>
      <c r="I294">
        <f t="shared" si="71"/>
        <v>2024</v>
      </c>
      <c r="J294" s="4">
        <f t="shared" si="72"/>
        <v>2024.25</v>
      </c>
      <c r="K294" s="29">
        <v>37282.6</v>
      </c>
      <c r="L294" s="29">
        <f t="shared" si="73"/>
        <v>37282.6</v>
      </c>
      <c r="M294" s="29">
        <f t="shared" si="68"/>
        <v>443.84047619047618</v>
      </c>
      <c r="N294" s="29">
        <f t="shared" si="69"/>
        <v>5326.0857142857139</v>
      </c>
      <c r="O294" s="29">
        <f t="shared" si="58"/>
        <v>0</v>
      </c>
      <c r="P294" s="29">
        <f t="shared" si="67"/>
        <v>32844.195238095643</v>
      </c>
      <c r="Q294" s="29">
        <f t="shared" si="59"/>
        <v>37282.6</v>
      </c>
      <c r="R294" s="29">
        <f t="shared" si="70"/>
        <v>0</v>
      </c>
    </row>
    <row r="295" spans="1:18">
      <c r="A295" s="44">
        <v>181061</v>
      </c>
      <c r="B295">
        <v>864</v>
      </c>
      <c r="C295" t="s">
        <v>620</v>
      </c>
      <c r="D295">
        <v>2017</v>
      </c>
      <c r="E295">
        <v>4</v>
      </c>
      <c r="F295">
        <v>0</v>
      </c>
      <c r="G295" t="s">
        <v>78</v>
      </c>
      <c r="H295" s="5">
        <v>7</v>
      </c>
      <c r="I295">
        <f t="shared" si="71"/>
        <v>2024</v>
      </c>
      <c r="J295" s="4">
        <f t="shared" si="72"/>
        <v>2024.3333333333333</v>
      </c>
      <c r="K295" s="29">
        <v>38790.9</v>
      </c>
      <c r="L295" s="29">
        <f t="shared" si="73"/>
        <v>38790.9</v>
      </c>
      <c r="M295" s="29">
        <f t="shared" si="68"/>
        <v>461.79642857142858</v>
      </c>
      <c r="N295" s="29">
        <f t="shared" si="69"/>
        <v>5541.5571428571429</v>
      </c>
      <c r="O295" s="29">
        <f t="shared" si="58"/>
        <v>0</v>
      </c>
      <c r="P295" s="29">
        <f t="shared" si="67"/>
        <v>33711.13928571513</v>
      </c>
      <c r="Q295" s="29">
        <f t="shared" si="59"/>
        <v>38790.9</v>
      </c>
      <c r="R295" s="29">
        <f t="shared" si="70"/>
        <v>0</v>
      </c>
    </row>
    <row r="296" spans="1:18">
      <c r="A296" s="44">
        <v>182634</v>
      </c>
      <c r="B296">
        <v>864</v>
      </c>
      <c r="C296" t="s">
        <v>619</v>
      </c>
      <c r="D296">
        <v>2017</v>
      </c>
      <c r="E296">
        <v>5</v>
      </c>
      <c r="F296">
        <v>0</v>
      </c>
      <c r="G296" t="s">
        <v>78</v>
      </c>
      <c r="H296" s="5">
        <v>7</v>
      </c>
      <c r="I296">
        <f t="shared" si="71"/>
        <v>2024</v>
      </c>
      <c r="J296" s="4">
        <f t="shared" si="72"/>
        <v>2024.4166666666667</v>
      </c>
      <c r="K296" s="29">
        <v>38790.980000000003</v>
      </c>
      <c r="L296" s="29">
        <f t="shared" si="73"/>
        <v>38790.980000000003</v>
      </c>
      <c r="M296" s="29">
        <f t="shared" si="68"/>
        <v>461.79738095238099</v>
      </c>
      <c r="N296" s="29">
        <f t="shared" si="69"/>
        <v>5541.5685714285719</v>
      </c>
      <c r="O296" s="29">
        <f t="shared" si="58"/>
        <v>5541.5685714285719</v>
      </c>
      <c r="P296" s="29">
        <f t="shared" si="67"/>
        <v>33249.411428571431</v>
      </c>
      <c r="Q296" s="29">
        <f t="shared" si="59"/>
        <v>38790.980000000003</v>
      </c>
      <c r="R296" s="29">
        <f t="shared" si="70"/>
        <v>0</v>
      </c>
    </row>
    <row r="297" spans="1:18">
      <c r="A297" s="44">
        <v>183937</v>
      </c>
      <c r="B297">
        <v>945</v>
      </c>
      <c r="C297" t="s">
        <v>615</v>
      </c>
      <c r="D297">
        <v>2017</v>
      </c>
      <c r="E297">
        <v>6</v>
      </c>
      <c r="F297">
        <v>0</v>
      </c>
      <c r="G297" t="s">
        <v>78</v>
      </c>
      <c r="H297" s="5">
        <v>7</v>
      </c>
      <c r="I297">
        <f t="shared" si="71"/>
        <v>2024</v>
      </c>
      <c r="J297" s="4">
        <f t="shared" si="72"/>
        <v>2024.5</v>
      </c>
      <c r="K297" s="29">
        <v>38071.93</v>
      </c>
      <c r="L297" s="29">
        <f t="shared" si="73"/>
        <v>38071.93</v>
      </c>
      <c r="M297" s="29">
        <f t="shared" si="68"/>
        <v>453.23726190476191</v>
      </c>
      <c r="N297" s="29">
        <f t="shared" si="69"/>
        <v>5438.8471428571429</v>
      </c>
      <c r="O297" s="29">
        <f t="shared" si="58"/>
        <v>5438.8471428571429</v>
      </c>
      <c r="P297" s="29">
        <f t="shared" si="67"/>
        <v>32179.845595238508</v>
      </c>
      <c r="Q297" s="29">
        <f t="shared" si="59"/>
        <v>37618.692738095648</v>
      </c>
      <c r="R297" s="29">
        <f t="shared" si="70"/>
        <v>453.23726190435264</v>
      </c>
    </row>
    <row r="298" spans="1:18">
      <c r="A298" s="44">
        <v>183936</v>
      </c>
      <c r="B298">
        <v>624</v>
      </c>
      <c r="C298" t="s">
        <v>616</v>
      </c>
      <c r="D298">
        <v>2017</v>
      </c>
      <c r="E298">
        <v>6</v>
      </c>
      <c r="F298">
        <v>0</v>
      </c>
      <c r="G298" t="s">
        <v>78</v>
      </c>
      <c r="H298" s="5">
        <v>7</v>
      </c>
      <c r="I298">
        <f t="shared" si="71"/>
        <v>2024</v>
      </c>
      <c r="J298" s="4">
        <f t="shared" si="72"/>
        <v>2024.5</v>
      </c>
      <c r="K298" s="29">
        <v>32107.98</v>
      </c>
      <c r="L298" s="29">
        <f t="shared" si="73"/>
        <v>32107.98</v>
      </c>
      <c r="M298" s="29">
        <f t="shared" si="68"/>
        <v>382.23785714285714</v>
      </c>
      <c r="N298" s="29">
        <f t="shared" si="69"/>
        <v>4586.8542857142857</v>
      </c>
      <c r="O298" s="29">
        <f t="shared" si="58"/>
        <v>4586.8542857142857</v>
      </c>
      <c r="P298" s="29">
        <f t="shared" si="67"/>
        <v>27138.887857143203</v>
      </c>
      <c r="Q298" s="29">
        <f t="shared" si="59"/>
        <v>31725.742142857489</v>
      </c>
      <c r="R298" s="29">
        <f t="shared" si="70"/>
        <v>382.23785714251062</v>
      </c>
    </row>
    <row r="299" spans="1:18">
      <c r="A299" s="44">
        <v>188327</v>
      </c>
      <c r="B299">
        <v>945</v>
      </c>
      <c r="C299" t="s">
        <v>615</v>
      </c>
      <c r="D299">
        <v>2017</v>
      </c>
      <c r="E299">
        <v>10</v>
      </c>
      <c r="F299">
        <v>0</v>
      </c>
      <c r="G299" t="s">
        <v>78</v>
      </c>
      <c r="H299" s="5">
        <v>7</v>
      </c>
      <c r="I299">
        <f t="shared" si="71"/>
        <v>2024</v>
      </c>
      <c r="J299" s="4">
        <f t="shared" si="72"/>
        <v>2024.8333333333333</v>
      </c>
      <c r="K299" s="29">
        <v>38070.199999999997</v>
      </c>
      <c r="L299" s="29">
        <f t="shared" si="73"/>
        <v>38070.199999999997</v>
      </c>
      <c r="M299" s="29">
        <f t="shared" si="68"/>
        <v>453.21666666666664</v>
      </c>
      <c r="N299" s="29">
        <f t="shared" si="69"/>
        <v>5438.5999999999995</v>
      </c>
      <c r="O299" s="29">
        <f t="shared" si="58"/>
        <v>5438.5999999999995</v>
      </c>
      <c r="P299" s="29">
        <f t="shared" si="67"/>
        <v>30365.516666667489</v>
      </c>
      <c r="Q299" s="29">
        <f t="shared" si="59"/>
        <v>35804.116666667491</v>
      </c>
      <c r="R299" s="29">
        <f t="shared" si="70"/>
        <v>2266.0833333325063</v>
      </c>
    </row>
    <row r="300" spans="1:18">
      <c r="A300" s="44">
        <v>189053</v>
      </c>
      <c r="B300">
        <v>945</v>
      </c>
      <c r="C300" t="s">
        <v>615</v>
      </c>
      <c r="D300">
        <v>2017</v>
      </c>
      <c r="E300">
        <v>11</v>
      </c>
      <c r="F300">
        <v>0</v>
      </c>
      <c r="G300" t="s">
        <v>78</v>
      </c>
      <c r="H300" s="5">
        <v>7</v>
      </c>
      <c r="I300">
        <f t="shared" si="71"/>
        <v>2024</v>
      </c>
      <c r="J300" s="4">
        <f t="shared" si="72"/>
        <v>2024.9166666666667</v>
      </c>
      <c r="K300" s="29">
        <v>38070.199999999997</v>
      </c>
      <c r="L300" s="29">
        <f t="shared" si="73"/>
        <v>38070.199999999997</v>
      </c>
      <c r="M300" s="29">
        <f t="shared" si="68"/>
        <v>453.21666666666664</v>
      </c>
      <c r="N300" s="29">
        <f t="shared" si="69"/>
        <v>5438.5999999999995</v>
      </c>
      <c r="O300" s="29">
        <f t="shared" si="58"/>
        <v>5438.5999999999995</v>
      </c>
      <c r="P300" s="29">
        <f t="shared" si="67"/>
        <v>29912.299999999996</v>
      </c>
      <c r="Q300" s="29">
        <f t="shared" si="59"/>
        <v>35350.899999999994</v>
      </c>
      <c r="R300" s="29">
        <f t="shared" si="70"/>
        <v>2719.3000000000029</v>
      </c>
    </row>
    <row r="301" spans="1:18">
      <c r="A301" s="44">
        <v>190473</v>
      </c>
      <c r="B301">
        <v>432</v>
      </c>
      <c r="C301" t="s">
        <v>718</v>
      </c>
      <c r="D301">
        <v>2017</v>
      </c>
      <c r="E301">
        <v>11</v>
      </c>
      <c r="F301">
        <v>0</v>
      </c>
      <c r="G301" t="s">
        <v>78</v>
      </c>
      <c r="H301" s="5">
        <v>7</v>
      </c>
      <c r="I301">
        <f t="shared" si="71"/>
        <v>2024</v>
      </c>
      <c r="J301" s="4">
        <f t="shared" si="72"/>
        <v>2024.9166666666667</v>
      </c>
      <c r="K301" s="29">
        <v>19630.52</v>
      </c>
      <c r="L301" s="29">
        <f t="shared" si="73"/>
        <v>19630.52</v>
      </c>
      <c r="M301" s="29">
        <f t="shared" si="68"/>
        <v>233.69666666666669</v>
      </c>
      <c r="N301" s="29">
        <f t="shared" si="69"/>
        <v>2804.36</v>
      </c>
      <c r="O301" s="29">
        <f t="shared" si="58"/>
        <v>2804.36</v>
      </c>
      <c r="P301" s="29">
        <f t="shared" si="67"/>
        <v>15423.98</v>
      </c>
      <c r="Q301" s="29">
        <f t="shared" si="59"/>
        <v>18228.34</v>
      </c>
      <c r="R301" s="29">
        <f t="shared" si="70"/>
        <v>1402.1800000000003</v>
      </c>
    </row>
    <row r="302" spans="1:18">
      <c r="A302" s="44">
        <v>190472</v>
      </c>
      <c r="B302">
        <v>312</v>
      </c>
      <c r="C302" t="s">
        <v>616</v>
      </c>
      <c r="D302">
        <v>2017</v>
      </c>
      <c r="E302">
        <v>11</v>
      </c>
      <c r="F302">
        <v>0</v>
      </c>
      <c r="G302" t="s">
        <v>78</v>
      </c>
      <c r="H302" s="5">
        <v>7</v>
      </c>
      <c r="I302">
        <f t="shared" si="71"/>
        <v>2024</v>
      </c>
      <c r="J302" s="4">
        <f t="shared" si="72"/>
        <v>2024.9166666666667</v>
      </c>
      <c r="K302" s="29">
        <v>16402.71</v>
      </c>
      <c r="L302" s="29">
        <f t="shared" si="73"/>
        <v>16402.71</v>
      </c>
      <c r="M302" s="29">
        <f t="shared" si="68"/>
        <v>195.27035714285714</v>
      </c>
      <c r="N302" s="29">
        <f t="shared" si="69"/>
        <v>2343.2442857142855</v>
      </c>
      <c r="O302" s="29">
        <f t="shared" si="58"/>
        <v>2343.2442857142855</v>
      </c>
      <c r="P302" s="29">
        <f t="shared" si="67"/>
        <v>12887.84357142857</v>
      </c>
      <c r="Q302" s="29">
        <f t="shared" si="59"/>
        <v>15231.087857142855</v>
      </c>
      <c r="R302" s="29">
        <f t="shared" si="70"/>
        <v>1171.6221428571444</v>
      </c>
    </row>
    <row r="303" spans="1:18">
      <c r="A303" s="44">
        <v>199449</v>
      </c>
      <c r="B303">
        <v>864</v>
      </c>
      <c r="C303" t="s">
        <v>738</v>
      </c>
      <c r="D303">
        <v>2018</v>
      </c>
      <c r="E303">
        <v>3</v>
      </c>
      <c r="F303">
        <v>0</v>
      </c>
      <c r="G303" t="s">
        <v>78</v>
      </c>
      <c r="H303" s="5">
        <v>7</v>
      </c>
      <c r="I303">
        <f t="shared" si="71"/>
        <v>2025</v>
      </c>
      <c r="J303" s="4">
        <f t="shared" si="72"/>
        <v>2025.25</v>
      </c>
      <c r="K303" s="29">
        <v>39644.51</v>
      </c>
      <c r="L303" s="29">
        <f t="shared" si="73"/>
        <v>39644.51</v>
      </c>
      <c r="M303" s="29">
        <f t="shared" si="68"/>
        <v>471.95845238095239</v>
      </c>
      <c r="N303" s="29">
        <f t="shared" si="69"/>
        <v>5663.5014285714287</v>
      </c>
      <c r="O303" s="29">
        <f t="shared" si="58"/>
        <v>5663.5014285714287</v>
      </c>
      <c r="P303" s="29">
        <f t="shared" si="67"/>
        <v>29261.424047619479</v>
      </c>
      <c r="Q303" s="29">
        <f t="shared" si="59"/>
        <v>34924.925476190911</v>
      </c>
      <c r="R303" s="29">
        <f t="shared" si="70"/>
        <v>4719.5845238090915</v>
      </c>
    </row>
    <row r="304" spans="1:18">
      <c r="A304" s="44">
        <v>199444</v>
      </c>
      <c r="B304">
        <v>945</v>
      </c>
      <c r="C304" t="s">
        <v>735</v>
      </c>
      <c r="D304">
        <v>2018</v>
      </c>
      <c r="E304">
        <v>4</v>
      </c>
      <c r="F304">
        <v>0</v>
      </c>
      <c r="G304" t="s">
        <v>78</v>
      </c>
      <c r="H304" s="5">
        <v>7</v>
      </c>
      <c r="I304">
        <f t="shared" si="71"/>
        <v>2025</v>
      </c>
      <c r="J304" s="4">
        <f t="shared" si="72"/>
        <v>2025.3333333333333</v>
      </c>
      <c r="K304" s="29">
        <v>37863.78</v>
      </c>
      <c r="L304" s="29">
        <f t="shared" si="73"/>
        <v>37863.78</v>
      </c>
      <c r="M304" s="29">
        <f t="shared" si="68"/>
        <v>450.75928571428568</v>
      </c>
      <c r="N304" s="29">
        <f t="shared" si="69"/>
        <v>5409.1114285714284</v>
      </c>
      <c r="O304" s="29">
        <f t="shared" si="58"/>
        <v>5409.1114285714284</v>
      </c>
      <c r="P304" s="29">
        <f t="shared" si="67"/>
        <v>27496.316428572249</v>
      </c>
      <c r="Q304" s="29">
        <f t="shared" si="59"/>
        <v>32905.427857143673</v>
      </c>
      <c r="R304" s="29">
        <f t="shared" si="70"/>
        <v>4958.3521428563254</v>
      </c>
    </row>
    <row r="305" spans="1:18">
      <c r="A305" s="44">
        <v>199447</v>
      </c>
      <c r="B305">
        <v>432</v>
      </c>
      <c r="C305" t="s">
        <v>737</v>
      </c>
      <c r="D305">
        <v>2018</v>
      </c>
      <c r="E305">
        <v>4</v>
      </c>
      <c r="F305">
        <v>0</v>
      </c>
      <c r="G305" t="s">
        <v>78</v>
      </c>
      <c r="H305" s="5">
        <v>7</v>
      </c>
      <c r="I305">
        <f t="shared" si="71"/>
        <v>2025</v>
      </c>
      <c r="J305" s="4">
        <f t="shared" si="72"/>
        <v>2025.3333333333333</v>
      </c>
      <c r="K305" s="29">
        <v>20942.36</v>
      </c>
      <c r="L305" s="29">
        <f t="shared" si="73"/>
        <v>20942.36</v>
      </c>
      <c r="M305" s="29">
        <f t="shared" si="68"/>
        <v>249.31380952380951</v>
      </c>
      <c r="N305" s="29">
        <f t="shared" si="69"/>
        <v>2991.7657142857142</v>
      </c>
      <c r="O305" s="29">
        <f t="shared" si="58"/>
        <v>2991.7657142857142</v>
      </c>
      <c r="P305" s="29">
        <f t="shared" si="67"/>
        <v>15208.142380952835</v>
      </c>
      <c r="Q305" s="29">
        <f t="shared" si="59"/>
        <v>18199.908095238548</v>
      </c>
      <c r="R305" s="29">
        <f t="shared" si="70"/>
        <v>2742.4519047614522</v>
      </c>
    </row>
    <row r="306" spans="1:18">
      <c r="A306" s="44">
        <v>199446</v>
      </c>
      <c r="B306">
        <v>312</v>
      </c>
      <c r="C306" t="s">
        <v>736</v>
      </c>
      <c r="D306">
        <v>2018</v>
      </c>
      <c r="E306">
        <v>4</v>
      </c>
      <c r="F306">
        <v>0</v>
      </c>
      <c r="G306" t="s">
        <v>78</v>
      </c>
      <c r="H306" s="5">
        <v>7</v>
      </c>
      <c r="I306">
        <f t="shared" si="71"/>
        <v>2025</v>
      </c>
      <c r="J306" s="4">
        <f t="shared" si="72"/>
        <v>2025.3333333333333</v>
      </c>
      <c r="K306" s="29">
        <v>17734.16</v>
      </c>
      <c r="L306" s="29">
        <f t="shared" si="73"/>
        <v>17734.16</v>
      </c>
      <c r="M306" s="29">
        <f t="shared" si="68"/>
        <v>211.12095238095239</v>
      </c>
      <c r="N306" s="29">
        <f t="shared" si="69"/>
        <v>2533.4514285714286</v>
      </c>
      <c r="O306" s="29">
        <f t="shared" si="58"/>
        <v>2533.4514285714286</v>
      </c>
      <c r="P306" s="29">
        <f t="shared" si="67"/>
        <v>12878.378095238479</v>
      </c>
      <c r="Q306" s="29">
        <f t="shared" si="59"/>
        <v>15411.829523809907</v>
      </c>
      <c r="R306" s="29">
        <f t="shared" si="70"/>
        <v>2322.3304761900927</v>
      </c>
    </row>
    <row r="307" spans="1:18">
      <c r="A307" s="44">
        <v>202193</v>
      </c>
      <c r="B307">
        <v>864</v>
      </c>
      <c r="C307" t="s">
        <v>737</v>
      </c>
      <c r="D307">
        <v>2018</v>
      </c>
      <c r="E307">
        <v>7</v>
      </c>
      <c r="F307">
        <v>0</v>
      </c>
      <c r="G307" t="s">
        <v>78</v>
      </c>
      <c r="H307" s="5">
        <v>7</v>
      </c>
      <c r="I307">
        <f t="shared" si="71"/>
        <v>2025</v>
      </c>
      <c r="J307" s="4">
        <f t="shared" si="72"/>
        <v>2025.5833333333333</v>
      </c>
      <c r="K307" s="29">
        <v>39852.21</v>
      </c>
      <c r="L307" s="29">
        <f t="shared" si="73"/>
        <v>39852.21</v>
      </c>
      <c r="M307" s="29">
        <f t="shared" si="68"/>
        <v>474.43107142857139</v>
      </c>
      <c r="N307" s="29">
        <f t="shared" si="69"/>
        <v>5693.1728571428566</v>
      </c>
      <c r="O307" s="29">
        <f t="shared" si="58"/>
        <v>5693.1728571428566</v>
      </c>
      <c r="P307" s="29">
        <f t="shared" si="67"/>
        <v>27517.002142858008</v>
      </c>
      <c r="Q307" s="29">
        <f t="shared" si="59"/>
        <v>33210.175000000861</v>
      </c>
      <c r="R307" s="29">
        <f t="shared" si="70"/>
        <v>6642.0349999991377</v>
      </c>
    </row>
    <row r="308" spans="1:18">
      <c r="A308" s="44">
        <v>204246</v>
      </c>
      <c r="B308">
        <v>468</v>
      </c>
      <c r="C308" t="s">
        <v>735</v>
      </c>
      <c r="D308">
        <v>2018</v>
      </c>
      <c r="E308">
        <v>8</v>
      </c>
      <c r="F308">
        <v>0</v>
      </c>
      <c r="G308" t="s">
        <v>78</v>
      </c>
      <c r="H308" s="5">
        <v>7</v>
      </c>
      <c r="I308">
        <f t="shared" si="71"/>
        <v>2025</v>
      </c>
      <c r="J308" s="4">
        <f t="shared" si="72"/>
        <v>2025.6666666666667</v>
      </c>
      <c r="K308" s="29">
        <v>18944.09</v>
      </c>
      <c r="L308" s="29">
        <f t="shared" si="73"/>
        <v>18944.09</v>
      </c>
      <c r="M308" s="29">
        <f t="shared" si="68"/>
        <v>225.52488095238095</v>
      </c>
      <c r="N308" s="29">
        <f t="shared" si="69"/>
        <v>2706.2985714285714</v>
      </c>
      <c r="O308" s="29">
        <f t="shared" si="58"/>
        <v>2706.2985714285714</v>
      </c>
      <c r="P308" s="29">
        <f t="shared" si="67"/>
        <v>12854.918214285713</v>
      </c>
      <c r="Q308" s="29">
        <f t="shared" si="59"/>
        <v>15561.216785714285</v>
      </c>
      <c r="R308" s="29">
        <f t="shared" si="70"/>
        <v>3382.8732142857152</v>
      </c>
    </row>
    <row r="309" spans="1:18">
      <c r="A309" s="44">
        <v>202192</v>
      </c>
      <c r="B309">
        <v>624</v>
      </c>
      <c r="C309" t="s">
        <v>739</v>
      </c>
      <c r="D309">
        <v>2018</v>
      </c>
      <c r="E309">
        <v>8</v>
      </c>
      <c r="F309">
        <v>0</v>
      </c>
      <c r="G309" t="s">
        <v>78</v>
      </c>
      <c r="H309" s="5">
        <v>7</v>
      </c>
      <c r="I309">
        <f t="shared" si="71"/>
        <v>2025</v>
      </c>
      <c r="J309" s="4">
        <f t="shared" si="72"/>
        <v>2025.6666666666667</v>
      </c>
      <c r="K309" s="29">
        <v>33435.82</v>
      </c>
      <c r="L309" s="29">
        <f t="shared" si="73"/>
        <v>33435.82</v>
      </c>
      <c r="M309" s="29">
        <f t="shared" si="68"/>
        <v>398.04547619047617</v>
      </c>
      <c r="N309" s="29">
        <f t="shared" si="69"/>
        <v>4776.545714285714</v>
      </c>
      <c r="O309" s="29">
        <f t="shared" ref="O309:O331" si="74">IF(J309&lt;=$N$6,0,N309)</f>
        <v>4776.545714285714</v>
      </c>
      <c r="P309" s="29">
        <f t="shared" si="67"/>
        <v>22688.592142857146</v>
      </c>
      <c r="Q309" s="29">
        <f t="shared" si="59"/>
        <v>27465.137857142858</v>
      </c>
      <c r="R309" s="29">
        <f t="shared" si="70"/>
        <v>5970.682142857142</v>
      </c>
    </row>
    <row r="310" spans="1:18">
      <c r="A310" s="44">
        <v>202191</v>
      </c>
      <c r="B310">
        <v>624</v>
      </c>
      <c r="C310" t="s">
        <v>736</v>
      </c>
      <c r="D310">
        <v>2018</v>
      </c>
      <c r="E310">
        <v>8</v>
      </c>
      <c r="F310">
        <v>0</v>
      </c>
      <c r="G310" t="s">
        <v>78</v>
      </c>
      <c r="H310" s="5">
        <v>7</v>
      </c>
      <c r="I310">
        <f t="shared" si="71"/>
        <v>2025</v>
      </c>
      <c r="J310" s="4">
        <f t="shared" si="72"/>
        <v>2025.6666666666667</v>
      </c>
      <c r="K310" s="29">
        <v>33435.82</v>
      </c>
      <c r="L310" s="29">
        <f t="shared" si="73"/>
        <v>33435.82</v>
      </c>
      <c r="M310" s="29">
        <f t="shared" si="68"/>
        <v>398.04547619047617</v>
      </c>
      <c r="N310" s="29">
        <f t="shared" si="69"/>
        <v>4776.545714285714</v>
      </c>
      <c r="O310" s="29">
        <f t="shared" si="74"/>
        <v>4776.545714285714</v>
      </c>
      <c r="P310" s="29">
        <f t="shared" si="67"/>
        <v>22688.592142857146</v>
      </c>
      <c r="Q310" s="29">
        <f t="shared" si="59"/>
        <v>27465.137857142858</v>
      </c>
      <c r="R310" s="29">
        <f t="shared" si="70"/>
        <v>5970.682142857142</v>
      </c>
    </row>
    <row r="311" spans="1:18">
      <c r="A311" s="44">
        <v>205650</v>
      </c>
      <c r="B311">
        <v>864</v>
      </c>
      <c r="C311" t="s">
        <v>738</v>
      </c>
      <c r="D311">
        <v>2018</v>
      </c>
      <c r="E311">
        <v>10</v>
      </c>
      <c r="F311">
        <v>0</v>
      </c>
      <c r="G311" t="s">
        <v>78</v>
      </c>
      <c r="H311" s="5">
        <v>7</v>
      </c>
      <c r="I311">
        <f t="shared" si="71"/>
        <v>2025</v>
      </c>
      <c r="J311" s="4">
        <f t="shared" si="72"/>
        <v>2025.8333333333333</v>
      </c>
      <c r="K311" s="29">
        <v>39779.9</v>
      </c>
      <c r="L311" s="29">
        <f t="shared" si="73"/>
        <v>39779.9</v>
      </c>
      <c r="M311" s="29">
        <f t="shared" si="68"/>
        <v>473.57023809523815</v>
      </c>
      <c r="N311" s="29">
        <f t="shared" si="69"/>
        <v>5682.8428571428576</v>
      </c>
      <c r="O311" s="29">
        <f t="shared" si="74"/>
        <v>5682.8428571428576</v>
      </c>
      <c r="P311" s="29">
        <f t="shared" si="67"/>
        <v>26046.363095238958</v>
      </c>
      <c r="Q311" s="29">
        <f t="shared" si="59"/>
        <v>31729.205952381817</v>
      </c>
      <c r="R311" s="29">
        <f t="shared" si="70"/>
        <v>8050.6940476181844</v>
      </c>
    </row>
    <row r="312" spans="1:18">
      <c r="A312" s="44">
        <v>210119</v>
      </c>
      <c r="B312">
        <v>945</v>
      </c>
      <c r="C312" s="47" t="s">
        <v>799</v>
      </c>
      <c r="D312">
        <v>2019</v>
      </c>
      <c r="E312">
        <v>1</v>
      </c>
      <c r="F312">
        <v>0</v>
      </c>
      <c r="G312" s="47" t="s">
        <v>78</v>
      </c>
      <c r="H312" s="5">
        <v>7</v>
      </c>
      <c r="I312">
        <f t="shared" si="71"/>
        <v>2026</v>
      </c>
      <c r="J312" s="4">
        <f t="shared" si="72"/>
        <v>2026.0833333333333</v>
      </c>
      <c r="K312" s="29">
        <v>37953.050000000003</v>
      </c>
      <c r="L312" s="29">
        <f t="shared" si="73"/>
        <v>37953.050000000003</v>
      </c>
      <c r="M312" s="29">
        <f t="shared" si="68"/>
        <v>451.82202380952384</v>
      </c>
      <c r="N312" s="29">
        <f t="shared" si="69"/>
        <v>5421.8642857142859</v>
      </c>
      <c r="O312" s="29">
        <f t="shared" si="74"/>
        <v>5421.8642857142859</v>
      </c>
      <c r="P312" s="29">
        <f t="shared" si="67"/>
        <v>23494.74523809606</v>
      </c>
      <c r="Q312" s="29">
        <f t="shared" si="59"/>
        <v>28916.609523810344</v>
      </c>
      <c r="R312" s="29">
        <f t="shared" si="70"/>
        <v>9036.4404761896585</v>
      </c>
    </row>
    <row r="313" spans="1:18">
      <c r="A313" s="44">
        <v>210118</v>
      </c>
      <c r="B313">
        <v>864</v>
      </c>
      <c r="C313" s="47" t="s">
        <v>737</v>
      </c>
      <c r="D313">
        <v>2019</v>
      </c>
      <c r="E313">
        <v>1</v>
      </c>
      <c r="F313">
        <v>0</v>
      </c>
      <c r="G313" s="47" t="s">
        <v>78</v>
      </c>
      <c r="H313" s="5">
        <v>7</v>
      </c>
      <c r="I313">
        <f t="shared" si="71"/>
        <v>2026</v>
      </c>
      <c r="J313" s="4">
        <f t="shared" si="72"/>
        <v>2026.0833333333333</v>
      </c>
      <c r="K313" s="29">
        <v>39187.980000000003</v>
      </c>
      <c r="L313" s="29">
        <f t="shared" si="73"/>
        <v>39187.980000000003</v>
      </c>
      <c r="M313" s="29">
        <f t="shared" si="68"/>
        <v>466.52357142857142</v>
      </c>
      <c r="N313" s="29">
        <f t="shared" si="69"/>
        <v>5598.2828571428572</v>
      </c>
      <c r="O313" s="29">
        <f t="shared" si="74"/>
        <v>5598.2828571428572</v>
      </c>
      <c r="P313" s="29">
        <f t="shared" si="67"/>
        <v>24259.225714286567</v>
      </c>
      <c r="Q313" s="29">
        <f t="shared" si="59"/>
        <v>29857.508571429426</v>
      </c>
      <c r="R313" s="29">
        <f t="shared" si="70"/>
        <v>9330.4714285705777</v>
      </c>
    </row>
    <row r="314" spans="1:18">
      <c r="A314" s="44">
        <v>210121</v>
      </c>
      <c r="B314">
        <v>624</v>
      </c>
      <c r="C314" t="s">
        <v>736</v>
      </c>
      <c r="D314">
        <v>2019</v>
      </c>
      <c r="E314">
        <v>1</v>
      </c>
      <c r="F314">
        <v>0</v>
      </c>
      <c r="G314" t="s">
        <v>78</v>
      </c>
      <c r="H314" s="5">
        <v>7</v>
      </c>
      <c r="I314">
        <f t="shared" si="71"/>
        <v>2026</v>
      </c>
      <c r="J314" s="4">
        <f t="shared" si="72"/>
        <v>2026.0833333333333</v>
      </c>
      <c r="K314" s="29">
        <v>31843.759999999998</v>
      </c>
      <c r="L314" s="29">
        <f t="shared" si="73"/>
        <v>31843.759999999998</v>
      </c>
      <c r="M314" s="29">
        <f t="shared" si="68"/>
        <v>379.09238095238089</v>
      </c>
      <c r="N314" s="29">
        <f t="shared" si="69"/>
        <v>4549.1085714285709</v>
      </c>
      <c r="O314" s="29">
        <f t="shared" si="74"/>
        <v>4549.1085714285709</v>
      </c>
      <c r="P314" s="29">
        <f t="shared" si="67"/>
        <v>19712.803809524499</v>
      </c>
      <c r="Q314" s="29">
        <f t="shared" si="59"/>
        <v>24261.912380953072</v>
      </c>
      <c r="R314" s="29">
        <f t="shared" si="70"/>
        <v>7581.8476190469264</v>
      </c>
    </row>
    <row r="315" spans="1:18">
      <c r="A315" s="44">
        <v>213901</v>
      </c>
      <c r="B315">
        <v>864</v>
      </c>
      <c r="C315" t="s">
        <v>806</v>
      </c>
      <c r="D315">
        <v>2019</v>
      </c>
      <c r="E315">
        <v>5</v>
      </c>
      <c r="F315">
        <v>0</v>
      </c>
      <c r="G315" t="s">
        <v>78</v>
      </c>
      <c r="H315" s="5">
        <v>7</v>
      </c>
      <c r="I315">
        <f t="shared" si="71"/>
        <v>2026</v>
      </c>
      <c r="J315" s="4">
        <f t="shared" si="72"/>
        <v>2026.4166666666667</v>
      </c>
      <c r="K315" s="29">
        <v>37698.53</v>
      </c>
      <c r="L315" s="29">
        <f t="shared" si="73"/>
        <v>37698.53</v>
      </c>
      <c r="M315" s="29">
        <f t="shared" si="68"/>
        <v>448.79202380952376</v>
      </c>
      <c r="N315" s="29">
        <f t="shared" si="69"/>
        <v>5385.5042857142853</v>
      </c>
      <c r="O315" s="29">
        <f t="shared" si="74"/>
        <v>5385.5042857142853</v>
      </c>
      <c r="P315" s="29">
        <f t="shared" si="67"/>
        <v>21542.017142857141</v>
      </c>
      <c r="Q315" s="29">
        <f t="shared" si="59"/>
        <v>26927.521428571425</v>
      </c>
      <c r="R315" s="29">
        <f t="shared" si="70"/>
        <v>10771.008571428574</v>
      </c>
    </row>
    <row r="316" spans="1:18">
      <c r="A316" s="44">
        <v>215135</v>
      </c>
      <c r="B316">
        <v>472</v>
      </c>
      <c r="C316" t="s">
        <v>615</v>
      </c>
      <c r="D316">
        <v>2019</v>
      </c>
      <c r="E316">
        <v>5</v>
      </c>
      <c r="F316">
        <v>0</v>
      </c>
      <c r="G316" t="s">
        <v>78</v>
      </c>
      <c r="H316" s="5">
        <v>7</v>
      </c>
      <c r="I316">
        <f>D316+H316</f>
        <v>2026</v>
      </c>
      <c r="J316" s="4">
        <f>+I316+(E316/12)</f>
        <v>2026.4166666666667</v>
      </c>
      <c r="K316" s="29">
        <v>18015.09</v>
      </c>
      <c r="L316" s="29">
        <f t="shared" ref="L316:L331" si="75">K316-K316*F316</f>
        <v>18015.09</v>
      </c>
      <c r="M316" s="29">
        <f t="shared" si="68"/>
        <v>214.46535714285713</v>
      </c>
      <c r="N316" s="29">
        <f t="shared" si="69"/>
        <v>2573.5842857142857</v>
      </c>
      <c r="O316" s="29">
        <f t="shared" si="74"/>
        <v>2573.5842857142857</v>
      </c>
      <c r="P316" s="29">
        <f t="shared" si="67"/>
        <v>10294.337142857144</v>
      </c>
      <c r="Q316" s="29">
        <f t="shared" si="59"/>
        <v>12867.92142857143</v>
      </c>
      <c r="R316" s="29">
        <f t="shared" si="70"/>
        <v>5147.1685714285704</v>
      </c>
    </row>
    <row r="317" spans="1:18">
      <c r="A317" s="44">
        <v>215134</v>
      </c>
      <c r="B317">
        <v>624</v>
      </c>
      <c r="C317" t="s">
        <v>616</v>
      </c>
      <c r="D317">
        <v>2019</v>
      </c>
      <c r="E317">
        <v>5</v>
      </c>
      <c r="F317">
        <v>0</v>
      </c>
      <c r="G317" t="s">
        <v>78</v>
      </c>
      <c r="H317" s="5">
        <v>7</v>
      </c>
      <c r="I317">
        <f>D317+H317</f>
        <v>2026</v>
      </c>
      <c r="J317" s="4">
        <f>+I317+(E317/12)</f>
        <v>2026.4166666666667</v>
      </c>
      <c r="K317" s="29">
        <v>30295.86</v>
      </c>
      <c r="L317" s="29">
        <f t="shared" si="75"/>
        <v>30295.86</v>
      </c>
      <c r="M317" s="29">
        <f t="shared" si="68"/>
        <v>360.66500000000002</v>
      </c>
      <c r="N317" s="29">
        <f t="shared" si="69"/>
        <v>4327.9800000000005</v>
      </c>
      <c r="O317" s="29">
        <f t="shared" si="74"/>
        <v>4327.9800000000005</v>
      </c>
      <c r="P317" s="29">
        <f t="shared" si="67"/>
        <v>17311.919999999998</v>
      </c>
      <c r="Q317" s="29">
        <f t="shared" si="59"/>
        <v>21639.899999999998</v>
      </c>
      <c r="R317" s="29">
        <f t="shared" si="70"/>
        <v>8655.9600000000028</v>
      </c>
    </row>
    <row r="318" spans="1:18">
      <c r="A318" s="44">
        <v>221428</v>
      </c>
      <c r="B318">
        <v>864</v>
      </c>
      <c r="C318" t="s">
        <v>818</v>
      </c>
      <c r="D318">
        <v>2019</v>
      </c>
      <c r="E318">
        <v>9</v>
      </c>
      <c r="F318">
        <v>0</v>
      </c>
      <c r="G318" t="s">
        <v>78</v>
      </c>
      <c r="H318" s="5">
        <v>7</v>
      </c>
      <c r="I318">
        <f>D318+H318</f>
        <v>2026</v>
      </c>
      <c r="J318" s="4">
        <f>+I318+(E318/12)</f>
        <v>2026.75</v>
      </c>
      <c r="K318" s="29">
        <v>38397.360000000001</v>
      </c>
      <c r="L318" s="29">
        <f t="shared" si="75"/>
        <v>38397.360000000001</v>
      </c>
      <c r="M318" s="29">
        <f t="shared" si="68"/>
        <v>457.11142857142858</v>
      </c>
      <c r="N318" s="29">
        <f t="shared" si="69"/>
        <v>5485.3371428571427</v>
      </c>
      <c r="O318" s="29">
        <f t="shared" si="74"/>
        <v>5485.3371428571427</v>
      </c>
      <c r="P318" s="29">
        <f t="shared" si="67"/>
        <v>20112.902857143272</v>
      </c>
      <c r="Q318" s="29">
        <f t="shared" si="59"/>
        <v>25598.240000000413</v>
      </c>
      <c r="R318" s="29">
        <f t="shared" si="70"/>
        <v>12799.119999999588</v>
      </c>
    </row>
    <row r="319" spans="1:18" ht="11.25" customHeight="1">
      <c r="A319" s="44">
        <v>221711</v>
      </c>
      <c r="B319">
        <v>475</v>
      </c>
      <c r="C319" t="s">
        <v>819</v>
      </c>
      <c r="D319">
        <v>2019</v>
      </c>
      <c r="E319">
        <v>9</v>
      </c>
      <c r="F319">
        <v>0</v>
      </c>
      <c r="G319" t="s">
        <v>78</v>
      </c>
      <c r="H319" s="5">
        <v>7</v>
      </c>
      <c r="I319">
        <f t="shared" ref="I319:I328" si="76">D319+H319</f>
        <v>2026</v>
      </c>
      <c r="J319" s="4">
        <f t="shared" ref="J319:J328" si="77">+I319+(E319/12)</f>
        <v>2026.75</v>
      </c>
      <c r="K319" s="29">
        <v>16956.259999999998</v>
      </c>
      <c r="L319" s="29">
        <f t="shared" si="75"/>
        <v>16956.259999999998</v>
      </c>
      <c r="M319" s="29">
        <f t="shared" si="68"/>
        <v>201.86023809523806</v>
      </c>
      <c r="N319" s="29">
        <f t="shared" si="69"/>
        <v>2422.3228571428567</v>
      </c>
      <c r="O319" s="29">
        <f t="shared" si="74"/>
        <v>2422.3228571428567</v>
      </c>
      <c r="P319" s="29">
        <f t="shared" si="67"/>
        <v>8881.8504761906588</v>
      </c>
      <c r="Q319" s="29">
        <f t="shared" si="59"/>
        <v>11304.173333333516</v>
      </c>
      <c r="R319" s="29">
        <f t="shared" si="70"/>
        <v>5652.0866666664824</v>
      </c>
    </row>
    <row r="320" spans="1:18">
      <c r="A320" s="44">
        <v>221710</v>
      </c>
      <c r="B320">
        <v>945</v>
      </c>
      <c r="C320" t="s">
        <v>735</v>
      </c>
      <c r="D320">
        <v>2019</v>
      </c>
      <c r="E320">
        <v>9</v>
      </c>
      <c r="F320">
        <v>0</v>
      </c>
      <c r="G320" t="s">
        <v>78</v>
      </c>
      <c r="H320" s="5">
        <v>7</v>
      </c>
      <c r="I320">
        <f t="shared" si="76"/>
        <v>2026</v>
      </c>
      <c r="J320" s="4">
        <f t="shared" si="77"/>
        <v>2026.75</v>
      </c>
      <c r="K320" s="29">
        <v>37349.120000000003</v>
      </c>
      <c r="L320" s="29">
        <f t="shared" si="75"/>
        <v>37349.120000000003</v>
      </c>
      <c r="M320" s="29">
        <f t="shared" si="68"/>
        <v>444.63238095238097</v>
      </c>
      <c r="N320" s="29">
        <f t="shared" si="69"/>
        <v>5335.5885714285714</v>
      </c>
      <c r="O320" s="29">
        <f t="shared" si="74"/>
        <v>5335.5885714285714</v>
      </c>
      <c r="P320" s="29">
        <f t="shared" si="67"/>
        <v>19563.824761905169</v>
      </c>
      <c r="Q320" s="29">
        <f t="shared" si="59"/>
        <v>24899.413333333741</v>
      </c>
      <c r="R320" s="29">
        <f t="shared" si="70"/>
        <v>12449.706666666261</v>
      </c>
    </row>
    <row r="321" spans="1:18">
      <c r="A321" s="44">
        <v>221709</v>
      </c>
      <c r="B321">
        <v>312</v>
      </c>
      <c r="C321" t="s">
        <v>736</v>
      </c>
      <c r="D321">
        <v>2019</v>
      </c>
      <c r="E321">
        <v>9</v>
      </c>
      <c r="F321">
        <v>0</v>
      </c>
      <c r="G321" t="s">
        <v>78</v>
      </c>
      <c r="H321" s="5">
        <v>7</v>
      </c>
      <c r="I321">
        <f t="shared" si="76"/>
        <v>2026</v>
      </c>
      <c r="J321" s="4">
        <f t="shared" si="77"/>
        <v>2026.75</v>
      </c>
      <c r="K321" s="29">
        <v>15229.77</v>
      </c>
      <c r="L321" s="29">
        <f t="shared" si="75"/>
        <v>15229.77</v>
      </c>
      <c r="M321" s="29">
        <f t="shared" si="68"/>
        <v>181.30678571428572</v>
      </c>
      <c r="N321" s="29">
        <f t="shared" si="69"/>
        <v>2175.6814285714286</v>
      </c>
      <c r="O321" s="29">
        <f t="shared" si="74"/>
        <v>2175.6814285714286</v>
      </c>
      <c r="P321" s="29">
        <f t="shared" si="67"/>
        <v>7977.4985714287368</v>
      </c>
      <c r="Q321" s="29">
        <f t="shared" si="59"/>
        <v>10153.180000000166</v>
      </c>
      <c r="R321" s="29">
        <f t="shared" si="70"/>
        <v>5076.5899999998346</v>
      </c>
    </row>
    <row r="322" spans="1:18">
      <c r="A322" s="44">
        <v>237569</v>
      </c>
      <c r="B322">
        <v>351</v>
      </c>
      <c r="C322" t="s">
        <v>859</v>
      </c>
      <c r="D322">
        <v>2020</v>
      </c>
      <c r="E322">
        <v>7</v>
      </c>
      <c r="F322">
        <v>0</v>
      </c>
      <c r="G322" t="s">
        <v>78</v>
      </c>
      <c r="H322" s="5">
        <v>7</v>
      </c>
      <c r="I322">
        <f t="shared" si="76"/>
        <v>2027</v>
      </c>
      <c r="J322" s="4">
        <f t="shared" si="77"/>
        <v>2027.5833333333333</v>
      </c>
      <c r="K322" s="29">
        <v>15029.53</v>
      </c>
      <c r="L322" s="29">
        <f t="shared" si="75"/>
        <v>15029.53</v>
      </c>
      <c r="M322" s="29">
        <f t="shared" si="68"/>
        <v>178.92297619047619</v>
      </c>
      <c r="N322" s="29">
        <f t="shared" si="69"/>
        <v>2147.0757142857142</v>
      </c>
      <c r="O322" s="29">
        <f t="shared" si="74"/>
        <v>2147.0757142857142</v>
      </c>
      <c r="P322" s="29">
        <f t="shared" si="67"/>
        <v>6083.3811904765171</v>
      </c>
      <c r="Q322" s="29">
        <f t="shared" ref="Q322:Q331" si="78">IF(O322=0,L322,O322+P322)</f>
        <v>8230.4569047622317</v>
      </c>
      <c r="R322" s="29">
        <f t="shared" si="70"/>
        <v>6799.0730952377689</v>
      </c>
    </row>
    <row r="323" spans="1:18">
      <c r="A323" s="45" t="s">
        <v>863</v>
      </c>
      <c r="B323">
        <f>864+864</f>
        <v>1728</v>
      </c>
      <c r="C323" t="s">
        <v>862</v>
      </c>
      <c r="D323">
        <v>2020</v>
      </c>
      <c r="E323">
        <v>7</v>
      </c>
      <c r="F323">
        <v>0</v>
      </c>
      <c r="G323" t="s">
        <v>78</v>
      </c>
      <c r="H323" s="5">
        <v>7</v>
      </c>
      <c r="I323">
        <f t="shared" si="76"/>
        <v>2027</v>
      </c>
      <c r="J323" s="4">
        <f t="shared" si="77"/>
        <v>2027.5833333333333</v>
      </c>
      <c r="K323" s="29">
        <f>27326.2+27326.2</f>
        <v>54652.4</v>
      </c>
      <c r="L323" s="29">
        <f t="shared" si="75"/>
        <v>54652.4</v>
      </c>
      <c r="M323" s="29">
        <f t="shared" si="68"/>
        <v>650.62380952380954</v>
      </c>
      <c r="N323" s="29">
        <f t="shared" si="69"/>
        <v>7807.4857142857145</v>
      </c>
      <c r="O323" s="29">
        <f t="shared" si="74"/>
        <v>7807.4857142857145</v>
      </c>
      <c r="P323" s="29">
        <f t="shared" si="67"/>
        <v>22121.209523810707</v>
      </c>
      <c r="Q323" s="29">
        <f t="shared" si="78"/>
        <v>29928.695238096421</v>
      </c>
      <c r="R323" s="29">
        <f t="shared" si="70"/>
        <v>24723.70476190358</v>
      </c>
    </row>
    <row r="324" spans="1:18">
      <c r="A324" s="44">
        <v>231609</v>
      </c>
      <c r="B324">
        <v>1080</v>
      </c>
      <c r="C324" t="s">
        <v>735</v>
      </c>
      <c r="D324">
        <v>2020</v>
      </c>
      <c r="E324">
        <v>7</v>
      </c>
      <c r="F324">
        <v>0</v>
      </c>
      <c r="G324" t="s">
        <v>78</v>
      </c>
      <c r="H324" s="5">
        <v>7</v>
      </c>
      <c r="I324">
        <f t="shared" si="76"/>
        <v>2027</v>
      </c>
      <c r="J324" s="4">
        <f t="shared" si="77"/>
        <v>2027.5833333333333</v>
      </c>
      <c r="K324" s="29">
        <v>35932.589999999997</v>
      </c>
      <c r="L324" s="29">
        <f t="shared" si="75"/>
        <v>35932.589999999997</v>
      </c>
      <c r="M324" s="29">
        <f t="shared" si="68"/>
        <v>427.76892857142849</v>
      </c>
      <c r="N324" s="29">
        <f t="shared" si="69"/>
        <v>5133.2271428571421</v>
      </c>
      <c r="O324" s="29">
        <f t="shared" si="74"/>
        <v>5133.2271428571421</v>
      </c>
      <c r="P324" s="29">
        <f t="shared" si="67"/>
        <v>14544.143571429351</v>
      </c>
      <c r="Q324" s="29">
        <f t="shared" si="78"/>
        <v>19677.370714286495</v>
      </c>
      <c r="R324" s="29">
        <f t="shared" si="70"/>
        <v>16255.219285713501</v>
      </c>
    </row>
    <row r="325" spans="1:18">
      <c r="A325" s="44">
        <v>231608</v>
      </c>
      <c r="B325">
        <v>936</v>
      </c>
      <c r="C325" t="s">
        <v>738</v>
      </c>
      <c r="D325">
        <v>2020</v>
      </c>
      <c r="E325">
        <v>2</v>
      </c>
      <c r="F325">
        <v>0</v>
      </c>
      <c r="G325" t="s">
        <v>78</v>
      </c>
      <c r="H325" s="5">
        <v>7</v>
      </c>
      <c r="I325">
        <f t="shared" si="76"/>
        <v>2027</v>
      </c>
      <c r="J325" s="4">
        <f t="shared" si="77"/>
        <v>2027.1666666666667</v>
      </c>
      <c r="K325" s="29">
        <v>37525.410000000003</v>
      </c>
      <c r="L325" s="29">
        <f t="shared" si="75"/>
        <v>37525.410000000003</v>
      </c>
      <c r="M325" s="29">
        <f t="shared" si="68"/>
        <v>446.73107142857151</v>
      </c>
      <c r="N325" s="29">
        <f t="shared" si="69"/>
        <v>5360.7728571428579</v>
      </c>
      <c r="O325" s="29">
        <f t="shared" si="74"/>
        <v>5360.7728571428579</v>
      </c>
      <c r="P325" s="29">
        <f t="shared" si="67"/>
        <v>17422.511785714287</v>
      </c>
      <c r="Q325" s="29">
        <f t="shared" si="78"/>
        <v>22783.284642857143</v>
      </c>
      <c r="R325" s="29">
        <f t="shared" si="70"/>
        <v>14742.125357142861</v>
      </c>
    </row>
    <row r="326" spans="1:18">
      <c r="A326" s="44">
        <v>229285</v>
      </c>
      <c r="B326">
        <v>875</v>
      </c>
      <c r="C326" s="47" t="s">
        <v>864</v>
      </c>
      <c r="D326">
        <v>2020</v>
      </c>
      <c r="E326">
        <v>2</v>
      </c>
      <c r="F326">
        <v>0</v>
      </c>
      <c r="G326" s="47" t="s">
        <v>78</v>
      </c>
      <c r="H326" s="5">
        <v>7</v>
      </c>
      <c r="I326">
        <f t="shared" si="76"/>
        <v>2027</v>
      </c>
      <c r="J326" s="4">
        <f t="shared" si="77"/>
        <v>2027.1666666666667</v>
      </c>
      <c r="K326" s="29">
        <v>29112.05</v>
      </c>
      <c r="L326" s="29">
        <f t="shared" si="75"/>
        <v>29112.05</v>
      </c>
      <c r="M326" s="29">
        <f t="shared" si="68"/>
        <v>346.57202380952384</v>
      </c>
      <c r="N326" s="29">
        <f t="shared" si="69"/>
        <v>4158.8642857142859</v>
      </c>
      <c r="O326" s="29">
        <f t="shared" si="74"/>
        <v>4158.8642857142859</v>
      </c>
      <c r="P326" s="29">
        <f t="shared" si="67"/>
        <v>13516.308928571427</v>
      </c>
      <c r="Q326" s="29">
        <f t="shared" si="78"/>
        <v>17675.173214285714</v>
      </c>
      <c r="R326" s="29">
        <f t="shared" si="70"/>
        <v>11436.876785714285</v>
      </c>
    </row>
    <row r="327" spans="1:18">
      <c r="A327" s="45">
        <v>229006</v>
      </c>
      <c r="B327">
        <v>702</v>
      </c>
      <c r="C327" s="47" t="s">
        <v>736</v>
      </c>
      <c r="D327">
        <v>2020</v>
      </c>
      <c r="E327">
        <v>2</v>
      </c>
      <c r="F327">
        <v>0</v>
      </c>
      <c r="G327" s="47" t="s">
        <v>78</v>
      </c>
      <c r="H327" s="5">
        <v>7</v>
      </c>
      <c r="I327">
        <f t="shared" si="76"/>
        <v>2027</v>
      </c>
      <c r="J327" s="4">
        <f t="shared" si="77"/>
        <v>2027.1666666666667</v>
      </c>
      <c r="K327" s="29">
        <v>32333.439999999999</v>
      </c>
      <c r="L327" s="29">
        <f t="shared" si="75"/>
        <v>32333.439999999999</v>
      </c>
      <c r="M327" s="29">
        <f t="shared" si="68"/>
        <v>384.92190476190473</v>
      </c>
      <c r="N327" s="29">
        <f t="shared" si="69"/>
        <v>4619.062857142857</v>
      </c>
      <c r="O327" s="29">
        <f t="shared" si="74"/>
        <v>4619.062857142857</v>
      </c>
      <c r="P327" s="29">
        <f t="shared" si="67"/>
        <v>15011.954285714284</v>
      </c>
      <c r="Q327" s="29">
        <f t="shared" si="78"/>
        <v>19631.017142857141</v>
      </c>
      <c r="R327" s="29">
        <f t="shared" si="70"/>
        <v>12702.422857142858</v>
      </c>
    </row>
    <row r="328" spans="1:18">
      <c r="A328" s="45">
        <v>236070</v>
      </c>
      <c r="B328">
        <v>624</v>
      </c>
      <c r="C328" s="47" t="s">
        <v>867</v>
      </c>
      <c r="D328">
        <v>2020</v>
      </c>
      <c r="E328">
        <v>7</v>
      </c>
      <c r="F328">
        <v>0</v>
      </c>
      <c r="G328" s="47" t="s">
        <v>78</v>
      </c>
      <c r="H328" s="5">
        <v>7</v>
      </c>
      <c r="I328">
        <f t="shared" si="76"/>
        <v>2027</v>
      </c>
      <c r="J328" s="4">
        <f t="shared" si="77"/>
        <v>2027.5833333333333</v>
      </c>
      <c r="K328" s="29">
        <v>23148.87</v>
      </c>
      <c r="L328" s="29">
        <f t="shared" si="75"/>
        <v>23148.87</v>
      </c>
      <c r="M328" s="29">
        <f t="shared" si="68"/>
        <v>275.58178571428567</v>
      </c>
      <c r="N328" s="29">
        <f t="shared" si="69"/>
        <v>3306.9814285714283</v>
      </c>
      <c r="O328" s="29">
        <f t="shared" si="74"/>
        <v>3306.9814285714283</v>
      </c>
      <c r="P328" s="29">
        <f t="shared" si="67"/>
        <v>9369.7807142862166</v>
      </c>
      <c r="Q328" s="29">
        <f t="shared" si="78"/>
        <v>12676.762142857646</v>
      </c>
      <c r="R328" s="29">
        <f t="shared" si="70"/>
        <v>10472.107857142353</v>
      </c>
    </row>
    <row r="329" spans="1:18">
      <c r="A329" s="45">
        <v>241476</v>
      </c>
      <c r="B329">
        <v>540</v>
      </c>
      <c r="C329" s="47" t="s">
        <v>878</v>
      </c>
      <c r="D329">
        <v>2020</v>
      </c>
      <c r="E329">
        <v>11</v>
      </c>
      <c r="F329">
        <v>0</v>
      </c>
      <c r="G329" s="47" t="s">
        <v>78</v>
      </c>
      <c r="H329" s="5">
        <v>7</v>
      </c>
      <c r="I329">
        <f>D329+H329</f>
        <v>2027</v>
      </c>
      <c r="J329" s="4">
        <f>+I329+(E329/12)</f>
        <v>2027.9166666666667</v>
      </c>
      <c r="K329" s="29">
        <v>18632.57</v>
      </c>
      <c r="L329" s="29">
        <f t="shared" si="75"/>
        <v>18632.57</v>
      </c>
      <c r="M329" s="29">
        <f t="shared" si="68"/>
        <v>221.81630952380954</v>
      </c>
      <c r="N329" s="29">
        <f t="shared" si="69"/>
        <v>2661.7957142857144</v>
      </c>
      <c r="O329" s="29">
        <f t="shared" si="74"/>
        <v>2661.7957142857144</v>
      </c>
      <c r="P329" s="29">
        <f t="shared" si="67"/>
        <v>6654.4892857142841</v>
      </c>
      <c r="Q329" s="29">
        <f t="shared" si="78"/>
        <v>9316.284999999998</v>
      </c>
      <c r="R329" s="29">
        <f t="shared" si="70"/>
        <v>9316.2850000000017</v>
      </c>
    </row>
    <row r="330" spans="1:18">
      <c r="A330" s="45">
        <v>241477</v>
      </c>
      <c r="B330">
        <v>702</v>
      </c>
      <c r="C330" s="47" t="s">
        <v>879</v>
      </c>
      <c r="D330">
        <v>2020</v>
      </c>
      <c r="E330">
        <v>11</v>
      </c>
      <c r="F330">
        <v>0</v>
      </c>
      <c r="G330" s="47" t="s">
        <v>78</v>
      </c>
      <c r="H330" s="5">
        <v>7</v>
      </c>
      <c r="I330">
        <f>D330+H330</f>
        <v>2027</v>
      </c>
      <c r="J330" s="4">
        <f>+I330+(E330/12)</f>
        <v>2027.9166666666667</v>
      </c>
      <c r="K330" s="29">
        <v>31902.22</v>
      </c>
      <c r="L330" s="29">
        <f t="shared" si="75"/>
        <v>31902.22</v>
      </c>
      <c r="M330" s="29">
        <f t="shared" si="68"/>
        <v>379.78833333333336</v>
      </c>
      <c r="N330" s="29">
        <f t="shared" si="69"/>
        <v>4557.46</v>
      </c>
      <c r="O330" s="29">
        <f t="shared" si="74"/>
        <v>4557.46</v>
      </c>
      <c r="P330" s="29">
        <f t="shared" si="67"/>
        <v>11393.650000000001</v>
      </c>
      <c r="Q330" s="29">
        <f t="shared" si="78"/>
        <v>15951.11</v>
      </c>
      <c r="R330" s="29">
        <f t="shared" si="70"/>
        <v>15951.11</v>
      </c>
    </row>
    <row r="331" spans="1:18">
      <c r="A331" s="45">
        <v>241478</v>
      </c>
      <c r="B331">
        <v>972</v>
      </c>
      <c r="C331" s="47" t="s">
        <v>908</v>
      </c>
      <c r="D331">
        <v>2020</v>
      </c>
      <c r="E331">
        <v>11</v>
      </c>
      <c r="F331">
        <v>0</v>
      </c>
      <c r="G331" s="47" t="s">
        <v>78</v>
      </c>
      <c r="H331" s="5">
        <v>7</v>
      </c>
      <c r="I331">
        <f>D331+H331</f>
        <v>2027</v>
      </c>
      <c r="J331" s="4">
        <f>+I331+(E331/12)</f>
        <v>2027.9166666666667</v>
      </c>
      <c r="K331" s="29">
        <v>38855.47</v>
      </c>
      <c r="L331" s="29">
        <f t="shared" si="75"/>
        <v>38855.47</v>
      </c>
      <c r="M331" s="29">
        <f t="shared" si="68"/>
        <v>462.56511904761902</v>
      </c>
      <c r="N331" s="29">
        <f t="shared" si="69"/>
        <v>5550.7814285714285</v>
      </c>
      <c r="O331" s="29">
        <f t="shared" si="74"/>
        <v>5550.7814285714285</v>
      </c>
      <c r="P331" s="29">
        <f t="shared" si="67"/>
        <v>13876.953571428574</v>
      </c>
      <c r="Q331" s="29">
        <f t="shared" si="78"/>
        <v>19427.735000000001</v>
      </c>
      <c r="R331" s="29">
        <f t="shared" si="70"/>
        <v>19427.735000000001</v>
      </c>
    </row>
    <row r="332" spans="1:18">
      <c r="K332" s="29"/>
      <c r="L332" s="29"/>
      <c r="M332" s="29"/>
      <c r="N332" s="29"/>
      <c r="O332" s="29"/>
      <c r="P332" s="29"/>
      <c r="Q332" s="29"/>
      <c r="R332" s="29"/>
    </row>
    <row r="333" spans="1:18">
      <c r="C333" s="2" t="s">
        <v>393</v>
      </c>
      <c r="K333" s="76">
        <f t="shared" ref="K333:R333" si="79">SUM(K194:K332)</f>
        <v>3445579.1399999969</v>
      </c>
      <c r="L333" s="76">
        <f t="shared" si="79"/>
        <v>3445579.1399999969</v>
      </c>
      <c r="M333" s="76">
        <f t="shared" si="79"/>
        <v>38499.86811904762</v>
      </c>
      <c r="N333" s="76">
        <f t="shared" si="79"/>
        <v>461998.41742857138</v>
      </c>
      <c r="O333" s="76">
        <f t="shared" si="79"/>
        <v>160404.07142857142</v>
      </c>
      <c r="P333" s="76">
        <f t="shared" si="79"/>
        <v>2983890.176904778</v>
      </c>
      <c r="Q333" s="76">
        <f t="shared" si="79"/>
        <v>3164097.733809534</v>
      </c>
      <c r="R333" s="76">
        <f t="shared" si="79"/>
        <v>281481.40619046451</v>
      </c>
    </row>
    <row r="334" spans="1:18">
      <c r="K334" s="29"/>
      <c r="L334" s="29"/>
      <c r="M334" s="29"/>
      <c r="N334" s="29"/>
      <c r="O334" s="29"/>
      <c r="P334" s="29"/>
      <c r="Q334" s="29"/>
      <c r="R334" s="29"/>
    </row>
    <row r="335" spans="1:18">
      <c r="K335" s="29"/>
      <c r="L335" s="29"/>
      <c r="M335" s="29"/>
      <c r="N335" s="29"/>
      <c r="O335" s="29"/>
      <c r="P335" s="29"/>
      <c r="Q335" s="29"/>
      <c r="R335" s="29"/>
    </row>
    <row r="336" spans="1:18">
      <c r="C336" s="2" t="s">
        <v>395</v>
      </c>
      <c r="K336" s="29"/>
      <c r="L336" s="29"/>
      <c r="M336" s="29"/>
      <c r="N336" s="29"/>
      <c r="O336" s="29"/>
      <c r="P336" s="29"/>
      <c r="Q336" s="29"/>
      <c r="R336" s="29"/>
    </row>
    <row r="337" spans="2:18" hidden="1" outlineLevel="1">
      <c r="B337">
        <v>2</v>
      </c>
      <c r="C337" t="s">
        <v>172</v>
      </c>
      <c r="D337">
        <v>1995</v>
      </c>
      <c r="E337">
        <v>8</v>
      </c>
      <c r="F337">
        <v>0</v>
      </c>
      <c r="G337" t="s">
        <v>78</v>
      </c>
      <c r="H337" s="5" t="s">
        <v>9</v>
      </c>
      <c r="I337">
        <f t="shared" ref="I337:I347" si="80">D337+H337</f>
        <v>2005</v>
      </c>
      <c r="J337" s="4">
        <f t="shared" ref="J337:J375" si="81">+I337+(E337/12)</f>
        <v>2005.6666666666667</v>
      </c>
      <c r="K337" s="29">
        <v>8548</v>
      </c>
      <c r="L337" s="29">
        <f t="shared" ref="L337:L376" si="82">K337-K337*F337</f>
        <v>8548</v>
      </c>
      <c r="M337" s="29">
        <f t="shared" ref="M337:M376" si="83">L337/H337/12</f>
        <v>71.233333333333334</v>
      </c>
      <c r="N337" s="29">
        <f t="shared" ref="N337:N375" si="84">+M337*12</f>
        <v>854.8</v>
      </c>
      <c r="O337" s="29">
        <f t="shared" ref="O337:O376" si="85">+IF(J337&lt;=$L$5,0,IF(I337&gt;$L$4,N337,(M337*E337)))</f>
        <v>854.8</v>
      </c>
      <c r="P337" s="29">
        <f t="shared" ref="P337:P376" si="86">+IF(O337=0,L337,IF($L$3-D337&lt;1,0,(($L$3-D337)*O337)))</f>
        <v>0</v>
      </c>
      <c r="Q337" s="29">
        <f t="shared" ref="Q337:Q376" si="87">+IF(O337=0,P337,P337+O337)</f>
        <v>854.8</v>
      </c>
      <c r="R337" s="29">
        <f t="shared" ref="R337:R376" si="88">+K337-Q337</f>
        <v>7693.2</v>
      </c>
    </row>
    <row r="338" spans="2:18" hidden="1" outlineLevel="1">
      <c r="B338">
        <v>2</v>
      </c>
      <c r="C338" t="s">
        <v>231</v>
      </c>
      <c r="D338">
        <v>1995</v>
      </c>
      <c r="E338">
        <v>9</v>
      </c>
      <c r="F338">
        <v>0</v>
      </c>
      <c r="G338" t="s">
        <v>78</v>
      </c>
      <c r="H338" s="5" t="s">
        <v>9</v>
      </c>
      <c r="I338">
        <f t="shared" si="80"/>
        <v>2005</v>
      </c>
      <c r="J338" s="4">
        <f t="shared" si="81"/>
        <v>2005.75</v>
      </c>
      <c r="K338" s="29">
        <v>8548</v>
      </c>
      <c r="L338" s="29">
        <f t="shared" si="82"/>
        <v>8548</v>
      </c>
      <c r="M338" s="29">
        <f t="shared" si="83"/>
        <v>71.233333333333334</v>
      </c>
      <c r="N338" s="29">
        <f t="shared" si="84"/>
        <v>854.8</v>
      </c>
      <c r="O338" s="29">
        <f t="shared" si="85"/>
        <v>854.8</v>
      </c>
      <c r="P338" s="29">
        <f t="shared" si="86"/>
        <v>0</v>
      </c>
      <c r="Q338" s="29">
        <f t="shared" si="87"/>
        <v>854.8</v>
      </c>
      <c r="R338" s="29">
        <f t="shared" si="88"/>
        <v>7693.2</v>
      </c>
    </row>
    <row r="339" spans="2:18" hidden="1" outlineLevel="1">
      <c r="B339">
        <v>5</v>
      </c>
      <c r="C339" t="s">
        <v>172</v>
      </c>
      <c r="D339">
        <v>1995</v>
      </c>
      <c r="E339">
        <v>11</v>
      </c>
      <c r="F339">
        <v>0</v>
      </c>
      <c r="G339" t="s">
        <v>78</v>
      </c>
      <c r="H339" s="5" t="s">
        <v>9</v>
      </c>
      <c r="I339">
        <f t="shared" si="80"/>
        <v>2005</v>
      </c>
      <c r="J339" s="4">
        <f t="shared" si="81"/>
        <v>2005.9166666666667</v>
      </c>
      <c r="K339" s="29">
        <v>21369</v>
      </c>
      <c r="L339" s="29">
        <f t="shared" si="82"/>
        <v>21369</v>
      </c>
      <c r="M339" s="29">
        <f t="shared" si="83"/>
        <v>178.07500000000002</v>
      </c>
      <c r="N339" s="29">
        <f t="shared" si="84"/>
        <v>2136.9</v>
      </c>
      <c r="O339" s="29">
        <f t="shared" si="85"/>
        <v>2136.9</v>
      </c>
      <c r="P339" s="29">
        <f t="shared" si="86"/>
        <v>0</v>
      </c>
      <c r="Q339" s="29">
        <f t="shared" si="87"/>
        <v>2136.9</v>
      </c>
      <c r="R339" s="29">
        <f t="shared" si="88"/>
        <v>19232.099999999999</v>
      </c>
    </row>
    <row r="340" spans="2:18" hidden="1" outlineLevel="1">
      <c r="B340">
        <v>4</v>
      </c>
      <c r="C340" t="s">
        <v>172</v>
      </c>
      <c r="D340">
        <v>1996</v>
      </c>
      <c r="E340">
        <v>9</v>
      </c>
      <c r="F340">
        <v>0</v>
      </c>
      <c r="G340" t="s">
        <v>78</v>
      </c>
      <c r="H340" s="5" t="s">
        <v>9</v>
      </c>
      <c r="I340">
        <f t="shared" si="80"/>
        <v>2006</v>
      </c>
      <c r="J340" s="4">
        <f t="shared" si="81"/>
        <v>2006.75</v>
      </c>
      <c r="K340" s="29">
        <v>17096</v>
      </c>
      <c r="L340" s="29">
        <f t="shared" si="82"/>
        <v>17096</v>
      </c>
      <c r="M340" s="29">
        <f t="shared" si="83"/>
        <v>142.46666666666667</v>
      </c>
      <c r="N340" s="29">
        <f t="shared" si="84"/>
        <v>1709.6</v>
      </c>
      <c r="O340" s="29">
        <f t="shared" si="85"/>
        <v>1709.6</v>
      </c>
      <c r="P340" s="29">
        <f t="shared" si="86"/>
        <v>0</v>
      </c>
      <c r="Q340" s="29">
        <f t="shared" si="87"/>
        <v>1709.6</v>
      </c>
      <c r="R340" s="29">
        <f t="shared" si="88"/>
        <v>15386.4</v>
      </c>
    </row>
    <row r="341" spans="2:18" hidden="1" outlineLevel="1">
      <c r="B341">
        <v>5</v>
      </c>
      <c r="C341" t="s">
        <v>93</v>
      </c>
      <c r="D341">
        <v>1997</v>
      </c>
      <c r="E341">
        <v>12</v>
      </c>
      <c r="F341">
        <v>0</v>
      </c>
      <c r="G341" t="s">
        <v>78</v>
      </c>
      <c r="H341" s="5" t="s">
        <v>9</v>
      </c>
      <c r="I341">
        <f t="shared" si="80"/>
        <v>2007</v>
      </c>
      <c r="J341" s="4">
        <f t="shared" si="81"/>
        <v>2008</v>
      </c>
      <c r="K341" s="29">
        <v>225.94</v>
      </c>
      <c r="L341" s="29">
        <f t="shared" si="82"/>
        <v>225.94</v>
      </c>
      <c r="M341" s="29">
        <f t="shared" si="83"/>
        <v>1.8828333333333334</v>
      </c>
      <c r="N341" s="29">
        <f t="shared" si="84"/>
        <v>22.594000000000001</v>
      </c>
      <c r="O341" s="29">
        <f t="shared" si="85"/>
        <v>22.594000000000001</v>
      </c>
      <c r="P341" s="29">
        <f t="shared" si="86"/>
        <v>0</v>
      </c>
      <c r="Q341" s="29">
        <f t="shared" si="87"/>
        <v>22.594000000000001</v>
      </c>
      <c r="R341" s="29">
        <f t="shared" si="88"/>
        <v>203.346</v>
      </c>
    </row>
    <row r="342" spans="2:18" hidden="1" outlineLevel="1">
      <c r="B342">
        <v>1</v>
      </c>
      <c r="C342" t="s">
        <v>232</v>
      </c>
      <c r="D342">
        <v>2002</v>
      </c>
      <c r="E342">
        <v>10</v>
      </c>
      <c r="F342">
        <v>0</v>
      </c>
      <c r="G342" t="s">
        <v>78</v>
      </c>
      <c r="H342" s="5" t="s">
        <v>9</v>
      </c>
      <c r="I342">
        <f t="shared" si="80"/>
        <v>2012</v>
      </c>
      <c r="J342" s="4">
        <f t="shared" si="81"/>
        <v>2012.8333333333333</v>
      </c>
      <c r="K342" s="29">
        <v>7279.2</v>
      </c>
      <c r="L342" s="29">
        <f t="shared" si="82"/>
        <v>7279.2</v>
      </c>
      <c r="M342" s="29">
        <f t="shared" si="83"/>
        <v>60.66</v>
      </c>
      <c r="N342" s="29">
        <f t="shared" si="84"/>
        <v>727.92</v>
      </c>
      <c r="O342" s="29">
        <f t="shared" si="85"/>
        <v>727.92</v>
      </c>
      <c r="P342" s="29">
        <f t="shared" si="86"/>
        <v>0</v>
      </c>
      <c r="Q342" s="29">
        <f t="shared" si="87"/>
        <v>727.92</v>
      </c>
      <c r="R342" s="29">
        <f t="shared" si="88"/>
        <v>6551.28</v>
      </c>
    </row>
    <row r="343" spans="2:18" hidden="1" outlineLevel="1">
      <c r="B343">
        <v>3</v>
      </c>
      <c r="C343" t="s">
        <v>172</v>
      </c>
      <c r="D343">
        <v>2003</v>
      </c>
      <c r="E343">
        <v>1</v>
      </c>
      <c r="F343">
        <v>0</v>
      </c>
      <c r="G343" t="s">
        <v>78</v>
      </c>
      <c r="H343" s="5" t="s">
        <v>9</v>
      </c>
      <c r="I343">
        <f t="shared" si="80"/>
        <v>2013</v>
      </c>
      <c r="J343" s="4">
        <f t="shared" si="81"/>
        <v>2013.0833333333333</v>
      </c>
      <c r="K343" s="29">
        <v>18648.32</v>
      </c>
      <c r="L343" s="29">
        <f t="shared" si="82"/>
        <v>18648.32</v>
      </c>
      <c r="M343" s="29">
        <f t="shared" si="83"/>
        <v>155.40266666666665</v>
      </c>
      <c r="N343" s="29">
        <f t="shared" si="84"/>
        <v>1864.8319999999999</v>
      </c>
      <c r="O343" s="29">
        <f t="shared" si="85"/>
        <v>1864.8319999999999</v>
      </c>
      <c r="P343" s="29">
        <f t="shared" si="86"/>
        <v>0</v>
      </c>
      <c r="Q343" s="29">
        <f t="shared" si="87"/>
        <v>1864.8319999999999</v>
      </c>
      <c r="R343" s="29">
        <f t="shared" si="88"/>
        <v>16783.488000000001</v>
      </c>
    </row>
    <row r="344" spans="2:18" hidden="1" outlineLevel="1">
      <c r="B344">
        <v>1</v>
      </c>
      <c r="C344" t="s">
        <v>172</v>
      </c>
      <c r="D344">
        <v>2003</v>
      </c>
      <c r="E344">
        <v>3</v>
      </c>
      <c r="F344">
        <v>0</v>
      </c>
      <c r="G344" t="s">
        <v>78</v>
      </c>
      <c r="H344" s="5" t="s">
        <v>9</v>
      </c>
      <c r="I344">
        <f t="shared" si="80"/>
        <v>2013</v>
      </c>
      <c r="J344" s="4">
        <f t="shared" si="81"/>
        <v>2013.25</v>
      </c>
      <c r="K344" s="29">
        <v>4662.08</v>
      </c>
      <c r="L344" s="29">
        <f t="shared" si="82"/>
        <v>4662.08</v>
      </c>
      <c r="M344" s="29">
        <f t="shared" si="83"/>
        <v>38.850666666666662</v>
      </c>
      <c r="N344" s="29">
        <f t="shared" si="84"/>
        <v>466.20799999999997</v>
      </c>
      <c r="O344" s="29">
        <f t="shared" si="85"/>
        <v>466.20799999999997</v>
      </c>
      <c r="P344" s="29">
        <f t="shared" si="86"/>
        <v>0</v>
      </c>
      <c r="Q344" s="29">
        <f t="shared" si="87"/>
        <v>466.20799999999997</v>
      </c>
      <c r="R344" s="29">
        <f t="shared" si="88"/>
        <v>4195.8720000000003</v>
      </c>
    </row>
    <row r="345" spans="2:18" hidden="1" outlineLevel="1">
      <c r="B345">
        <v>1</v>
      </c>
      <c r="C345" t="s">
        <v>172</v>
      </c>
      <c r="D345">
        <v>2003</v>
      </c>
      <c r="E345">
        <v>4</v>
      </c>
      <c r="F345">
        <v>0</v>
      </c>
      <c r="G345" t="s">
        <v>78</v>
      </c>
      <c r="H345" s="5" t="s">
        <v>9</v>
      </c>
      <c r="I345">
        <f t="shared" si="80"/>
        <v>2013</v>
      </c>
      <c r="J345" s="4">
        <f t="shared" si="81"/>
        <v>2013.3333333333333</v>
      </c>
      <c r="K345" s="29">
        <v>4662.08</v>
      </c>
      <c r="L345" s="29">
        <f t="shared" si="82"/>
        <v>4662.08</v>
      </c>
      <c r="M345" s="29">
        <f t="shared" si="83"/>
        <v>38.850666666666662</v>
      </c>
      <c r="N345" s="29">
        <f t="shared" si="84"/>
        <v>466.20799999999997</v>
      </c>
      <c r="O345" s="29">
        <f t="shared" si="85"/>
        <v>466.20799999999997</v>
      </c>
      <c r="P345" s="29">
        <f t="shared" si="86"/>
        <v>0</v>
      </c>
      <c r="Q345" s="29">
        <f t="shared" si="87"/>
        <v>466.20799999999997</v>
      </c>
      <c r="R345" s="29">
        <f t="shared" si="88"/>
        <v>4195.8720000000003</v>
      </c>
    </row>
    <row r="346" spans="2:18" hidden="1" outlineLevel="1">
      <c r="B346">
        <v>1</v>
      </c>
      <c r="C346" t="s">
        <v>172</v>
      </c>
      <c r="D346">
        <v>2003</v>
      </c>
      <c r="E346">
        <v>7</v>
      </c>
      <c r="F346">
        <v>0</v>
      </c>
      <c r="G346" t="s">
        <v>78</v>
      </c>
      <c r="H346" s="5" t="s">
        <v>9</v>
      </c>
      <c r="I346">
        <f t="shared" si="80"/>
        <v>2013</v>
      </c>
      <c r="J346" s="4">
        <f t="shared" si="81"/>
        <v>2013.5833333333333</v>
      </c>
      <c r="K346" s="29">
        <v>4659.8999999999996</v>
      </c>
      <c r="L346" s="29">
        <f t="shared" si="82"/>
        <v>4659.8999999999996</v>
      </c>
      <c r="M346" s="29">
        <f t="shared" si="83"/>
        <v>38.832499999999996</v>
      </c>
      <c r="N346" s="29">
        <f t="shared" si="84"/>
        <v>465.98999999999995</v>
      </c>
      <c r="O346" s="29">
        <f t="shared" si="85"/>
        <v>465.98999999999995</v>
      </c>
      <c r="P346" s="29">
        <f t="shared" si="86"/>
        <v>0</v>
      </c>
      <c r="Q346" s="29">
        <f t="shared" si="87"/>
        <v>465.98999999999995</v>
      </c>
      <c r="R346" s="29">
        <f t="shared" si="88"/>
        <v>4193.91</v>
      </c>
    </row>
    <row r="347" spans="2:18" hidden="1" outlineLevel="1">
      <c r="B347">
        <v>2</v>
      </c>
      <c r="C347" t="s">
        <v>171</v>
      </c>
      <c r="D347">
        <v>2003</v>
      </c>
      <c r="E347">
        <v>8</v>
      </c>
      <c r="F347">
        <v>0</v>
      </c>
      <c r="G347" t="s">
        <v>78</v>
      </c>
      <c r="H347" s="5" t="s">
        <v>9</v>
      </c>
      <c r="I347">
        <f t="shared" si="80"/>
        <v>2013</v>
      </c>
      <c r="J347" s="4">
        <f t="shared" si="81"/>
        <v>2013.6666666666667</v>
      </c>
      <c r="K347" s="29">
        <v>7501.76</v>
      </c>
      <c r="L347" s="29">
        <f t="shared" si="82"/>
        <v>7501.76</v>
      </c>
      <c r="M347" s="29">
        <f t="shared" si="83"/>
        <v>62.51466666666667</v>
      </c>
      <c r="N347" s="29">
        <f t="shared" si="84"/>
        <v>750.17600000000004</v>
      </c>
      <c r="O347" s="29">
        <f t="shared" si="85"/>
        <v>750.17600000000004</v>
      </c>
      <c r="P347" s="29">
        <f t="shared" si="86"/>
        <v>0</v>
      </c>
      <c r="Q347" s="29">
        <f t="shared" si="87"/>
        <v>750.17600000000004</v>
      </c>
      <c r="R347" s="29">
        <f t="shared" si="88"/>
        <v>6751.5839999999998</v>
      </c>
    </row>
    <row r="348" spans="2:18" hidden="1" outlineLevel="1">
      <c r="B348">
        <v>1</v>
      </c>
      <c r="C348" t="s">
        <v>171</v>
      </c>
      <c r="D348">
        <v>2003</v>
      </c>
      <c r="E348">
        <v>8</v>
      </c>
      <c r="F348">
        <v>0</v>
      </c>
      <c r="G348" t="s">
        <v>78</v>
      </c>
      <c r="H348" s="5" t="s">
        <v>9</v>
      </c>
      <c r="I348">
        <f t="shared" ref="I348:I375" si="89">D348+H348</f>
        <v>2013</v>
      </c>
      <c r="J348" s="4">
        <f t="shared" si="81"/>
        <v>2013.6666666666667</v>
      </c>
      <c r="K348" s="29">
        <v>4003.84</v>
      </c>
      <c r="L348" s="29">
        <f t="shared" si="82"/>
        <v>4003.84</v>
      </c>
      <c r="M348" s="29">
        <f t="shared" si="83"/>
        <v>33.365333333333332</v>
      </c>
      <c r="N348" s="29">
        <f t="shared" si="84"/>
        <v>400.38400000000001</v>
      </c>
      <c r="O348" s="29">
        <f t="shared" si="85"/>
        <v>400.38400000000001</v>
      </c>
      <c r="P348" s="29">
        <f t="shared" si="86"/>
        <v>0</v>
      </c>
      <c r="Q348" s="29">
        <f t="shared" si="87"/>
        <v>400.38400000000001</v>
      </c>
      <c r="R348" s="29">
        <f t="shared" si="88"/>
        <v>3603.4560000000001</v>
      </c>
    </row>
    <row r="349" spans="2:18" hidden="1" outlineLevel="1">
      <c r="B349">
        <v>1</v>
      </c>
      <c r="C349" t="s">
        <v>171</v>
      </c>
      <c r="D349">
        <v>2003</v>
      </c>
      <c r="E349">
        <v>9</v>
      </c>
      <c r="F349">
        <v>0</v>
      </c>
      <c r="G349" t="s">
        <v>78</v>
      </c>
      <c r="H349" s="5" t="s">
        <v>9</v>
      </c>
      <c r="I349">
        <f t="shared" si="89"/>
        <v>2013</v>
      </c>
      <c r="J349" s="4">
        <f t="shared" si="81"/>
        <v>2013.75</v>
      </c>
      <c r="K349" s="29">
        <v>4003.84</v>
      </c>
      <c r="L349" s="29">
        <f t="shared" si="82"/>
        <v>4003.84</v>
      </c>
      <c r="M349" s="29">
        <f t="shared" si="83"/>
        <v>33.365333333333332</v>
      </c>
      <c r="N349" s="29">
        <f t="shared" si="84"/>
        <v>400.38400000000001</v>
      </c>
      <c r="O349" s="29">
        <f t="shared" si="85"/>
        <v>400.38400000000001</v>
      </c>
      <c r="P349" s="29">
        <f t="shared" si="86"/>
        <v>0</v>
      </c>
      <c r="Q349" s="29">
        <f t="shared" si="87"/>
        <v>400.38400000000001</v>
      </c>
      <c r="R349" s="29">
        <f t="shared" si="88"/>
        <v>3603.4560000000001</v>
      </c>
    </row>
    <row r="350" spans="2:18" hidden="1" outlineLevel="1">
      <c r="B350">
        <v>2</v>
      </c>
      <c r="C350" t="s">
        <v>172</v>
      </c>
      <c r="D350">
        <v>2003</v>
      </c>
      <c r="E350">
        <v>9</v>
      </c>
      <c r="F350">
        <v>0</v>
      </c>
      <c r="G350" t="s">
        <v>78</v>
      </c>
      <c r="H350" s="5" t="s">
        <v>9</v>
      </c>
      <c r="I350">
        <f t="shared" si="89"/>
        <v>2013</v>
      </c>
      <c r="J350" s="4">
        <f t="shared" si="81"/>
        <v>2013.75</v>
      </c>
      <c r="K350" s="29">
        <v>9324.16</v>
      </c>
      <c r="L350" s="29">
        <f t="shared" si="82"/>
        <v>9324.16</v>
      </c>
      <c r="M350" s="29">
        <f t="shared" si="83"/>
        <v>77.701333333333324</v>
      </c>
      <c r="N350" s="29">
        <f t="shared" si="84"/>
        <v>932.41599999999994</v>
      </c>
      <c r="O350" s="29">
        <f t="shared" si="85"/>
        <v>932.41599999999994</v>
      </c>
      <c r="P350" s="29">
        <f t="shared" si="86"/>
        <v>0</v>
      </c>
      <c r="Q350" s="29">
        <f t="shared" si="87"/>
        <v>932.41599999999994</v>
      </c>
      <c r="R350" s="29">
        <f t="shared" si="88"/>
        <v>8391.7440000000006</v>
      </c>
    </row>
    <row r="351" spans="2:18" hidden="1" outlineLevel="1">
      <c r="B351">
        <v>4</v>
      </c>
      <c r="C351" t="s">
        <v>196</v>
      </c>
      <c r="D351">
        <v>2003</v>
      </c>
      <c r="E351">
        <v>11</v>
      </c>
      <c r="F351">
        <v>0</v>
      </c>
      <c r="G351" t="s">
        <v>78</v>
      </c>
      <c r="H351" s="5" t="s">
        <v>9</v>
      </c>
      <c r="I351">
        <f t="shared" si="89"/>
        <v>2013</v>
      </c>
      <c r="J351" s="4">
        <f t="shared" si="81"/>
        <v>2013.9166666666667</v>
      </c>
      <c r="K351" s="29">
        <v>10928.2</v>
      </c>
      <c r="L351" s="29">
        <f t="shared" si="82"/>
        <v>10928.2</v>
      </c>
      <c r="M351" s="29">
        <f t="shared" si="83"/>
        <v>91.068333333333342</v>
      </c>
      <c r="N351" s="29">
        <f t="shared" si="84"/>
        <v>1092.8200000000002</v>
      </c>
      <c r="O351" s="29">
        <f t="shared" si="85"/>
        <v>1092.8200000000002</v>
      </c>
      <c r="P351" s="29">
        <f t="shared" si="86"/>
        <v>0</v>
      </c>
      <c r="Q351" s="29">
        <f t="shared" si="87"/>
        <v>1092.8200000000002</v>
      </c>
      <c r="R351" s="29">
        <f t="shared" si="88"/>
        <v>9835.380000000001</v>
      </c>
    </row>
    <row r="352" spans="2:18" hidden="1" outlineLevel="1">
      <c r="B352">
        <v>4</v>
      </c>
      <c r="C352" t="s">
        <v>171</v>
      </c>
      <c r="D352">
        <v>2004</v>
      </c>
      <c r="E352">
        <v>2</v>
      </c>
      <c r="F352">
        <v>0</v>
      </c>
      <c r="G352" t="s">
        <v>78</v>
      </c>
      <c r="H352" s="5" t="s">
        <v>9</v>
      </c>
      <c r="I352">
        <f t="shared" si="89"/>
        <v>2014</v>
      </c>
      <c r="J352" s="4">
        <f t="shared" si="81"/>
        <v>2014.1666666666667</v>
      </c>
      <c r="K352" s="29">
        <v>17538.560000000001</v>
      </c>
      <c r="L352" s="29">
        <f t="shared" si="82"/>
        <v>17538.560000000001</v>
      </c>
      <c r="M352" s="29">
        <f t="shared" si="83"/>
        <v>146.15466666666669</v>
      </c>
      <c r="N352" s="29">
        <f t="shared" si="84"/>
        <v>1753.8560000000002</v>
      </c>
      <c r="O352" s="29">
        <f t="shared" si="85"/>
        <v>1753.8560000000002</v>
      </c>
      <c r="P352" s="29">
        <f t="shared" si="86"/>
        <v>0</v>
      </c>
      <c r="Q352" s="29">
        <f t="shared" si="87"/>
        <v>1753.8560000000002</v>
      </c>
      <c r="R352" s="29">
        <f t="shared" si="88"/>
        <v>15784.704000000002</v>
      </c>
    </row>
    <row r="353" spans="1:18" hidden="1" outlineLevel="1">
      <c r="B353">
        <v>2</v>
      </c>
      <c r="C353" t="s">
        <v>171</v>
      </c>
      <c r="D353">
        <v>2004</v>
      </c>
      <c r="E353">
        <v>3</v>
      </c>
      <c r="F353">
        <v>0</v>
      </c>
      <c r="G353" t="s">
        <v>78</v>
      </c>
      <c r="H353" s="5" t="s">
        <v>9</v>
      </c>
      <c r="I353">
        <f t="shared" si="89"/>
        <v>2014</v>
      </c>
      <c r="J353" s="4">
        <f t="shared" si="81"/>
        <v>2014.25</v>
      </c>
      <c r="K353" s="29">
        <v>8769.2800000000007</v>
      </c>
      <c r="L353" s="29">
        <f t="shared" si="82"/>
        <v>8769.2800000000007</v>
      </c>
      <c r="M353" s="29">
        <f t="shared" si="83"/>
        <v>73.077333333333343</v>
      </c>
      <c r="N353" s="29">
        <f t="shared" si="84"/>
        <v>876.92800000000011</v>
      </c>
      <c r="O353" s="29">
        <f t="shared" si="85"/>
        <v>876.92800000000011</v>
      </c>
      <c r="P353" s="29">
        <f t="shared" si="86"/>
        <v>0</v>
      </c>
      <c r="Q353" s="29">
        <f t="shared" si="87"/>
        <v>876.92800000000011</v>
      </c>
      <c r="R353" s="29">
        <f t="shared" si="88"/>
        <v>7892.3520000000008</v>
      </c>
    </row>
    <row r="354" spans="1:18" hidden="1" outlineLevel="1">
      <c r="B354">
        <v>3</v>
      </c>
      <c r="C354" t="s">
        <v>172</v>
      </c>
      <c r="D354">
        <v>2004</v>
      </c>
      <c r="E354">
        <v>3</v>
      </c>
      <c r="F354">
        <v>0</v>
      </c>
      <c r="G354" t="s">
        <v>78</v>
      </c>
      <c r="H354" s="5" t="s">
        <v>9</v>
      </c>
      <c r="I354">
        <f t="shared" si="89"/>
        <v>2014</v>
      </c>
      <c r="J354" s="4">
        <f t="shared" si="81"/>
        <v>2014.25</v>
      </c>
      <c r="K354" s="29">
        <v>15063.36</v>
      </c>
      <c r="L354" s="29">
        <f t="shared" si="82"/>
        <v>15063.36</v>
      </c>
      <c r="M354" s="29">
        <f t="shared" si="83"/>
        <v>125.52800000000001</v>
      </c>
      <c r="N354" s="29">
        <f t="shared" si="84"/>
        <v>1506.336</v>
      </c>
      <c r="O354" s="29">
        <f t="shared" si="85"/>
        <v>1506.336</v>
      </c>
      <c r="P354" s="29">
        <f t="shared" si="86"/>
        <v>0</v>
      </c>
      <c r="Q354" s="29">
        <f t="shared" si="87"/>
        <v>1506.336</v>
      </c>
      <c r="R354" s="29">
        <f t="shared" si="88"/>
        <v>13557.024000000001</v>
      </c>
    </row>
    <row r="355" spans="1:18" hidden="1" outlineLevel="1">
      <c r="B355">
        <v>3</v>
      </c>
      <c r="C355" t="s">
        <v>172</v>
      </c>
      <c r="D355">
        <v>2004</v>
      </c>
      <c r="E355">
        <v>3</v>
      </c>
      <c r="F355">
        <v>0</v>
      </c>
      <c r="G355" t="s">
        <v>78</v>
      </c>
      <c r="H355" s="5" t="s">
        <v>9</v>
      </c>
      <c r="I355">
        <f t="shared" si="89"/>
        <v>2014</v>
      </c>
      <c r="J355" s="4">
        <f t="shared" si="81"/>
        <v>2014.25</v>
      </c>
      <c r="K355" s="29">
        <v>16271.04</v>
      </c>
      <c r="L355" s="29">
        <f t="shared" si="82"/>
        <v>16271.04</v>
      </c>
      <c r="M355" s="29">
        <f t="shared" si="83"/>
        <v>135.59200000000001</v>
      </c>
      <c r="N355" s="29">
        <f t="shared" si="84"/>
        <v>1627.1040000000003</v>
      </c>
      <c r="O355" s="29">
        <f t="shared" si="85"/>
        <v>1627.1040000000003</v>
      </c>
      <c r="P355" s="29">
        <f t="shared" si="86"/>
        <v>0</v>
      </c>
      <c r="Q355" s="29">
        <f t="shared" si="87"/>
        <v>1627.1040000000003</v>
      </c>
      <c r="R355" s="29">
        <f t="shared" si="88"/>
        <v>14643.936000000002</v>
      </c>
    </row>
    <row r="356" spans="1:18" hidden="1" outlineLevel="1">
      <c r="B356">
        <v>4</v>
      </c>
      <c r="C356" t="s">
        <v>171</v>
      </c>
      <c r="D356">
        <v>2004</v>
      </c>
      <c r="E356">
        <v>4</v>
      </c>
      <c r="F356">
        <v>0</v>
      </c>
      <c r="G356" t="s">
        <v>78</v>
      </c>
      <c r="H356" s="5" t="s">
        <v>9</v>
      </c>
      <c r="I356">
        <f t="shared" si="89"/>
        <v>2014</v>
      </c>
      <c r="J356" s="4">
        <f t="shared" si="81"/>
        <v>2014.3333333333333</v>
      </c>
      <c r="K356" s="29">
        <v>20389.12</v>
      </c>
      <c r="L356" s="29">
        <f t="shared" si="82"/>
        <v>20389.12</v>
      </c>
      <c r="M356" s="29">
        <f t="shared" si="83"/>
        <v>169.90933333333331</v>
      </c>
      <c r="N356" s="29">
        <f t="shared" si="84"/>
        <v>2038.9119999999998</v>
      </c>
      <c r="O356" s="29">
        <f t="shared" si="85"/>
        <v>2038.9119999999998</v>
      </c>
      <c r="P356" s="29">
        <f t="shared" si="86"/>
        <v>0</v>
      </c>
      <c r="Q356" s="29">
        <f t="shared" si="87"/>
        <v>2038.9119999999998</v>
      </c>
      <c r="R356" s="29">
        <f t="shared" si="88"/>
        <v>18350.207999999999</v>
      </c>
    </row>
    <row r="357" spans="1:18" hidden="1" outlineLevel="1">
      <c r="B357">
        <v>3</v>
      </c>
      <c r="C357" t="s">
        <v>171</v>
      </c>
      <c r="D357">
        <v>2004</v>
      </c>
      <c r="E357">
        <v>5</v>
      </c>
      <c r="F357">
        <v>0</v>
      </c>
      <c r="G357" t="s">
        <v>78</v>
      </c>
      <c r="H357" s="5" t="s">
        <v>9</v>
      </c>
      <c r="I357">
        <f t="shared" si="89"/>
        <v>2014</v>
      </c>
      <c r="J357" s="4">
        <f t="shared" si="81"/>
        <v>2014.4166666666667</v>
      </c>
      <c r="K357" s="29">
        <v>15993.6</v>
      </c>
      <c r="L357" s="29">
        <f t="shared" si="82"/>
        <v>15993.6</v>
      </c>
      <c r="M357" s="29">
        <f t="shared" si="83"/>
        <v>133.28</v>
      </c>
      <c r="N357" s="29">
        <f t="shared" si="84"/>
        <v>1599.3600000000001</v>
      </c>
      <c r="O357" s="29">
        <f t="shared" si="85"/>
        <v>1599.3600000000001</v>
      </c>
      <c r="P357" s="29">
        <f t="shared" si="86"/>
        <v>0</v>
      </c>
      <c r="Q357" s="29">
        <f t="shared" si="87"/>
        <v>1599.3600000000001</v>
      </c>
      <c r="R357" s="29">
        <f t="shared" si="88"/>
        <v>14394.24</v>
      </c>
    </row>
    <row r="358" spans="1:18" hidden="1" outlineLevel="1">
      <c r="B358">
        <v>2</v>
      </c>
      <c r="C358" t="s">
        <v>171</v>
      </c>
      <c r="D358">
        <v>2004</v>
      </c>
      <c r="E358">
        <v>5</v>
      </c>
      <c r="F358">
        <v>0</v>
      </c>
      <c r="G358" t="s">
        <v>78</v>
      </c>
      <c r="H358" s="5" t="s">
        <v>9</v>
      </c>
      <c r="I358">
        <f t="shared" si="89"/>
        <v>2014</v>
      </c>
      <c r="J358" s="4">
        <f t="shared" si="81"/>
        <v>2014.4166666666667</v>
      </c>
      <c r="K358" s="29">
        <v>11097.6</v>
      </c>
      <c r="L358" s="29">
        <f t="shared" si="82"/>
        <v>11097.6</v>
      </c>
      <c r="M358" s="29">
        <f t="shared" si="83"/>
        <v>92.48</v>
      </c>
      <c r="N358" s="29">
        <f t="shared" si="84"/>
        <v>1109.76</v>
      </c>
      <c r="O358" s="29">
        <f t="shared" si="85"/>
        <v>1109.76</v>
      </c>
      <c r="P358" s="29">
        <f t="shared" si="86"/>
        <v>0</v>
      </c>
      <c r="Q358" s="29">
        <f t="shared" si="87"/>
        <v>1109.76</v>
      </c>
      <c r="R358" s="29">
        <f t="shared" si="88"/>
        <v>9987.84</v>
      </c>
    </row>
    <row r="359" spans="1:18" hidden="1" outlineLevel="1">
      <c r="A359" s="45">
        <v>237934</v>
      </c>
      <c r="B359">
        <v>2</v>
      </c>
      <c r="C359" s="47" t="s">
        <v>855</v>
      </c>
      <c r="D359">
        <v>2004</v>
      </c>
      <c r="E359">
        <v>6</v>
      </c>
      <c r="F359">
        <v>0</v>
      </c>
      <c r="G359" s="47" t="s">
        <v>78</v>
      </c>
      <c r="H359" s="5">
        <v>12</v>
      </c>
      <c r="I359">
        <f>D359+H359</f>
        <v>2016</v>
      </c>
      <c r="J359" s="4">
        <f>+I359+(E359/12)</f>
        <v>2016.5</v>
      </c>
      <c r="K359" s="29">
        <v>9062.24</v>
      </c>
      <c r="L359" s="29">
        <f>K359-K359*F359</f>
        <v>9062.24</v>
      </c>
      <c r="M359" s="29">
        <f>L359/H359/12</f>
        <v>62.932222222222215</v>
      </c>
      <c r="N359" s="29">
        <f>+M359*12</f>
        <v>755.18666666666661</v>
      </c>
      <c r="O359" s="29">
        <f>+IF(J359&lt;=$L$5,0,IF(I359&gt;$L$4,N359,(M359*E359)))</f>
        <v>755.18666666666661</v>
      </c>
      <c r="P359" s="29">
        <f>+IF(O359=0,L359,IF($L$3-D359&lt;1,0,(($L$3-D359)*O359)))</f>
        <v>0</v>
      </c>
      <c r="Q359" s="29">
        <f>+IF(O359=0,P359,P359+O359)</f>
        <v>755.18666666666661</v>
      </c>
      <c r="R359" s="29">
        <f>+K359-Q359</f>
        <v>8307.0533333333333</v>
      </c>
    </row>
    <row r="360" spans="1:18" hidden="1" outlineLevel="1">
      <c r="B360">
        <v>2</v>
      </c>
      <c r="C360" t="s">
        <v>171</v>
      </c>
      <c r="D360">
        <v>2004</v>
      </c>
      <c r="E360">
        <v>12</v>
      </c>
      <c r="F360">
        <v>0</v>
      </c>
      <c r="G360" t="s">
        <v>78</v>
      </c>
      <c r="H360" s="5" t="s">
        <v>9</v>
      </c>
      <c r="I360">
        <f t="shared" si="89"/>
        <v>2014</v>
      </c>
      <c r="J360" s="4">
        <f t="shared" si="81"/>
        <v>2015</v>
      </c>
      <c r="K360" s="29">
        <v>11696</v>
      </c>
      <c r="L360" s="29">
        <f t="shared" si="82"/>
        <v>11696</v>
      </c>
      <c r="M360" s="29">
        <f t="shared" si="83"/>
        <v>97.466666666666654</v>
      </c>
      <c r="N360" s="29">
        <f t="shared" si="84"/>
        <v>1169.5999999999999</v>
      </c>
      <c r="O360" s="29">
        <f t="shared" si="85"/>
        <v>1169.5999999999999</v>
      </c>
      <c r="P360" s="29">
        <f t="shared" si="86"/>
        <v>0</v>
      </c>
      <c r="Q360" s="29">
        <f t="shared" si="87"/>
        <v>1169.5999999999999</v>
      </c>
      <c r="R360" s="29">
        <f t="shared" si="88"/>
        <v>10526.4</v>
      </c>
    </row>
    <row r="361" spans="1:18" hidden="1" outlineLevel="1">
      <c r="B361">
        <v>3</v>
      </c>
      <c r="C361" t="s">
        <v>171</v>
      </c>
      <c r="D361">
        <v>2005</v>
      </c>
      <c r="E361">
        <v>3</v>
      </c>
      <c r="F361">
        <v>0</v>
      </c>
      <c r="G361" t="s">
        <v>78</v>
      </c>
      <c r="H361" s="5" t="s">
        <v>9</v>
      </c>
      <c r="I361">
        <f t="shared" si="89"/>
        <v>2015</v>
      </c>
      <c r="J361" s="4">
        <f t="shared" si="81"/>
        <v>2015.25</v>
      </c>
      <c r="K361" s="29">
        <v>16287.36</v>
      </c>
      <c r="L361" s="29">
        <f t="shared" si="82"/>
        <v>16287.36</v>
      </c>
      <c r="M361" s="29">
        <f t="shared" si="83"/>
        <v>135.72800000000001</v>
      </c>
      <c r="N361" s="29">
        <f t="shared" si="84"/>
        <v>1628.7360000000001</v>
      </c>
      <c r="O361" s="29">
        <f t="shared" si="85"/>
        <v>1628.7360000000001</v>
      </c>
      <c r="P361" s="29">
        <f t="shared" si="86"/>
        <v>0</v>
      </c>
      <c r="Q361" s="29">
        <f t="shared" si="87"/>
        <v>1628.7360000000001</v>
      </c>
      <c r="R361" s="29">
        <f t="shared" si="88"/>
        <v>14658.624</v>
      </c>
    </row>
    <row r="362" spans="1:18" hidden="1" outlineLevel="1">
      <c r="B362">
        <v>3</v>
      </c>
      <c r="C362" t="s">
        <v>171</v>
      </c>
      <c r="D362">
        <v>2005</v>
      </c>
      <c r="E362">
        <v>3</v>
      </c>
      <c r="F362">
        <v>0</v>
      </c>
      <c r="G362" t="s">
        <v>78</v>
      </c>
      <c r="H362" s="5" t="s">
        <v>9</v>
      </c>
      <c r="I362">
        <f t="shared" si="89"/>
        <v>2015</v>
      </c>
      <c r="J362" s="4">
        <f t="shared" si="81"/>
        <v>2015.25</v>
      </c>
      <c r="K362" s="29">
        <v>16287.36</v>
      </c>
      <c r="L362" s="29">
        <f t="shared" si="82"/>
        <v>16287.36</v>
      </c>
      <c r="M362" s="29">
        <f t="shared" si="83"/>
        <v>135.72800000000001</v>
      </c>
      <c r="N362" s="29">
        <f t="shared" si="84"/>
        <v>1628.7360000000001</v>
      </c>
      <c r="O362" s="29">
        <f t="shared" si="85"/>
        <v>1628.7360000000001</v>
      </c>
      <c r="P362" s="29">
        <f t="shared" si="86"/>
        <v>0</v>
      </c>
      <c r="Q362" s="29">
        <f t="shared" si="87"/>
        <v>1628.7360000000001</v>
      </c>
      <c r="R362" s="29">
        <f t="shared" si="88"/>
        <v>14658.624</v>
      </c>
    </row>
    <row r="363" spans="1:18" hidden="1" outlineLevel="1">
      <c r="B363">
        <v>1</v>
      </c>
      <c r="C363" t="s">
        <v>197</v>
      </c>
      <c r="D363">
        <v>2005</v>
      </c>
      <c r="E363">
        <v>4</v>
      </c>
      <c r="F363">
        <v>0</v>
      </c>
      <c r="G363" t="s">
        <v>78</v>
      </c>
      <c r="H363" s="5" t="s">
        <v>9</v>
      </c>
      <c r="I363">
        <f t="shared" si="89"/>
        <v>2015</v>
      </c>
      <c r="J363" s="4">
        <f t="shared" si="81"/>
        <v>2015.3333333333333</v>
      </c>
      <c r="K363" s="29">
        <v>4841.6000000000004</v>
      </c>
      <c r="L363" s="29">
        <f t="shared" si="82"/>
        <v>4841.6000000000004</v>
      </c>
      <c r="M363" s="29">
        <f t="shared" si="83"/>
        <v>40.346666666666671</v>
      </c>
      <c r="N363" s="29">
        <f t="shared" si="84"/>
        <v>484.16000000000008</v>
      </c>
      <c r="O363" s="29">
        <f t="shared" si="85"/>
        <v>484.16000000000008</v>
      </c>
      <c r="P363" s="29">
        <f t="shared" si="86"/>
        <v>0</v>
      </c>
      <c r="Q363" s="29">
        <f t="shared" si="87"/>
        <v>484.16000000000008</v>
      </c>
      <c r="R363" s="29">
        <f t="shared" si="88"/>
        <v>4357.4400000000005</v>
      </c>
    </row>
    <row r="364" spans="1:18" hidden="1" outlineLevel="1">
      <c r="B364">
        <v>11</v>
      </c>
      <c r="C364" t="s">
        <v>171</v>
      </c>
      <c r="D364">
        <v>2005</v>
      </c>
      <c r="E364">
        <v>4</v>
      </c>
      <c r="F364">
        <v>0</v>
      </c>
      <c r="G364" t="s">
        <v>78</v>
      </c>
      <c r="H364" s="5" t="s">
        <v>9</v>
      </c>
      <c r="I364">
        <f t="shared" si="89"/>
        <v>2015</v>
      </c>
      <c r="J364" s="4">
        <f t="shared" si="81"/>
        <v>2015.3333333333333</v>
      </c>
      <c r="K364" s="29">
        <v>54487.040000000001</v>
      </c>
      <c r="L364" s="29">
        <f t="shared" si="82"/>
        <v>54487.040000000001</v>
      </c>
      <c r="M364" s="29">
        <f t="shared" si="83"/>
        <v>454.05866666666662</v>
      </c>
      <c r="N364" s="29">
        <f t="shared" si="84"/>
        <v>5448.7039999999997</v>
      </c>
      <c r="O364" s="29">
        <f t="shared" si="85"/>
        <v>5448.7039999999997</v>
      </c>
      <c r="P364" s="29">
        <f t="shared" si="86"/>
        <v>0</v>
      </c>
      <c r="Q364" s="29">
        <f t="shared" si="87"/>
        <v>5448.7039999999997</v>
      </c>
      <c r="R364" s="29">
        <f t="shared" si="88"/>
        <v>49038.336000000003</v>
      </c>
    </row>
    <row r="365" spans="1:18" hidden="1" outlineLevel="1">
      <c r="B365">
        <v>4</v>
      </c>
      <c r="C365" t="s">
        <v>171</v>
      </c>
      <c r="D365">
        <v>2005</v>
      </c>
      <c r="E365">
        <v>4</v>
      </c>
      <c r="F365">
        <v>0</v>
      </c>
      <c r="G365" t="s">
        <v>78</v>
      </c>
      <c r="H365" s="5" t="s">
        <v>9</v>
      </c>
      <c r="I365">
        <f t="shared" si="89"/>
        <v>2015</v>
      </c>
      <c r="J365" s="4">
        <f t="shared" si="81"/>
        <v>2015.3333333333333</v>
      </c>
      <c r="K365" s="29">
        <v>17560.32</v>
      </c>
      <c r="L365" s="29">
        <f t="shared" si="82"/>
        <v>17560.32</v>
      </c>
      <c r="M365" s="29">
        <f t="shared" si="83"/>
        <v>146.33599999999998</v>
      </c>
      <c r="N365" s="29">
        <f t="shared" si="84"/>
        <v>1756.0319999999997</v>
      </c>
      <c r="O365" s="29">
        <f t="shared" si="85"/>
        <v>1756.0319999999997</v>
      </c>
      <c r="P365" s="29">
        <f t="shared" si="86"/>
        <v>0</v>
      </c>
      <c r="Q365" s="29">
        <f t="shared" si="87"/>
        <v>1756.0319999999997</v>
      </c>
      <c r="R365" s="29">
        <f t="shared" si="88"/>
        <v>15804.288</v>
      </c>
    </row>
    <row r="366" spans="1:18" hidden="1" outlineLevel="1">
      <c r="B366">
        <v>4</v>
      </c>
      <c r="C366" t="s">
        <v>171</v>
      </c>
      <c r="D366">
        <v>2005</v>
      </c>
      <c r="E366">
        <v>5</v>
      </c>
      <c r="F366">
        <v>0</v>
      </c>
      <c r="G366" t="s">
        <v>78</v>
      </c>
      <c r="H366" s="5" t="s">
        <v>9</v>
      </c>
      <c r="I366">
        <f t="shared" si="89"/>
        <v>2015</v>
      </c>
      <c r="J366" s="4">
        <f t="shared" si="81"/>
        <v>2015.4166666666667</v>
      </c>
      <c r="K366" s="29">
        <v>17560.32</v>
      </c>
      <c r="L366" s="29">
        <f t="shared" si="82"/>
        <v>17560.32</v>
      </c>
      <c r="M366" s="29">
        <f t="shared" si="83"/>
        <v>146.33599999999998</v>
      </c>
      <c r="N366" s="29">
        <f t="shared" si="84"/>
        <v>1756.0319999999997</v>
      </c>
      <c r="O366" s="29">
        <f t="shared" si="85"/>
        <v>1756.0319999999997</v>
      </c>
      <c r="P366" s="29">
        <f t="shared" si="86"/>
        <v>0</v>
      </c>
      <c r="Q366" s="29">
        <f t="shared" si="87"/>
        <v>1756.0319999999997</v>
      </c>
      <c r="R366" s="29">
        <f t="shared" si="88"/>
        <v>15804.288</v>
      </c>
    </row>
    <row r="367" spans="1:18" hidden="1" outlineLevel="1">
      <c r="B367">
        <v>4</v>
      </c>
      <c r="C367" t="s">
        <v>172</v>
      </c>
      <c r="D367">
        <v>2005</v>
      </c>
      <c r="E367">
        <v>6</v>
      </c>
      <c r="F367">
        <v>0</v>
      </c>
      <c r="G367" t="s">
        <v>78</v>
      </c>
      <c r="H367" s="5" t="s">
        <v>9</v>
      </c>
      <c r="I367">
        <f t="shared" si="89"/>
        <v>2015</v>
      </c>
      <c r="J367" s="4">
        <f t="shared" si="81"/>
        <v>2015.5</v>
      </c>
      <c r="K367" s="29">
        <v>19045.439999999999</v>
      </c>
      <c r="L367" s="29">
        <f t="shared" si="82"/>
        <v>19045.439999999999</v>
      </c>
      <c r="M367" s="29">
        <f t="shared" si="83"/>
        <v>158.71199999999999</v>
      </c>
      <c r="N367" s="29">
        <f t="shared" si="84"/>
        <v>1904.5439999999999</v>
      </c>
      <c r="O367" s="29">
        <f t="shared" si="85"/>
        <v>1904.5439999999999</v>
      </c>
      <c r="P367" s="29">
        <f t="shared" si="86"/>
        <v>0</v>
      </c>
      <c r="Q367" s="29">
        <f t="shared" si="87"/>
        <v>1904.5439999999999</v>
      </c>
      <c r="R367" s="29">
        <f t="shared" si="88"/>
        <v>17140.896000000001</v>
      </c>
    </row>
    <row r="368" spans="1:18" hidden="1" outlineLevel="1">
      <c r="B368">
        <v>9</v>
      </c>
      <c r="C368" t="s">
        <v>171</v>
      </c>
      <c r="D368">
        <v>2006</v>
      </c>
      <c r="E368">
        <v>3</v>
      </c>
      <c r="F368">
        <v>0</v>
      </c>
      <c r="G368" t="s">
        <v>78</v>
      </c>
      <c r="H368" s="5" t="s">
        <v>9</v>
      </c>
      <c r="I368">
        <f t="shared" si="89"/>
        <v>2016</v>
      </c>
      <c r="J368" s="4">
        <f t="shared" si="81"/>
        <v>2016.25</v>
      </c>
      <c r="K368" s="29">
        <v>40974.080000000002</v>
      </c>
      <c r="L368" s="29">
        <f t="shared" si="82"/>
        <v>40974.080000000002</v>
      </c>
      <c r="M368" s="29">
        <f t="shared" si="83"/>
        <v>341.45066666666668</v>
      </c>
      <c r="N368" s="29">
        <f t="shared" si="84"/>
        <v>4097.4080000000004</v>
      </c>
      <c r="O368" s="29">
        <f t="shared" si="85"/>
        <v>4097.4080000000004</v>
      </c>
      <c r="P368" s="29">
        <f t="shared" si="86"/>
        <v>0</v>
      </c>
      <c r="Q368" s="29">
        <f t="shared" si="87"/>
        <v>4097.4080000000004</v>
      </c>
      <c r="R368" s="29">
        <f t="shared" si="88"/>
        <v>36876.671999999999</v>
      </c>
    </row>
    <row r="369" spans="1:18" hidden="1" outlineLevel="1">
      <c r="B369">
        <v>4</v>
      </c>
      <c r="C369" t="s">
        <v>171</v>
      </c>
      <c r="D369">
        <v>2006</v>
      </c>
      <c r="E369">
        <v>3</v>
      </c>
      <c r="F369">
        <v>0</v>
      </c>
      <c r="G369" t="s">
        <v>78</v>
      </c>
      <c r="H369" s="5" t="s">
        <v>9</v>
      </c>
      <c r="I369">
        <f t="shared" si="89"/>
        <v>2016</v>
      </c>
      <c r="J369" s="4">
        <f t="shared" si="81"/>
        <v>2016.25</v>
      </c>
      <c r="K369" s="29">
        <v>17560.32</v>
      </c>
      <c r="L369" s="29">
        <f t="shared" si="82"/>
        <v>17560.32</v>
      </c>
      <c r="M369" s="29">
        <f t="shared" si="83"/>
        <v>146.33599999999998</v>
      </c>
      <c r="N369" s="29">
        <f t="shared" si="84"/>
        <v>1756.0319999999997</v>
      </c>
      <c r="O369" s="29">
        <f t="shared" si="85"/>
        <v>1756.0319999999997</v>
      </c>
      <c r="P369" s="29">
        <f t="shared" si="86"/>
        <v>0</v>
      </c>
      <c r="Q369" s="29">
        <f t="shared" si="87"/>
        <v>1756.0319999999997</v>
      </c>
      <c r="R369" s="29">
        <f t="shared" si="88"/>
        <v>15804.288</v>
      </c>
    </row>
    <row r="370" spans="1:18" hidden="1" outlineLevel="1">
      <c r="B370">
        <v>10</v>
      </c>
      <c r="C370" t="s">
        <v>172</v>
      </c>
      <c r="D370">
        <v>2006</v>
      </c>
      <c r="E370">
        <v>3</v>
      </c>
      <c r="F370">
        <v>0</v>
      </c>
      <c r="G370" t="s">
        <v>78</v>
      </c>
      <c r="H370" s="5" t="s">
        <v>9</v>
      </c>
      <c r="I370">
        <f t="shared" si="89"/>
        <v>2016</v>
      </c>
      <c r="J370" s="4">
        <f t="shared" si="81"/>
        <v>2016.25</v>
      </c>
      <c r="K370" s="29">
        <v>52119.56</v>
      </c>
      <c r="L370" s="29">
        <f t="shared" si="82"/>
        <v>52119.56</v>
      </c>
      <c r="M370" s="29">
        <f t="shared" si="83"/>
        <v>434.3296666666667</v>
      </c>
      <c r="N370" s="29">
        <f t="shared" si="84"/>
        <v>5211.9560000000001</v>
      </c>
      <c r="O370" s="29">
        <f t="shared" si="85"/>
        <v>5211.9560000000001</v>
      </c>
      <c r="P370" s="29">
        <f t="shared" si="86"/>
        <v>0</v>
      </c>
      <c r="Q370" s="29">
        <f t="shared" si="87"/>
        <v>5211.9560000000001</v>
      </c>
      <c r="R370" s="29">
        <f t="shared" si="88"/>
        <v>46907.603999999999</v>
      </c>
    </row>
    <row r="371" spans="1:18" hidden="1" outlineLevel="1">
      <c r="B371">
        <v>6</v>
      </c>
      <c r="C371" t="s">
        <v>170</v>
      </c>
      <c r="D371">
        <v>2006</v>
      </c>
      <c r="E371">
        <v>7</v>
      </c>
      <c r="F371">
        <v>0</v>
      </c>
      <c r="G371" t="s">
        <v>78</v>
      </c>
      <c r="H371" s="5" t="s">
        <v>9</v>
      </c>
      <c r="I371">
        <f t="shared" si="89"/>
        <v>2016</v>
      </c>
      <c r="J371" s="4">
        <f t="shared" si="81"/>
        <v>2016.5833333333333</v>
      </c>
      <c r="K371" s="29">
        <v>24898.880000000001</v>
      </c>
      <c r="L371" s="29">
        <f t="shared" si="82"/>
        <v>24898.880000000001</v>
      </c>
      <c r="M371" s="29">
        <f t="shared" si="83"/>
        <v>207.49066666666667</v>
      </c>
      <c r="N371" s="29">
        <f t="shared" si="84"/>
        <v>2489.8879999999999</v>
      </c>
      <c r="O371" s="29">
        <f t="shared" si="85"/>
        <v>2489.8879999999999</v>
      </c>
      <c r="P371" s="29">
        <f t="shared" si="86"/>
        <v>0</v>
      </c>
      <c r="Q371" s="29">
        <f t="shared" si="87"/>
        <v>2489.8879999999999</v>
      </c>
      <c r="R371" s="29">
        <f t="shared" si="88"/>
        <v>22408.992000000002</v>
      </c>
    </row>
    <row r="372" spans="1:18" hidden="1" outlineLevel="1">
      <c r="B372">
        <v>4</v>
      </c>
      <c r="C372" t="s">
        <v>171</v>
      </c>
      <c r="D372">
        <v>2006</v>
      </c>
      <c r="E372">
        <v>8</v>
      </c>
      <c r="F372">
        <v>0</v>
      </c>
      <c r="G372" t="s">
        <v>78</v>
      </c>
      <c r="H372" s="5" t="s">
        <v>9</v>
      </c>
      <c r="I372">
        <f t="shared" si="89"/>
        <v>2016</v>
      </c>
      <c r="J372" s="4">
        <f t="shared" si="81"/>
        <v>2016.6666666666667</v>
      </c>
      <c r="K372" s="29">
        <v>17560.32</v>
      </c>
      <c r="L372" s="29">
        <f t="shared" si="82"/>
        <v>17560.32</v>
      </c>
      <c r="M372" s="29">
        <f t="shared" si="83"/>
        <v>146.33599999999998</v>
      </c>
      <c r="N372" s="29">
        <f t="shared" si="84"/>
        <v>1756.0319999999997</v>
      </c>
      <c r="O372" s="29">
        <f t="shared" si="85"/>
        <v>1756.0319999999997</v>
      </c>
      <c r="P372" s="29">
        <f t="shared" si="86"/>
        <v>0</v>
      </c>
      <c r="Q372" s="29">
        <f t="shared" si="87"/>
        <v>1756.0319999999997</v>
      </c>
      <c r="R372" s="29">
        <f t="shared" si="88"/>
        <v>15804.288</v>
      </c>
    </row>
    <row r="373" spans="1:18" hidden="1" outlineLevel="1">
      <c r="B373">
        <v>4</v>
      </c>
      <c r="C373" t="s">
        <v>171</v>
      </c>
      <c r="D373">
        <v>2006</v>
      </c>
      <c r="E373">
        <v>8</v>
      </c>
      <c r="F373">
        <v>0</v>
      </c>
      <c r="G373" t="s">
        <v>78</v>
      </c>
      <c r="H373" s="5" t="s">
        <v>9</v>
      </c>
      <c r="I373">
        <f t="shared" si="89"/>
        <v>2016</v>
      </c>
      <c r="J373" s="4">
        <f t="shared" si="81"/>
        <v>2016.6666666666667</v>
      </c>
      <c r="K373" s="29">
        <v>17560.32</v>
      </c>
      <c r="L373" s="29">
        <f t="shared" si="82"/>
        <v>17560.32</v>
      </c>
      <c r="M373" s="29">
        <f t="shared" si="83"/>
        <v>146.33599999999998</v>
      </c>
      <c r="N373" s="29">
        <f t="shared" si="84"/>
        <v>1756.0319999999997</v>
      </c>
      <c r="O373" s="29">
        <f t="shared" si="85"/>
        <v>1756.0319999999997</v>
      </c>
      <c r="P373" s="29">
        <f t="shared" si="86"/>
        <v>0</v>
      </c>
      <c r="Q373" s="29">
        <f t="shared" si="87"/>
        <v>1756.0319999999997</v>
      </c>
      <c r="R373" s="29">
        <f t="shared" si="88"/>
        <v>15804.288</v>
      </c>
    </row>
    <row r="374" spans="1:18" hidden="1" outlineLevel="1">
      <c r="B374">
        <v>1</v>
      </c>
      <c r="C374" t="s">
        <v>171</v>
      </c>
      <c r="D374">
        <v>2006</v>
      </c>
      <c r="E374">
        <v>8</v>
      </c>
      <c r="F374">
        <v>0</v>
      </c>
      <c r="G374" t="s">
        <v>78</v>
      </c>
      <c r="H374" s="5" t="s">
        <v>9</v>
      </c>
      <c r="I374">
        <f t="shared" si="89"/>
        <v>2016</v>
      </c>
      <c r="J374" s="4">
        <f t="shared" si="81"/>
        <v>2016.6666666666667</v>
      </c>
      <c r="K374" s="29">
        <v>5853.44</v>
      </c>
      <c r="L374" s="29">
        <f t="shared" si="82"/>
        <v>5853.44</v>
      </c>
      <c r="M374" s="29">
        <f t="shared" si="83"/>
        <v>48.778666666666659</v>
      </c>
      <c r="N374" s="29">
        <f t="shared" si="84"/>
        <v>585.34399999999994</v>
      </c>
      <c r="O374" s="29">
        <f t="shared" si="85"/>
        <v>585.34399999999994</v>
      </c>
      <c r="P374" s="29">
        <f t="shared" si="86"/>
        <v>0</v>
      </c>
      <c r="Q374" s="29">
        <f t="shared" si="87"/>
        <v>585.34399999999994</v>
      </c>
      <c r="R374" s="29">
        <f t="shared" si="88"/>
        <v>5268.0959999999995</v>
      </c>
    </row>
    <row r="375" spans="1:18" hidden="1" outlineLevel="1">
      <c r="B375">
        <v>19</v>
      </c>
      <c r="C375" t="s">
        <v>170</v>
      </c>
      <c r="D375">
        <v>2007</v>
      </c>
      <c r="E375">
        <v>6</v>
      </c>
      <c r="F375">
        <v>0</v>
      </c>
      <c r="G375" t="s">
        <v>78</v>
      </c>
      <c r="H375" s="5" t="s">
        <v>9</v>
      </c>
      <c r="I375">
        <f t="shared" si="89"/>
        <v>2017</v>
      </c>
      <c r="J375" s="4">
        <f t="shared" si="81"/>
        <v>2017.5</v>
      </c>
      <c r="K375" s="29">
        <v>78734.7</v>
      </c>
      <c r="L375" s="29">
        <f t="shared" si="82"/>
        <v>78734.7</v>
      </c>
      <c r="M375" s="29">
        <f t="shared" si="83"/>
        <v>656.12249999999995</v>
      </c>
      <c r="N375" s="29">
        <f t="shared" si="84"/>
        <v>7873.4699999999993</v>
      </c>
      <c r="O375" s="29">
        <f t="shared" si="85"/>
        <v>7873.4699999999993</v>
      </c>
      <c r="P375" s="29">
        <f t="shared" si="86"/>
        <v>0</v>
      </c>
      <c r="Q375" s="29">
        <f t="shared" si="87"/>
        <v>7873.4699999999993</v>
      </c>
      <c r="R375" s="29">
        <f t="shared" si="88"/>
        <v>70861.23</v>
      </c>
    </row>
    <row r="376" spans="1:18" hidden="1" outlineLevel="1">
      <c r="B376">
        <v>5</v>
      </c>
      <c r="C376" t="s">
        <v>171</v>
      </c>
      <c r="D376">
        <v>2007</v>
      </c>
      <c r="E376">
        <v>6</v>
      </c>
      <c r="F376">
        <v>0</v>
      </c>
      <c r="G376" t="s">
        <v>78</v>
      </c>
      <c r="H376" s="5" t="s">
        <v>9</v>
      </c>
      <c r="I376">
        <f>D376+H376</f>
        <v>2017</v>
      </c>
      <c r="J376" s="4">
        <f>+I376+(E376/12)</f>
        <v>2017.5</v>
      </c>
      <c r="K376" s="29">
        <v>23788.12</v>
      </c>
      <c r="L376" s="29">
        <f t="shared" si="82"/>
        <v>23788.12</v>
      </c>
      <c r="M376" s="29">
        <f t="shared" si="83"/>
        <v>198.23433333333332</v>
      </c>
      <c r="N376" s="29">
        <f>+M376*12</f>
        <v>2378.8119999999999</v>
      </c>
      <c r="O376" s="29">
        <f t="shared" si="85"/>
        <v>2378.8119999999999</v>
      </c>
      <c r="P376" s="29">
        <f t="shared" si="86"/>
        <v>0</v>
      </c>
      <c r="Q376" s="29">
        <f t="shared" si="87"/>
        <v>2378.8119999999999</v>
      </c>
      <c r="R376" s="29">
        <f t="shared" si="88"/>
        <v>21409.307999999997</v>
      </c>
    </row>
    <row r="377" spans="1:18" hidden="1" outlineLevel="1">
      <c r="B377">
        <v>8</v>
      </c>
      <c r="C377" t="s">
        <v>171</v>
      </c>
      <c r="D377">
        <v>2007</v>
      </c>
      <c r="E377">
        <v>7</v>
      </c>
      <c r="F377">
        <v>0</v>
      </c>
      <c r="G377" t="s">
        <v>78</v>
      </c>
      <c r="H377" s="5" t="s">
        <v>9</v>
      </c>
      <c r="I377">
        <f>D377+H377</f>
        <v>2017</v>
      </c>
      <c r="J377" s="4">
        <f>+I377+(E377/12)</f>
        <v>2017.5833333333333</v>
      </c>
      <c r="K377" s="29">
        <v>36858.300000000003</v>
      </c>
      <c r="L377" s="29">
        <f>K377-K377*F377</f>
        <v>36858.300000000003</v>
      </c>
      <c r="M377" s="29">
        <f>L377/H377/12</f>
        <v>307.15250000000003</v>
      </c>
      <c r="N377" s="29">
        <f>+M377*12</f>
        <v>3685.8300000000004</v>
      </c>
      <c r="O377" s="29">
        <f>+IF(J377&lt;=$L$5,0,IF(I377&gt;$L$4,N377,(M377*E377)))</f>
        <v>3685.8300000000004</v>
      </c>
      <c r="P377" s="29">
        <f>+IF(O377=0,L377,IF($L$3-D377&lt;1,0,(($L$3-D377)*O377)))</f>
        <v>0</v>
      </c>
      <c r="Q377" s="29">
        <f>+IF(O377=0,P377,P377+O377)</f>
        <v>3685.8300000000004</v>
      </c>
      <c r="R377" s="29">
        <f>+K377-Q377</f>
        <v>33172.47</v>
      </c>
    </row>
    <row r="378" spans="1:18" hidden="1" outlineLevel="1">
      <c r="B378">
        <v>12</v>
      </c>
      <c r="C378" t="s">
        <v>171</v>
      </c>
      <c r="D378">
        <v>2007</v>
      </c>
      <c r="E378">
        <v>9</v>
      </c>
      <c r="F378">
        <v>0</v>
      </c>
      <c r="G378" t="s">
        <v>78</v>
      </c>
      <c r="H378" s="5" t="s">
        <v>9</v>
      </c>
      <c r="I378">
        <f>D378+H378</f>
        <v>2017</v>
      </c>
      <c r="J378" s="4">
        <f>+I378+(E378/12)</f>
        <v>2017.75</v>
      </c>
      <c r="K378" s="29">
        <v>59470.3</v>
      </c>
      <c r="L378" s="29">
        <f>K378-K378*F378</f>
        <v>59470.3</v>
      </c>
      <c r="M378" s="29">
        <f>L378/H378/12</f>
        <v>495.58583333333337</v>
      </c>
      <c r="N378" s="29">
        <f>+M378*12</f>
        <v>5947.0300000000007</v>
      </c>
      <c r="O378" s="29">
        <f>+IF(J378&lt;=$L$5,0,IF(I378&gt;$L$4,N378,(M378*E378)))</f>
        <v>5947.0300000000007</v>
      </c>
      <c r="P378" s="29">
        <f>+IF(O378=0,L378,IF($L$3-D378&lt;1,0,(($L$3-D378)*O378)))</f>
        <v>0</v>
      </c>
      <c r="Q378" s="29">
        <f>+IF(O378=0,P378,P378+O378)</f>
        <v>5947.0300000000007</v>
      </c>
      <c r="R378" s="29">
        <f>+K378-Q378</f>
        <v>53523.270000000004</v>
      </c>
    </row>
    <row r="379" spans="1:18" hidden="1" outlineLevel="1">
      <c r="A379" s="44">
        <v>200600</v>
      </c>
      <c r="B379">
        <v>56</v>
      </c>
      <c r="C379" s="47" t="s">
        <v>746</v>
      </c>
      <c r="D379">
        <v>2008</v>
      </c>
      <c r="E379">
        <v>11</v>
      </c>
      <c r="F379">
        <v>0</v>
      </c>
      <c r="G379" s="47" t="s">
        <v>78</v>
      </c>
      <c r="H379" s="5">
        <v>7</v>
      </c>
      <c r="I379">
        <f t="shared" ref="I379:I386" si="90">D379+H379</f>
        <v>2015</v>
      </c>
      <c r="J379" s="4">
        <f t="shared" ref="J379:J386" si="91">+I379+(E379/12)</f>
        <v>2015.9166666666667</v>
      </c>
      <c r="K379" s="29">
        <v>72596.160000000003</v>
      </c>
      <c r="L379" s="29">
        <f>K379-K379*F379</f>
        <v>72596.160000000003</v>
      </c>
      <c r="M379" s="29">
        <f>L379/H379/12</f>
        <v>864.24000000000012</v>
      </c>
      <c r="N379" s="29">
        <f>+M379*12</f>
        <v>10370.880000000001</v>
      </c>
      <c r="O379" s="29">
        <f>+IF(J379&lt;=$L$5,0,IF(I379&gt;$L$4,N379,(M379*E379)))</f>
        <v>10370.880000000001</v>
      </c>
      <c r="P379" s="29">
        <f>+IF(O379=0,L379,IF($L$3-D379&lt;1,0,(($L$3-D379)*O379)))</f>
        <v>0</v>
      </c>
      <c r="Q379" s="29">
        <f>+IF(O379=0,P379,P379+O379)</f>
        <v>10370.880000000001</v>
      </c>
      <c r="R379" s="29">
        <f>+K379-Q379</f>
        <v>62225.279999999999</v>
      </c>
    </row>
    <row r="380" spans="1:18" hidden="1" outlineLevel="1">
      <c r="A380" s="44">
        <v>200599</v>
      </c>
      <c r="B380">
        <v>12</v>
      </c>
      <c r="C380" s="47" t="s">
        <v>748</v>
      </c>
      <c r="D380">
        <v>2008</v>
      </c>
      <c r="E380">
        <v>11</v>
      </c>
      <c r="F380">
        <v>0</v>
      </c>
      <c r="G380" s="47" t="s">
        <v>78</v>
      </c>
      <c r="H380" s="5">
        <v>7</v>
      </c>
      <c r="I380">
        <f t="shared" si="90"/>
        <v>2015</v>
      </c>
      <c r="J380" s="4">
        <f t="shared" si="91"/>
        <v>2015.9166666666667</v>
      </c>
      <c r="K380" s="29">
        <v>15556.32</v>
      </c>
      <c r="L380" s="29">
        <f t="shared" ref="L380:L386" si="92">K380-K380*F380</f>
        <v>15556.32</v>
      </c>
      <c r="M380" s="29">
        <f t="shared" ref="M380:M386" si="93">L380/H380/12</f>
        <v>185.19428571428571</v>
      </c>
      <c r="N380" s="29">
        <f t="shared" ref="N380:N386" si="94">+M380*12</f>
        <v>2222.3314285714287</v>
      </c>
      <c r="O380" s="29">
        <f t="shared" ref="O380:O386" si="95">+IF(J380&lt;=$L$5,0,IF(I380&gt;$L$4,N380,(M380*E380)))</f>
        <v>2222.3314285714287</v>
      </c>
      <c r="P380" s="29">
        <f t="shared" ref="P380:P386" si="96">+IF(O380=0,L380,IF($L$3-D380&lt;1,0,(($L$3-D380)*O380)))</f>
        <v>0</v>
      </c>
      <c r="Q380" s="29">
        <f t="shared" ref="Q380:Q386" si="97">+IF(O380=0,P380,P380+O380)</f>
        <v>2222.3314285714287</v>
      </c>
      <c r="R380" s="29">
        <f t="shared" ref="R380:R386" si="98">+K380-Q380</f>
        <v>13333.98857142857</v>
      </c>
    </row>
    <row r="381" spans="1:18" hidden="1" outlineLevel="1">
      <c r="A381" s="44">
        <v>200593</v>
      </c>
      <c r="B381">
        <v>88</v>
      </c>
      <c r="C381" s="47" t="s">
        <v>781</v>
      </c>
      <c r="D381">
        <v>2008</v>
      </c>
      <c r="E381">
        <v>11</v>
      </c>
      <c r="F381">
        <v>0</v>
      </c>
      <c r="G381" s="47" t="s">
        <v>78</v>
      </c>
      <c r="H381" s="5">
        <v>7</v>
      </c>
      <c r="I381">
        <f t="shared" si="90"/>
        <v>2015</v>
      </c>
      <c r="J381" s="4">
        <f t="shared" si="91"/>
        <v>2015.9166666666667</v>
      </c>
      <c r="K381" s="29">
        <v>114079.67999999999</v>
      </c>
      <c r="L381" s="29">
        <f t="shared" si="92"/>
        <v>114079.67999999999</v>
      </c>
      <c r="M381" s="29">
        <f t="shared" si="93"/>
        <v>1358.0914285714284</v>
      </c>
      <c r="N381" s="29">
        <f t="shared" si="94"/>
        <v>16297.097142857141</v>
      </c>
      <c r="O381" s="29">
        <f t="shared" si="95"/>
        <v>16297.097142857141</v>
      </c>
      <c r="P381" s="29">
        <f t="shared" si="96"/>
        <v>0</v>
      </c>
      <c r="Q381" s="29">
        <f t="shared" si="97"/>
        <v>16297.097142857141</v>
      </c>
      <c r="R381" s="29">
        <f t="shared" si="98"/>
        <v>97782.582857142857</v>
      </c>
    </row>
    <row r="382" spans="1:18" hidden="1" outlineLevel="1">
      <c r="A382" s="44">
        <v>200586</v>
      </c>
      <c r="B382">
        <v>89</v>
      </c>
      <c r="C382" s="47" t="s">
        <v>782</v>
      </c>
      <c r="D382">
        <v>2008</v>
      </c>
      <c r="E382">
        <v>11</v>
      </c>
      <c r="F382">
        <v>0</v>
      </c>
      <c r="G382" s="47" t="s">
        <v>78</v>
      </c>
      <c r="H382" s="5">
        <v>7</v>
      </c>
      <c r="I382">
        <f t="shared" si="90"/>
        <v>2015</v>
      </c>
      <c r="J382" s="4">
        <f t="shared" si="91"/>
        <v>2015.9166666666667</v>
      </c>
      <c r="K382" s="29">
        <v>115376.93</v>
      </c>
      <c r="L382" s="29">
        <f t="shared" si="92"/>
        <v>115376.93</v>
      </c>
      <c r="M382" s="29">
        <f t="shared" si="93"/>
        <v>1373.5348809523809</v>
      </c>
      <c r="N382" s="29">
        <f t="shared" si="94"/>
        <v>16482.41857142857</v>
      </c>
      <c r="O382" s="29">
        <f t="shared" si="95"/>
        <v>16482.41857142857</v>
      </c>
      <c r="P382" s="29">
        <f t="shared" si="96"/>
        <v>0</v>
      </c>
      <c r="Q382" s="29">
        <f t="shared" si="97"/>
        <v>16482.41857142857</v>
      </c>
      <c r="R382" s="29">
        <f t="shared" si="98"/>
        <v>98894.511428571423</v>
      </c>
    </row>
    <row r="383" spans="1:18" hidden="1" outlineLevel="1">
      <c r="A383" s="44">
        <v>200582</v>
      </c>
      <c r="B383">
        <v>5</v>
      </c>
      <c r="C383" s="47" t="s">
        <v>783</v>
      </c>
      <c r="D383">
        <v>2008</v>
      </c>
      <c r="E383">
        <v>11</v>
      </c>
      <c r="F383">
        <v>0</v>
      </c>
      <c r="G383" s="47" t="s">
        <v>78</v>
      </c>
      <c r="H383" s="5">
        <v>7</v>
      </c>
      <c r="I383">
        <f t="shared" si="90"/>
        <v>2015</v>
      </c>
      <c r="J383" s="4">
        <f t="shared" si="91"/>
        <v>2015.9166666666667</v>
      </c>
      <c r="K383" s="29">
        <v>6481.85</v>
      </c>
      <c r="L383" s="29">
        <f t="shared" si="92"/>
        <v>6481.85</v>
      </c>
      <c r="M383" s="29">
        <f t="shared" si="93"/>
        <v>77.164880952380955</v>
      </c>
      <c r="N383" s="29">
        <f t="shared" si="94"/>
        <v>925.97857142857151</v>
      </c>
      <c r="O383" s="29">
        <f t="shared" si="95"/>
        <v>925.97857142857151</v>
      </c>
      <c r="P383" s="29">
        <f t="shared" si="96"/>
        <v>0</v>
      </c>
      <c r="Q383" s="29">
        <f t="shared" si="97"/>
        <v>925.97857142857151</v>
      </c>
      <c r="R383" s="29">
        <f t="shared" si="98"/>
        <v>5555.8714285714286</v>
      </c>
    </row>
    <row r="384" spans="1:18" hidden="1" outlineLevel="1">
      <c r="A384" s="44">
        <v>200581</v>
      </c>
      <c r="B384">
        <v>111</v>
      </c>
      <c r="C384" s="47" t="s">
        <v>781</v>
      </c>
      <c r="D384">
        <v>2008</v>
      </c>
      <c r="E384">
        <v>11</v>
      </c>
      <c r="F384">
        <v>0</v>
      </c>
      <c r="G384" s="47" t="s">
        <v>78</v>
      </c>
      <c r="H384" s="5">
        <v>7</v>
      </c>
      <c r="I384">
        <f t="shared" si="90"/>
        <v>2015</v>
      </c>
      <c r="J384" s="4">
        <f t="shared" si="91"/>
        <v>2015.9166666666667</v>
      </c>
      <c r="K384" s="29">
        <v>166692.03</v>
      </c>
      <c r="L384" s="29">
        <f t="shared" si="92"/>
        <v>166692.03</v>
      </c>
      <c r="M384" s="29">
        <f t="shared" si="93"/>
        <v>1984.4289285714285</v>
      </c>
      <c r="N384" s="29">
        <f t="shared" si="94"/>
        <v>23813.147142857142</v>
      </c>
      <c r="O384" s="29">
        <f t="shared" si="95"/>
        <v>23813.147142857142</v>
      </c>
      <c r="P384" s="29">
        <f t="shared" si="96"/>
        <v>0</v>
      </c>
      <c r="Q384" s="29">
        <f t="shared" si="97"/>
        <v>23813.147142857142</v>
      </c>
      <c r="R384" s="29">
        <f t="shared" si="98"/>
        <v>142878.88285714286</v>
      </c>
    </row>
    <row r="385" spans="1:18" hidden="1" outlineLevel="1">
      <c r="A385" s="44">
        <v>200571</v>
      </c>
      <c r="B385">
        <v>12</v>
      </c>
      <c r="C385" s="47" t="s">
        <v>784</v>
      </c>
      <c r="D385">
        <v>2008</v>
      </c>
      <c r="E385">
        <v>11</v>
      </c>
      <c r="F385">
        <v>0</v>
      </c>
      <c r="G385" s="47" t="s">
        <v>78</v>
      </c>
      <c r="H385" s="5">
        <v>7</v>
      </c>
      <c r="I385">
        <f t="shared" si="90"/>
        <v>2015</v>
      </c>
      <c r="J385" s="4">
        <f t="shared" si="91"/>
        <v>2015.9166666666667</v>
      </c>
      <c r="K385" s="29">
        <v>1567.56</v>
      </c>
      <c r="L385" s="29">
        <f t="shared" si="92"/>
        <v>1567.56</v>
      </c>
      <c r="M385" s="29">
        <f t="shared" si="93"/>
        <v>18.661428571428569</v>
      </c>
      <c r="N385" s="29">
        <f t="shared" si="94"/>
        <v>223.93714285714282</v>
      </c>
      <c r="O385" s="29">
        <f t="shared" si="95"/>
        <v>223.93714285714282</v>
      </c>
      <c r="P385" s="29">
        <f t="shared" si="96"/>
        <v>0</v>
      </c>
      <c r="Q385" s="29">
        <f t="shared" si="97"/>
        <v>223.93714285714282</v>
      </c>
      <c r="R385" s="29">
        <f t="shared" si="98"/>
        <v>1343.6228571428571</v>
      </c>
    </row>
    <row r="386" spans="1:18" hidden="1" outlineLevel="1">
      <c r="A386" s="44">
        <v>200570</v>
      </c>
      <c r="B386">
        <v>5</v>
      </c>
      <c r="C386" s="47" t="s">
        <v>748</v>
      </c>
      <c r="D386">
        <v>2008</v>
      </c>
      <c r="E386">
        <v>11</v>
      </c>
      <c r="F386">
        <v>0</v>
      </c>
      <c r="G386" s="47" t="s">
        <v>78</v>
      </c>
      <c r="H386" s="5">
        <v>7</v>
      </c>
      <c r="I386">
        <f t="shared" si="90"/>
        <v>2015</v>
      </c>
      <c r="J386" s="4">
        <f t="shared" si="91"/>
        <v>2015.9166666666667</v>
      </c>
      <c r="K386" s="29">
        <v>71822.95</v>
      </c>
      <c r="L386" s="29">
        <f t="shared" si="92"/>
        <v>71822.95</v>
      </c>
      <c r="M386" s="29">
        <f t="shared" si="93"/>
        <v>855.03511904761899</v>
      </c>
      <c r="N386" s="29">
        <f t="shared" si="94"/>
        <v>10260.421428571428</v>
      </c>
      <c r="O386" s="29">
        <f t="shared" si="95"/>
        <v>10260.421428571428</v>
      </c>
      <c r="P386" s="29">
        <f t="shared" si="96"/>
        <v>0</v>
      </c>
      <c r="Q386" s="29">
        <f t="shared" si="97"/>
        <v>10260.421428571428</v>
      </c>
      <c r="R386" s="29">
        <f t="shared" si="98"/>
        <v>61562.528571428571</v>
      </c>
    </row>
    <row r="387" spans="1:18" hidden="1" outlineLevel="1">
      <c r="A387" s="45">
        <v>237687</v>
      </c>
      <c r="B387">
        <v>25</v>
      </c>
      <c r="C387" s="47" t="s">
        <v>858</v>
      </c>
      <c r="D387">
        <v>2008</v>
      </c>
      <c r="E387">
        <v>11</v>
      </c>
      <c r="F387">
        <v>0</v>
      </c>
      <c r="G387" s="47" t="s">
        <v>78</v>
      </c>
      <c r="H387" s="5">
        <v>7</v>
      </c>
      <c r="I387">
        <f>D387+H387</f>
        <v>2015</v>
      </c>
      <c r="J387" s="4">
        <f>+I387+(E387/12)</f>
        <v>2015.9166666666667</v>
      </c>
      <c r="K387" s="29">
        <v>37543.25</v>
      </c>
      <c r="L387" s="29">
        <f>K387-K387*F387</f>
        <v>37543.25</v>
      </c>
      <c r="M387" s="29">
        <f>L387/H387/12</f>
        <v>446.94345238095235</v>
      </c>
      <c r="N387" s="29">
        <f>+M387*12</f>
        <v>5363.3214285714284</v>
      </c>
      <c r="O387" s="29">
        <f>+IF(J387&lt;=$L$5,0,IF(I387&gt;$L$4,N387,(M387*E387)))</f>
        <v>5363.3214285714284</v>
      </c>
      <c r="P387" s="29">
        <f>+IF(O387=0,L387,IF($L$3-D387&lt;1,0,(($L$3-D387)*O387)))</f>
        <v>0</v>
      </c>
      <c r="Q387" s="29">
        <f>+IF(O387=0,P387,P387+O387)</f>
        <v>5363.3214285714284</v>
      </c>
      <c r="R387" s="29">
        <f>+K387-Q387</f>
        <v>32179.928571428572</v>
      </c>
    </row>
    <row r="388" spans="1:18" hidden="1" outlineLevel="1">
      <c r="A388" s="44" t="s">
        <v>524</v>
      </c>
      <c r="B388">
        <v>72</v>
      </c>
      <c r="C388" t="s">
        <v>525</v>
      </c>
      <c r="D388">
        <v>2014</v>
      </c>
      <c r="E388">
        <v>12</v>
      </c>
      <c r="F388">
        <v>0</v>
      </c>
      <c r="G388" t="s">
        <v>78</v>
      </c>
      <c r="H388" s="5">
        <v>5</v>
      </c>
      <c r="I388">
        <f t="shared" ref="I388:I402" si="99">D388+H388</f>
        <v>2019</v>
      </c>
      <c r="J388" s="4">
        <f t="shared" ref="J388:J408" si="100">+I388+(E388/12)</f>
        <v>2020</v>
      </c>
      <c r="K388" s="29">
        <f>51081.75+23609.1</f>
        <v>74690.850000000006</v>
      </c>
      <c r="L388" s="29">
        <f t="shared" ref="L388:L400" si="101">K388-K388*F388</f>
        <v>74690.850000000006</v>
      </c>
      <c r="M388" s="29">
        <f t="shared" ref="M388:M389" si="102">L388/H388/12</f>
        <v>1244.8475000000001</v>
      </c>
      <c r="N388" s="29">
        <f t="shared" ref="N388:N389" si="103">+M388*12</f>
        <v>14938.170000000002</v>
      </c>
      <c r="O388" s="29">
        <f t="shared" ref="O388" si="104">+IF(J388&lt;=$L$5,0,IF(I388&gt;$L$4,N388,(M388*E388)))</f>
        <v>14938.170000000002</v>
      </c>
      <c r="P388" s="29">
        <f t="shared" ref="P388" si="105">+IF(O388=0,L388,IF($L$3-D388&lt;1,0,(($L$3-D388)*O388)))</f>
        <v>0</v>
      </c>
      <c r="Q388" s="29">
        <f t="shared" ref="Q388" si="106">+IF(O388=0,P388,P388+O388)</f>
        <v>14938.170000000002</v>
      </c>
      <c r="R388" s="29">
        <f t="shared" ref="R388:R389" si="107">+K388-Q388</f>
        <v>59752.680000000008</v>
      </c>
    </row>
    <row r="389" spans="1:18" collapsed="1">
      <c r="A389" s="44">
        <v>124524</v>
      </c>
      <c r="B389">
        <v>6</v>
      </c>
      <c r="C389" t="s">
        <v>172</v>
      </c>
      <c r="D389">
        <v>2015</v>
      </c>
      <c r="E389">
        <v>4</v>
      </c>
      <c r="F389">
        <v>0</v>
      </c>
      <c r="G389" t="s">
        <v>78</v>
      </c>
      <c r="H389" s="5">
        <v>12</v>
      </c>
      <c r="I389">
        <f t="shared" si="99"/>
        <v>2027</v>
      </c>
      <c r="J389" s="4">
        <f t="shared" si="100"/>
        <v>2027.3333333333333</v>
      </c>
      <c r="K389" s="29">
        <v>40590</v>
      </c>
      <c r="L389" s="29">
        <f t="shared" si="101"/>
        <v>40590</v>
      </c>
      <c r="M389" s="29">
        <f t="shared" si="102"/>
        <v>281.875</v>
      </c>
      <c r="N389" s="29">
        <f t="shared" si="103"/>
        <v>3382.5</v>
      </c>
      <c r="O389" s="29">
        <f t="shared" ref="O389:O409" si="108">IF(J389&lt;=$N$6,0,N389)</f>
        <v>3382.5</v>
      </c>
      <c r="P389" s="29">
        <f t="shared" ref="P389:P409" si="109">+IF($J389&lt;=$N$7,$L389,IF(($D389+($E389/12))&gt;=$N$7,0,((($L389-((($J389-$N$7)*12)*$M389))))))</f>
        <v>27341.875000000513</v>
      </c>
      <c r="Q389" s="29">
        <f t="shared" ref="Q389:Q409" si="110">IF(O389=0,L389,O389+P389)</f>
        <v>30724.375000000513</v>
      </c>
      <c r="R389" s="29">
        <f t="shared" si="107"/>
        <v>9865.624999999487</v>
      </c>
    </row>
    <row r="390" spans="1:18">
      <c r="A390" s="44">
        <v>132479</v>
      </c>
      <c r="B390">
        <v>3</v>
      </c>
      <c r="C390" t="s">
        <v>171</v>
      </c>
      <c r="D390">
        <v>2016</v>
      </c>
      <c r="E390">
        <v>4</v>
      </c>
      <c r="F390">
        <v>0</v>
      </c>
      <c r="G390" t="s">
        <v>78</v>
      </c>
      <c r="H390" s="5">
        <v>12</v>
      </c>
      <c r="I390">
        <f t="shared" si="99"/>
        <v>2028</v>
      </c>
      <c r="J390" s="4">
        <f t="shared" si="100"/>
        <v>2028.3333333333333</v>
      </c>
      <c r="K390" s="29">
        <v>17610</v>
      </c>
      <c r="L390" s="29">
        <f t="shared" si="101"/>
        <v>17610</v>
      </c>
      <c r="M390" s="29">
        <f t="shared" ref="M390:M409" si="111">L390/H390/12</f>
        <v>122.29166666666667</v>
      </c>
      <c r="N390" s="29">
        <f t="shared" ref="N390:N409" si="112">+M390*12</f>
        <v>1467.5</v>
      </c>
      <c r="O390" s="29">
        <f t="shared" si="108"/>
        <v>1467.5</v>
      </c>
      <c r="P390" s="29">
        <f t="shared" si="109"/>
        <v>10394.79166666689</v>
      </c>
      <c r="Q390" s="29">
        <f t="shared" si="110"/>
        <v>11862.29166666689</v>
      </c>
      <c r="R390" s="29">
        <f t="shared" ref="R390:R409" si="113">+K390-Q390</f>
        <v>5747.7083333331102</v>
      </c>
    </row>
    <row r="391" spans="1:18">
      <c r="A391" s="44">
        <v>132591</v>
      </c>
      <c r="B391">
        <v>6</v>
      </c>
      <c r="C391" t="s">
        <v>172</v>
      </c>
      <c r="D391">
        <v>2016</v>
      </c>
      <c r="E391">
        <v>4</v>
      </c>
      <c r="F391">
        <v>0</v>
      </c>
      <c r="G391" t="s">
        <v>78</v>
      </c>
      <c r="H391" s="5">
        <v>12</v>
      </c>
      <c r="I391">
        <f t="shared" si="99"/>
        <v>2028</v>
      </c>
      <c r="J391" s="4">
        <f t="shared" si="100"/>
        <v>2028.3333333333333</v>
      </c>
      <c r="K391" s="29">
        <v>39270</v>
      </c>
      <c r="L391" s="29">
        <f t="shared" si="101"/>
        <v>39270</v>
      </c>
      <c r="M391" s="29">
        <f t="shared" si="111"/>
        <v>272.70833333333331</v>
      </c>
      <c r="N391" s="29">
        <f t="shared" si="112"/>
        <v>3272.5</v>
      </c>
      <c r="O391" s="29">
        <f t="shared" si="108"/>
        <v>3272.5</v>
      </c>
      <c r="P391" s="29">
        <f t="shared" si="109"/>
        <v>23180.208333333831</v>
      </c>
      <c r="Q391" s="29">
        <f t="shared" si="110"/>
        <v>26452.708333333831</v>
      </c>
      <c r="R391" s="29">
        <f t="shared" si="113"/>
        <v>12817.291666666169</v>
      </c>
    </row>
    <row r="392" spans="1:18">
      <c r="A392" s="44">
        <v>165694</v>
      </c>
      <c r="B392">
        <v>3</v>
      </c>
      <c r="C392" t="s">
        <v>172</v>
      </c>
      <c r="D392">
        <v>2016</v>
      </c>
      <c r="E392">
        <v>7</v>
      </c>
      <c r="F392">
        <v>0</v>
      </c>
      <c r="G392" t="s">
        <v>78</v>
      </c>
      <c r="H392" s="5">
        <v>12</v>
      </c>
      <c r="I392">
        <f t="shared" si="99"/>
        <v>2028</v>
      </c>
      <c r="J392" s="4">
        <f t="shared" si="100"/>
        <v>2028.5833333333333</v>
      </c>
      <c r="K392" s="29">
        <v>19635</v>
      </c>
      <c r="L392" s="29">
        <f t="shared" si="101"/>
        <v>19635</v>
      </c>
      <c r="M392" s="29">
        <f t="shared" si="111"/>
        <v>136.35416666666666</v>
      </c>
      <c r="N392" s="29">
        <f t="shared" si="112"/>
        <v>1636.25</v>
      </c>
      <c r="O392" s="29">
        <f t="shared" si="108"/>
        <v>1636.25</v>
      </c>
      <c r="P392" s="29">
        <f t="shared" si="109"/>
        <v>11181.041666666915</v>
      </c>
      <c r="Q392" s="29">
        <f t="shared" si="110"/>
        <v>12817.291666666915</v>
      </c>
      <c r="R392" s="29">
        <f t="shared" si="113"/>
        <v>6817.7083333330847</v>
      </c>
    </row>
    <row r="393" spans="1:18">
      <c r="A393" s="44">
        <v>172712</v>
      </c>
      <c r="B393">
        <v>4</v>
      </c>
      <c r="C393" t="s">
        <v>628</v>
      </c>
      <c r="D393">
        <v>2017</v>
      </c>
      <c r="E393">
        <v>1</v>
      </c>
      <c r="F393">
        <v>0</v>
      </c>
      <c r="G393" t="s">
        <v>78</v>
      </c>
      <c r="H393" s="5">
        <v>11.11</v>
      </c>
      <c r="I393">
        <f t="shared" si="99"/>
        <v>2028.11</v>
      </c>
      <c r="J393" s="4">
        <f t="shared" si="100"/>
        <v>2028.1933333333332</v>
      </c>
      <c r="K393" s="29">
        <v>23940</v>
      </c>
      <c r="L393" s="29">
        <f t="shared" si="101"/>
        <v>23940</v>
      </c>
      <c r="M393" s="29">
        <f t="shared" si="111"/>
        <v>179.56795679567958</v>
      </c>
      <c r="N393" s="29">
        <f t="shared" si="112"/>
        <v>2154.8154815481548</v>
      </c>
      <c r="O393" s="29">
        <f t="shared" si="108"/>
        <v>2154.8154815481548</v>
      </c>
      <c r="P393" s="29">
        <f t="shared" si="109"/>
        <v>13647.164716472189</v>
      </c>
      <c r="Q393" s="29">
        <f t="shared" si="110"/>
        <v>15801.980198020345</v>
      </c>
      <c r="R393" s="29">
        <f t="shared" si="113"/>
        <v>8138.0198019796553</v>
      </c>
    </row>
    <row r="394" spans="1:18">
      <c r="A394" s="44">
        <v>182636</v>
      </c>
      <c r="B394">
        <v>3</v>
      </c>
      <c r="C394" t="s">
        <v>617</v>
      </c>
      <c r="D394">
        <v>2017</v>
      </c>
      <c r="E394">
        <v>5</v>
      </c>
      <c r="F394">
        <v>0</v>
      </c>
      <c r="G394" t="s">
        <v>78</v>
      </c>
      <c r="H394" s="5">
        <v>12</v>
      </c>
      <c r="I394">
        <f t="shared" si="99"/>
        <v>2029</v>
      </c>
      <c r="J394" s="4">
        <f t="shared" si="100"/>
        <v>2029.4166666666667</v>
      </c>
      <c r="K394" s="29">
        <v>21435</v>
      </c>
      <c r="L394" s="29">
        <f t="shared" si="101"/>
        <v>21435</v>
      </c>
      <c r="M394" s="29">
        <f t="shared" si="111"/>
        <v>148.85416666666666</v>
      </c>
      <c r="N394" s="29">
        <f t="shared" si="112"/>
        <v>1786.25</v>
      </c>
      <c r="O394" s="29">
        <f t="shared" si="108"/>
        <v>1786.25</v>
      </c>
      <c r="P394" s="29">
        <f t="shared" si="109"/>
        <v>10717.5</v>
      </c>
      <c r="Q394" s="29">
        <f t="shared" si="110"/>
        <v>12503.75</v>
      </c>
      <c r="R394" s="29">
        <f t="shared" si="113"/>
        <v>8931.25</v>
      </c>
    </row>
    <row r="395" spans="1:18">
      <c r="A395" s="44">
        <v>182597</v>
      </c>
      <c r="B395">
        <v>4</v>
      </c>
      <c r="C395" t="s">
        <v>617</v>
      </c>
      <c r="D395">
        <v>2017</v>
      </c>
      <c r="E395">
        <v>5</v>
      </c>
      <c r="F395">
        <v>0</v>
      </c>
      <c r="G395" t="s">
        <v>78</v>
      </c>
      <c r="H395" s="5">
        <v>12</v>
      </c>
      <c r="I395">
        <f t="shared" si="99"/>
        <v>2029</v>
      </c>
      <c r="J395" s="4">
        <f t="shared" si="100"/>
        <v>2029.4166666666667</v>
      </c>
      <c r="K395" s="29">
        <v>28580</v>
      </c>
      <c r="L395" s="29">
        <f t="shared" si="101"/>
        <v>28580</v>
      </c>
      <c r="M395" s="29">
        <f t="shared" si="111"/>
        <v>198.4722222222222</v>
      </c>
      <c r="N395" s="29">
        <f t="shared" si="112"/>
        <v>2381.6666666666665</v>
      </c>
      <c r="O395" s="29">
        <f t="shared" si="108"/>
        <v>2381.6666666666665</v>
      </c>
      <c r="P395" s="29">
        <f t="shared" si="109"/>
        <v>14290.000000000002</v>
      </c>
      <c r="Q395" s="29">
        <f t="shared" si="110"/>
        <v>16671.666666666668</v>
      </c>
      <c r="R395" s="29">
        <f t="shared" si="113"/>
        <v>11908.333333333332</v>
      </c>
    </row>
    <row r="396" spans="1:18">
      <c r="A396" s="44">
        <v>182548</v>
      </c>
      <c r="B396">
        <v>3</v>
      </c>
      <c r="C396" t="s">
        <v>617</v>
      </c>
      <c r="D396">
        <v>2017</v>
      </c>
      <c r="E396">
        <v>5</v>
      </c>
      <c r="F396">
        <v>0</v>
      </c>
      <c r="G396" t="s">
        <v>78</v>
      </c>
      <c r="H396" s="5">
        <v>12</v>
      </c>
      <c r="I396">
        <f t="shared" si="99"/>
        <v>2029</v>
      </c>
      <c r="J396" s="4">
        <f t="shared" si="100"/>
        <v>2029.4166666666667</v>
      </c>
      <c r="K396" s="29">
        <v>21435</v>
      </c>
      <c r="L396" s="29">
        <f t="shared" si="101"/>
        <v>21435</v>
      </c>
      <c r="M396" s="29">
        <f t="shared" si="111"/>
        <v>148.85416666666666</v>
      </c>
      <c r="N396" s="29">
        <f t="shared" si="112"/>
        <v>1786.25</v>
      </c>
      <c r="O396" s="29">
        <f t="shared" si="108"/>
        <v>1786.25</v>
      </c>
      <c r="P396" s="29">
        <f t="shared" si="109"/>
        <v>10717.5</v>
      </c>
      <c r="Q396" s="29">
        <f t="shared" si="110"/>
        <v>12503.75</v>
      </c>
      <c r="R396" s="29">
        <f t="shared" si="113"/>
        <v>8931.25</v>
      </c>
    </row>
    <row r="397" spans="1:18">
      <c r="A397" s="44">
        <v>184509</v>
      </c>
      <c r="B397">
        <v>9</v>
      </c>
      <c r="C397" t="s">
        <v>610</v>
      </c>
      <c r="D397">
        <v>2017</v>
      </c>
      <c r="E397">
        <v>7</v>
      </c>
      <c r="F397">
        <v>0</v>
      </c>
      <c r="G397" t="s">
        <v>78</v>
      </c>
      <c r="H397" s="5">
        <v>12</v>
      </c>
      <c r="I397">
        <f t="shared" si="99"/>
        <v>2029</v>
      </c>
      <c r="J397" s="4">
        <f t="shared" si="100"/>
        <v>2029.5833333333333</v>
      </c>
      <c r="K397" s="29">
        <v>55575</v>
      </c>
      <c r="L397" s="29">
        <f t="shared" si="101"/>
        <v>55575</v>
      </c>
      <c r="M397" s="29">
        <f t="shared" si="111"/>
        <v>385.9375</v>
      </c>
      <c r="N397" s="29">
        <f t="shared" si="112"/>
        <v>4631.25</v>
      </c>
      <c r="O397" s="29">
        <f t="shared" si="108"/>
        <v>4631.25</v>
      </c>
      <c r="P397" s="29">
        <f t="shared" si="109"/>
        <v>27015.625000000702</v>
      </c>
      <c r="Q397" s="29">
        <f t="shared" si="110"/>
        <v>31646.875000000702</v>
      </c>
      <c r="R397" s="29">
        <f t="shared" si="113"/>
        <v>23928.124999999298</v>
      </c>
    </row>
    <row r="398" spans="1:18">
      <c r="A398" s="44">
        <v>186461</v>
      </c>
      <c r="B398">
        <v>3</v>
      </c>
      <c r="C398" t="s">
        <v>610</v>
      </c>
      <c r="D398">
        <v>2017</v>
      </c>
      <c r="E398">
        <v>9</v>
      </c>
      <c r="F398">
        <v>0</v>
      </c>
      <c r="G398" t="s">
        <v>78</v>
      </c>
      <c r="H398" s="5">
        <v>12</v>
      </c>
      <c r="I398">
        <f t="shared" si="99"/>
        <v>2029</v>
      </c>
      <c r="J398" s="4">
        <f t="shared" si="100"/>
        <v>2029.75</v>
      </c>
      <c r="K398" s="29">
        <v>18525</v>
      </c>
      <c r="L398" s="29">
        <f t="shared" si="101"/>
        <v>18525</v>
      </c>
      <c r="M398" s="29">
        <f t="shared" si="111"/>
        <v>128.64583333333334</v>
      </c>
      <c r="N398" s="29">
        <f t="shared" si="112"/>
        <v>1543.75</v>
      </c>
      <c r="O398" s="29">
        <f t="shared" si="108"/>
        <v>1543.75</v>
      </c>
      <c r="P398" s="29">
        <f t="shared" si="109"/>
        <v>8747.9166666667825</v>
      </c>
      <c r="Q398" s="29">
        <f t="shared" si="110"/>
        <v>10291.666666666782</v>
      </c>
      <c r="R398" s="29">
        <f t="shared" si="113"/>
        <v>8233.3333333332175</v>
      </c>
    </row>
    <row r="399" spans="1:18">
      <c r="A399" s="44">
        <v>187206</v>
      </c>
      <c r="B399">
        <v>3</v>
      </c>
      <c r="C399" t="s">
        <v>721</v>
      </c>
      <c r="D399">
        <v>2017</v>
      </c>
      <c r="E399">
        <v>9</v>
      </c>
      <c r="F399">
        <v>0</v>
      </c>
      <c r="G399" t="s">
        <v>78</v>
      </c>
      <c r="H399" s="5">
        <v>12</v>
      </c>
      <c r="I399">
        <f t="shared" si="99"/>
        <v>2029</v>
      </c>
      <c r="J399" s="4">
        <f t="shared" si="100"/>
        <v>2029.75</v>
      </c>
      <c r="K399" s="29">
        <v>18525</v>
      </c>
      <c r="L399" s="29">
        <f t="shared" si="101"/>
        <v>18525</v>
      </c>
      <c r="M399" s="29">
        <f t="shared" si="111"/>
        <v>128.64583333333334</v>
      </c>
      <c r="N399" s="29">
        <f t="shared" si="112"/>
        <v>1543.75</v>
      </c>
      <c r="O399" s="29">
        <f t="shared" si="108"/>
        <v>1543.75</v>
      </c>
      <c r="P399" s="29">
        <f t="shared" si="109"/>
        <v>8747.9166666667825</v>
      </c>
      <c r="Q399" s="29">
        <f t="shared" si="110"/>
        <v>10291.666666666782</v>
      </c>
      <c r="R399" s="29">
        <f t="shared" si="113"/>
        <v>8233.3333333332175</v>
      </c>
    </row>
    <row r="400" spans="1:18">
      <c r="A400" s="45" t="s">
        <v>747</v>
      </c>
      <c r="B400">
        <v>10</v>
      </c>
      <c r="C400" s="47" t="s">
        <v>746</v>
      </c>
      <c r="D400">
        <v>2018</v>
      </c>
      <c r="E400">
        <v>10</v>
      </c>
      <c r="F400">
        <v>0</v>
      </c>
      <c r="G400" s="47" t="s">
        <v>78</v>
      </c>
      <c r="H400" s="5">
        <v>12</v>
      </c>
      <c r="I400">
        <f t="shared" si="99"/>
        <v>2030</v>
      </c>
      <c r="J400" s="4">
        <f t="shared" si="100"/>
        <v>2030.8333333333333</v>
      </c>
      <c r="K400" s="29">
        <f>33480.65+33268.62</f>
        <v>66749.27</v>
      </c>
      <c r="L400" s="29">
        <f t="shared" si="101"/>
        <v>66749.27</v>
      </c>
      <c r="M400" s="29">
        <f t="shared" si="111"/>
        <v>463.53659722222227</v>
      </c>
      <c r="N400" s="29">
        <f t="shared" si="112"/>
        <v>5562.439166666667</v>
      </c>
      <c r="O400" s="29">
        <f t="shared" si="108"/>
        <v>5562.439166666667</v>
      </c>
      <c r="P400" s="29">
        <f t="shared" si="109"/>
        <v>25494.512847223064</v>
      </c>
      <c r="Q400" s="29">
        <f t="shared" si="110"/>
        <v>31056.952013889731</v>
      </c>
      <c r="R400" s="29">
        <f t="shared" si="113"/>
        <v>35692.317986110269</v>
      </c>
    </row>
    <row r="401" spans="1:18">
      <c r="A401" s="44">
        <v>216319</v>
      </c>
      <c r="B401">
        <v>10</v>
      </c>
      <c r="C401" t="s">
        <v>721</v>
      </c>
      <c r="D401">
        <v>2019</v>
      </c>
      <c r="E401">
        <v>6</v>
      </c>
      <c r="F401">
        <v>0</v>
      </c>
      <c r="G401" s="47" t="s">
        <v>78</v>
      </c>
      <c r="H401" s="5">
        <v>12</v>
      </c>
      <c r="I401">
        <f t="shared" si="99"/>
        <v>2031</v>
      </c>
      <c r="J401" s="4">
        <f t="shared" si="100"/>
        <v>2031.5</v>
      </c>
      <c r="K401" s="29">
        <v>48393.96</v>
      </c>
      <c r="L401" s="29">
        <f t="shared" ref="L401:L405" si="114">K401-K401*F401</f>
        <v>48393.96</v>
      </c>
      <c r="M401" s="29">
        <f t="shared" si="111"/>
        <v>336.06916666666666</v>
      </c>
      <c r="N401" s="29">
        <f t="shared" si="112"/>
        <v>4032.83</v>
      </c>
      <c r="O401" s="29">
        <f t="shared" si="108"/>
        <v>4032.83</v>
      </c>
      <c r="P401" s="29">
        <f t="shared" si="109"/>
        <v>15795.250833333637</v>
      </c>
      <c r="Q401" s="29">
        <f t="shared" si="110"/>
        <v>19828.080833333639</v>
      </c>
      <c r="R401" s="29">
        <f t="shared" si="113"/>
        <v>28565.87916666636</v>
      </c>
    </row>
    <row r="402" spans="1:18">
      <c r="A402" s="44">
        <v>217873</v>
      </c>
      <c r="B402">
        <v>6</v>
      </c>
      <c r="C402" s="47" t="s">
        <v>820</v>
      </c>
      <c r="D402">
        <v>2019</v>
      </c>
      <c r="E402">
        <v>6</v>
      </c>
      <c r="F402">
        <v>0</v>
      </c>
      <c r="G402" s="47" t="s">
        <v>78</v>
      </c>
      <c r="H402" s="5">
        <v>12</v>
      </c>
      <c r="I402">
        <f t="shared" si="99"/>
        <v>2031</v>
      </c>
      <c r="J402" s="4">
        <f t="shared" si="100"/>
        <v>2031.5</v>
      </c>
      <c r="K402" s="29">
        <v>34135.760000000002</v>
      </c>
      <c r="L402" s="29">
        <f t="shared" si="114"/>
        <v>34135.760000000002</v>
      </c>
      <c r="M402" s="29">
        <f t="shared" si="111"/>
        <v>237.05388888888891</v>
      </c>
      <c r="N402" s="29">
        <f t="shared" si="112"/>
        <v>2844.646666666667</v>
      </c>
      <c r="O402" s="29">
        <f t="shared" si="108"/>
        <v>2844.646666666667</v>
      </c>
      <c r="P402" s="29">
        <f t="shared" si="109"/>
        <v>11141.532777777993</v>
      </c>
      <c r="Q402" s="29">
        <f t="shared" si="110"/>
        <v>13986.17944444466</v>
      </c>
      <c r="R402" s="29">
        <f t="shared" si="113"/>
        <v>20149.580555555342</v>
      </c>
    </row>
    <row r="403" spans="1:18">
      <c r="A403" s="44">
        <v>217348</v>
      </c>
      <c r="B403">
        <v>6</v>
      </c>
      <c r="C403" s="47" t="s">
        <v>820</v>
      </c>
      <c r="D403">
        <v>2019</v>
      </c>
      <c r="E403">
        <v>6</v>
      </c>
      <c r="F403">
        <v>0</v>
      </c>
      <c r="G403" s="47" t="s">
        <v>78</v>
      </c>
      <c r="H403" s="5">
        <v>12</v>
      </c>
      <c r="I403">
        <f t="shared" ref="I403:I408" si="115">D403+H403</f>
        <v>2031</v>
      </c>
      <c r="J403" s="4">
        <f t="shared" si="100"/>
        <v>2031.5</v>
      </c>
      <c r="K403" s="29">
        <v>33955.480000000003</v>
      </c>
      <c r="L403" s="29">
        <f t="shared" si="114"/>
        <v>33955.480000000003</v>
      </c>
      <c r="M403" s="29">
        <f t="shared" si="111"/>
        <v>235.80194444444444</v>
      </c>
      <c r="N403" s="29">
        <f t="shared" si="112"/>
        <v>2829.6233333333334</v>
      </c>
      <c r="O403" s="29">
        <f t="shared" si="108"/>
        <v>2829.6233333333334</v>
      </c>
      <c r="P403" s="29">
        <f t="shared" si="109"/>
        <v>11082.691388889107</v>
      </c>
      <c r="Q403" s="29">
        <f t="shared" si="110"/>
        <v>13912.31472222244</v>
      </c>
      <c r="R403" s="29">
        <f t="shared" si="113"/>
        <v>20043.165277777563</v>
      </c>
    </row>
    <row r="404" spans="1:18">
      <c r="A404" s="45">
        <v>227353</v>
      </c>
      <c r="B404">
        <v>5</v>
      </c>
      <c r="C404" s="47" t="s">
        <v>856</v>
      </c>
      <c r="D404">
        <v>2020</v>
      </c>
      <c r="E404">
        <v>1</v>
      </c>
      <c r="F404">
        <v>0</v>
      </c>
      <c r="G404" s="47" t="s">
        <v>78</v>
      </c>
      <c r="H404" s="5">
        <v>12</v>
      </c>
      <c r="I404">
        <f t="shared" si="115"/>
        <v>2032</v>
      </c>
      <c r="J404" s="4">
        <f t="shared" si="100"/>
        <v>2032.0833333333333</v>
      </c>
      <c r="K404" s="29">
        <v>25561.63</v>
      </c>
      <c r="L404" s="29">
        <f t="shared" si="114"/>
        <v>25561.63</v>
      </c>
      <c r="M404" s="29">
        <f t="shared" si="111"/>
        <v>177.51131944444444</v>
      </c>
      <c r="N404" s="29">
        <f t="shared" si="112"/>
        <v>2130.1358333333333</v>
      </c>
      <c r="O404" s="29">
        <f t="shared" si="108"/>
        <v>2130.1358333333333</v>
      </c>
      <c r="P404" s="29">
        <f t="shared" si="109"/>
        <v>7100.4527777781041</v>
      </c>
      <c r="Q404" s="29">
        <f t="shared" si="110"/>
        <v>9230.5886111114378</v>
      </c>
      <c r="R404" s="29">
        <f t="shared" si="113"/>
        <v>16331.041388888563</v>
      </c>
    </row>
    <row r="405" spans="1:18">
      <c r="A405" s="45">
        <v>240153</v>
      </c>
      <c r="B405">
        <v>2</v>
      </c>
      <c r="C405" s="47" t="s">
        <v>906</v>
      </c>
      <c r="D405">
        <v>2008</v>
      </c>
      <c r="E405">
        <v>11</v>
      </c>
      <c r="F405">
        <v>0</v>
      </c>
      <c r="G405" s="47" t="s">
        <v>78</v>
      </c>
      <c r="H405" s="5">
        <v>7</v>
      </c>
      <c r="I405">
        <f t="shared" si="115"/>
        <v>2015</v>
      </c>
      <c r="J405" s="4">
        <f t="shared" si="100"/>
        <v>2015.9166666666667</v>
      </c>
      <c r="K405" s="29">
        <v>3060</v>
      </c>
      <c r="L405" s="29">
        <f t="shared" si="114"/>
        <v>3060</v>
      </c>
      <c r="M405" s="29">
        <f t="shared" si="111"/>
        <v>36.428571428571431</v>
      </c>
      <c r="N405" s="29">
        <f t="shared" si="112"/>
        <v>437.14285714285717</v>
      </c>
      <c r="O405" s="29">
        <f t="shared" si="108"/>
        <v>0</v>
      </c>
      <c r="P405" s="29">
        <f t="shared" si="109"/>
        <v>3060</v>
      </c>
      <c r="Q405" s="29">
        <f t="shared" si="110"/>
        <v>3060</v>
      </c>
      <c r="R405" s="29">
        <f t="shared" si="113"/>
        <v>0</v>
      </c>
    </row>
    <row r="406" spans="1:18">
      <c r="O406" s="29">
        <f t="shared" si="108"/>
        <v>0</v>
      </c>
      <c r="Q406" s="29">
        <f t="shared" si="110"/>
        <v>0</v>
      </c>
    </row>
    <row r="407" spans="1:18">
      <c r="A407" s="44">
        <v>240306</v>
      </c>
      <c r="B407">
        <v>1</v>
      </c>
      <c r="C407" s="47" t="s">
        <v>904</v>
      </c>
      <c r="D407">
        <v>2008</v>
      </c>
      <c r="E407">
        <v>11</v>
      </c>
      <c r="F407">
        <v>0</v>
      </c>
      <c r="G407" s="47" t="s">
        <v>78</v>
      </c>
      <c r="H407" s="5">
        <v>7</v>
      </c>
      <c r="I407">
        <f>D407+H407</f>
        <v>2015</v>
      </c>
      <c r="J407" s="4">
        <f>+I407+(E407/12)</f>
        <v>2015.9166666666667</v>
      </c>
      <c r="K407" s="29">
        <v>135.63999999999999</v>
      </c>
      <c r="L407" s="29">
        <f>K407-K407*F407</f>
        <v>135.63999999999999</v>
      </c>
      <c r="M407" s="29">
        <f t="shared" si="111"/>
        <v>1.6147619047619044</v>
      </c>
      <c r="N407" s="29">
        <f t="shared" si="112"/>
        <v>19.377142857142854</v>
      </c>
      <c r="O407" s="29">
        <f t="shared" si="108"/>
        <v>0</v>
      </c>
      <c r="P407" s="29">
        <f t="shared" si="109"/>
        <v>135.63999999999999</v>
      </c>
      <c r="Q407" s="29">
        <f t="shared" si="110"/>
        <v>135.63999999999999</v>
      </c>
      <c r="R407" s="29">
        <f t="shared" si="113"/>
        <v>0</v>
      </c>
    </row>
    <row r="408" spans="1:18">
      <c r="A408" s="44">
        <v>241858</v>
      </c>
      <c r="B408">
        <v>2</v>
      </c>
      <c r="C408" s="47" t="s">
        <v>882</v>
      </c>
      <c r="D408">
        <v>2020</v>
      </c>
      <c r="E408">
        <v>11</v>
      </c>
      <c r="F408">
        <v>0</v>
      </c>
      <c r="G408" s="47" t="s">
        <v>78</v>
      </c>
      <c r="H408" s="5">
        <v>0</v>
      </c>
      <c r="I408">
        <f t="shared" si="115"/>
        <v>2020</v>
      </c>
      <c r="J408" s="4">
        <f t="shared" si="100"/>
        <v>2020.9166666666667</v>
      </c>
      <c r="K408" s="29">
        <v>0</v>
      </c>
      <c r="L408" s="29">
        <f>K408-K408*F408</f>
        <v>0</v>
      </c>
      <c r="M408" s="29">
        <f>IFERROR(L408/H408/12,0)</f>
        <v>0</v>
      </c>
      <c r="N408" s="29">
        <f t="shared" si="112"/>
        <v>0</v>
      </c>
      <c r="O408" s="29">
        <f t="shared" si="108"/>
        <v>0</v>
      </c>
      <c r="P408" s="29">
        <f t="shared" si="109"/>
        <v>0</v>
      </c>
      <c r="Q408" s="29">
        <f t="shared" si="110"/>
        <v>0</v>
      </c>
      <c r="R408" s="29">
        <f t="shared" si="113"/>
        <v>0</v>
      </c>
    </row>
    <row r="409" spans="1:18">
      <c r="A409" s="44">
        <v>244033</v>
      </c>
      <c r="B409">
        <v>1</v>
      </c>
      <c r="C409" s="47" t="s">
        <v>907</v>
      </c>
      <c r="D409">
        <v>2019</v>
      </c>
      <c r="E409">
        <v>4</v>
      </c>
      <c r="F409">
        <v>0</v>
      </c>
      <c r="G409" s="47" t="s">
        <v>78</v>
      </c>
      <c r="H409" s="5">
        <v>7</v>
      </c>
      <c r="I409">
        <f>D409+H409</f>
        <v>2026</v>
      </c>
      <c r="J409" s="4">
        <f>+I409+(E409/12)</f>
        <v>2026.3333333333333</v>
      </c>
      <c r="K409" s="29">
        <v>3000</v>
      </c>
      <c r="L409" s="29">
        <f>K409-K409*F409</f>
        <v>3000</v>
      </c>
      <c r="M409" s="29">
        <f t="shared" si="111"/>
        <v>35.714285714285715</v>
      </c>
      <c r="N409" s="29">
        <f t="shared" si="112"/>
        <v>428.57142857142856</v>
      </c>
      <c r="O409" s="29">
        <f t="shared" si="108"/>
        <v>428.57142857142856</v>
      </c>
      <c r="P409" s="29">
        <f t="shared" si="109"/>
        <v>1750.000000000065</v>
      </c>
      <c r="Q409" s="29">
        <f t="shared" si="110"/>
        <v>2178.5714285714935</v>
      </c>
      <c r="R409" s="29">
        <f t="shared" si="113"/>
        <v>821.42857142850653</v>
      </c>
    </row>
    <row r="410" spans="1:18">
      <c r="K410" s="29"/>
      <c r="L410" s="29"/>
      <c r="M410" s="29"/>
      <c r="N410" s="29"/>
      <c r="O410" s="29"/>
      <c r="P410" s="29"/>
      <c r="Q410" s="29"/>
      <c r="R410" s="29"/>
    </row>
    <row r="411" spans="1:18">
      <c r="C411" s="2" t="s">
        <v>394</v>
      </c>
      <c r="K411" s="76">
        <f t="shared" ref="K411:R411" si="116">SUM(K337:K410)</f>
        <v>1975308.2199999997</v>
      </c>
      <c r="L411" s="76">
        <f t="shared" si="116"/>
        <v>1975308.2199999997</v>
      </c>
      <c r="M411" s="76">
        <f t="shared" si="116"/>
        <v>18541.400341716315</v>
      </c>
      <c r="N411" s="76">
        <f t="shared" si="116"/>
        <v>222496.80410059576</v>
      </c>
      <c r="O411" s="76">
        <f t="shared" si="116"/>
        <v>222040.28410059575</v>
      </c>
      <c r="P411" s="76">
        <f t="shared" si="116"/>
        <v>241541.62034147658</v>
      </c>
      <c r="Q411" s="76">
        <f t="shared" si="116"/>
        <v>463581.90444207244</v>
      </c>
      <c r="R411" s="76">
        <f t="shared" si="116"/>
        <v>1511726.3155579278</v>
      </c>
    </row>
    <row r="412" spans="1:18">
      <c r="K412" s="29"/>
      <c r="L412" s="29"/>
      <c r="M412" s="29"/>
      <c r="N412" s="29"/>
      <c r="O412" s="29"/>
      <c r="P412" s="29"/>
      <c r="Q412" s="29"/>
      <c r="R412" s="29"/>
    </row>
    <row r="413" spans="1:18">
      <c r="K413" s="29"/>
      <c r="L413" s="29"/>
      <c r="M413" s="29"/>
      <c r="N413" s="29"/>
      <c r="O413" s="29"/>
      <c r="P413" s="29"/>
      <c r="Q413" s="29"/>
      <c r="R413" s="29"/>
    </row>
    <row r="414" spans="1:18">
      <c r="K414" s="29"/>
      <c r="L414" s="29"/>
      <c r="M414" s="29"/>
      <c r="N414" s="29"/>
      <c r="O414" s="29"/>
      <c r="P414" s="29"/>
      <c r="Q414" s="29"/>
      <c r="R414" s="29"/>
    </row>
    <row r="415" spans="1:18">
      <c r="C415" s="2" t="s">
        <v>396</v>
      </c>
      <c r="K415" s="29"/>
      <c r="L415" s="29"/>
      <c r="M415" s="29"/>
      <c r="N415" s="29"/>
      <c r="O415" s="29"/>
      <c r="P415" s="29"/>
      <c r="Q415" s="29"/>
      <c r="R415" s="29"/>
    </row>
    <row r="416" spans="1:18" ht="11.25" customHeight="1">
      <c r="B416">
        <v>23600</v>
      </c>
      <c r="C416" t="s">
        <v>236</v>
      </c>
      <c r="D416">
        <v>2007</v>
      </c>
      <c r="E416">
        <v>3</v>
      </c>
      <c r="F416">
        <v>0</v>
      </c>
      <c r="G416" t="s">
        <v>78</v>
      </c>
      <c r="H416" s="5" t="s">
        <v>9</v>
      </c>
      <c r="I416">
        <f t="shared" ref="I416:I439" si="117">D416+H416</f>
        <v>2017</v>
      </c>
      <c r="J416" s="4">
        <f t="shared" ref="J416:J439" si="118">+I416+(E416/12)</f>
        <v>2017.25</v>
      </c>
      <c r="K416" s="29">
        <v>1251419.21</v>
      </c>
      <c r="L416" s="29">
        <f t="shared" ref="L416:L440" si="119">K416-K416*F416</f>
        <v>1251419.21</v>
      </c>
      <c r="M416" s="29">
        <f t="shared" ref="M416" si="120">L416/H416/12</f>
        <v>10428.493416666666</v>
      </c>
      <c r="N416" s="29">
        <f t="shared" ref="N416" si="121">+M416*12</f>
        <v>125141.921</v>
      </c>
      <c r="O416" s="29">
        <f t="shared" ref="O416:O451" si="122">IF(J416&lt;=$N$6,0,N416)</f>
        <v>0</v>
      </c>
      <c r="P416" s="29">
        <f t="shared" ref="P416:P451" si="123">+IF($J416&lt;=$N$7,$L416,IF(($D416+($E416/12))&gt;=$N$7,0,((($L416-((($J416-$N$7)*12)*$M416))))))</f>
        <v>1251419.21</v>
      </c>
      <c r="Q416" s="29">
        <f t="shared" ref="Q416:Q451" si="124">IF(O416=0,L416,O416+P416)</f>
        <v>1251419.21</v>
      </c>
      <c r="R416" s="29">
        <f t="shared" ref="R416" si="125">+K416-Q416</f>
        <v>0</v>
      </c>
    </row>
    <row r="417" spans="1:18">
      <c r="B417">
        <v>20500</v>
      </c>
      <c r="C417" t="s">
        <v>237</v>
      </c>
      <c r="D417">
        <v>2007</v>
      </c>
      <c r="E417">
        <v>4</v>
      </c>
      <c r="F417">
        <v>0</v>
      </c>
      <c r="G417" t="s">
        <v>78</v>
      </c>
      <c r="H417" s="5" t="s">
        <v>9</v>
      </c>
      <c r="I417">
        <f t="shared" si="117"/>
        <v>2017</v>
      </c>
      <c r="J417" s="4">
        <f t="shared" si="118"/>
        <v>2017.3333333333333</v>
      </c>
      <c r="K417" s="29">
        <v>1088127.6000000001</v>
      </c>
      <c r="L417" s="29">
        <f t="shared" si="119"/>
        <v>1088127.6000000001</v>
      </c>
      <c r="M417" s="29">
        <f t="shared" ref="M417:M451" si="126">L417/H417/12</f>
        <v>9067.7300000000014</v>
      </c>
      <c r="N417" s="29">
        <f t="shared" ref="N417:N451" si="127">+M417*12</f>
        <v>108812.76000000001</v>
      </c>
      <c r="O417" s="29">
        <f t="shared" si="122"/>
        <v>0</v>
      </c>
      <c r="P417" s="29">
        <f t="shared" si="123"/>
        <v>1088127.6000000001</v>
      </c>
      <c r="Q417" s="29">
        <f t="shared" si="124"/>
        <v>1088127.6000000001</v>
      </c>
      <c r="R417" s="29">
        <f t="shared" ref="R417:R451" si="128">+K417-Q417</f>
        <v>0</v>
      </c>
    </row>
    <row r="418" spans="1:18">
      <c r="B418">
        <v>6006</v>
      </c>
      <c r="C418" t="s">
        <v>238</v>
      </c>
      <c r="D418">
        <v>2007</v>
      </c>
      <c r="E418">
        <v>5</v>
      </c>
      <c r="F418">
        <v>0</v>
      </c>
      <c r="G418" t="s">
        <v>78</v>
      </c>
      <c r="H418" s="5" t="s">
        <v>9</v>
      </c>
      <c r="I418">
        <f t="shared" si="117"/>
        <v>2017</v>
      </c>
      <c r="J418" s="4">
        <f t="shared" si="118"/>
        <v>2017.4166666666667</v>
      </c>
      <c r="K418" s="29">
        <v>288277.68</v>
      </c>
      <c r="L418" s="29">
        <f t="shared" si="119"/>
        <v>288277.68</v>
      </c>
      <c r="M418" s="29">
        <f t="shared" si="126"/>
        <v>2402.3139999999999</v>
      </c>
      <c r="N418" s="29">
        <f t="shared" si="127"/>
        <v>28827.767999999996</v>
      </c>
      <c r="O418" s="29">
        <f t="shared" si="122"/>
        <v>0</v>
      </c>
      <c r="P418" s="29">
        <f t="shared" si="123"/>
        <v>288277.68</v>
      </c>
      <c r="Q418" s="29">
        <f t="shared" si="124"/>
        <v>288277.68</v>
      </c>
      <c r="R418" s="29">
        <f t="shared" si="128"/>
        <v>0</v>
      </c>
    </row>
    <row r="419" spans="1:18">
      <c r="A419" s="44">
        <v>77217</v>
      </c>
      <c r="B419">
        <v>486</v>
      </c>
      <c r="C419" t="s">
        <v>402</v>
      </c>
      <c r="D419">
        <v>2010</v>
      </c>
      <c r="E419">
        <v>9</v>
      </c>
      <c r="F419">
        <v>0</v>
      </c>
      <c r="G419" t="s">
        <v>78</v>
      </c>
      <c r="H419" s="5" t="s">
        <v>9</v>
      </c>
      <c r="I419">
        <f t="shared" si="117"/>
        <v>2020</v>
      </c>
      <c r="J419" s="4">
        <f t="shared" si="118"/>
        <v>2020.75</v>
      </c>
      <c r="K419" s="29">
        <v>24055.88</v>
      </c>
      <c r="L419" s="29">
        <f t="shared" si="119"/>
        <v>24055.88</v>
      </c>
      <c r="M419" s="29">
        <f t="shared" si="126"/>
        <v>200.46566666666669</v>
      </c>
      <c r="N419" s="29">
        <f t="shared" si="127"/>
        <v>2405.5880000000002</v>
      </c>
      <c r="O419" s="29">
        <f t="shared" si="122"/>
        <v>0</v>
      </c>
      <c r="P419" s="29">
        <f t="shared" si="123"/>
        <v>24055.88</v>
      </c>
      <c r="Q419" s="29">
        <f t="shared" si="124"/>
        <v>24055.88</v>
      </c>
      <c r="R419" s="29">
        <f t="shared" si="128"/>
        <v>0</v>
      </c>
    </row>
    <row r="420" spans="1:18">
      <c r="A420" s="44">
        <v>78782</v>
      </c>
      <c r="B420">
        <v>360</v>
      </c>
      <c r="C420" t="s">
        <v>402</v>
      </c>
      <c r="D420">
        <v>2010</v>
      </c>
      <c r="E420">
        <v>11</v>
      </c>
      <c r="F420">
        <v>0</v>
      </c>
      <c r="G420" t="s">
        <v>78</v>
      </c>
      <c r="H420" s="5" t="s">
        <v>9</v>
      </c>
      <c r="I420">
        <f t="shared" si="117"/>
        <v>2020</v>
      </c>
      <c r="J420" s="4">
        <f t="shared" si="118"/>
        <v>2020.9166666666667</v>
      </c>
      <c r="K420" s="29">
        <v>17592.62</v>
      </c>
      <c r="L420" s="29">
        <f t="shared" si="119"/>
        <v>17592.62</v>
      </c>
      <c r="M420" s="29">
        <f t="shared" si="126"/>
        <v>146.60516666666666</v>
      </c>
      <c r="N420" s="29">
        <f t="shared" si="127"/>
        <v>1759.2619999999999</v>
      </c>
      <c r="O420" s="29">
        <f t="shared" si="122"/>
        <v>0</v>
      </c>
      <c r="P420" s="29">
        <f t="shared" si="123"/>
        <v>17592.62</v>
      </c>
      <c r="Q420" s="29">
        <f t="shared" si="124"/>
        <v>17592.62</v>
      </c>
      <c r="R420" s="29">
        <f t="shared" si="128"/>
        <v>0</v>
      </c>
    </row>
    <row r="421" spans="1:18">
      <c r="A421" s="44" t="s">
        <v>426</v>
      </c>
      <c r="B421">
        <v>629</v>
      </c>
      <c r="C421" t="s">
        <v>402</v>
      </c>
      <c r="D421">
        <v>2011</v>
      </c>
      <c r="E421">
        <v>4</v>
      </c>
      <c r="F421">
        <v>0</v>
      </c>
      <c r="G421" t="s">
        <v>78</v>
      </c>
      <c r="H421" s="5" t="s">
        <v>9</v>
      </c>
      <c r="I421">
        <f t="shared" si="117"/>
        <v>2021</v>
      </c>
      <c r="J421" s="4">
        <f t="shared" si="118"/>
        <v>2021.3333333333333</v>
      </c>
      <c r="K421" s="29">
        <v>33468.239999999998</v>
      </c>
      <c r="L421" s="29">
        <f t="shared" si="119"/>
        <v>33468.239999999998</v>
      </c>
      <c r="M421" s="29">
        <f t="shared" si="126"/>
        <v>278.90199999999999</v>
      </c>
      <c r="N421" s="29">
        <f t="shared" si="127"/>
        <v>3346.8239999999996</v>
      </c>
      <c r="O421" s="29">
        <f t="shared" si="122"/>
        <v>0</v>
      </c>
      <c r="P421" s="29">
        <f t="shared" si="123"/>
        <v>33468.239999999998</v>
      </c>
      <c r="Q421" s="29">
        <f t="shared" si="124"/>
        <v>33468.239999999998</v>
      </c>
      <c r="R421" s="29">
        <f t="shared" si="128"/>
        <v>0</v>
      </c>
    </row>
    <row r="422" spans="1:18">
      <c r="A422" s="44">
        <v>86471</v>
      </c>
      <c r="B422">
        <v>486</v>
      </c>
      <c r="C422" t="s">
        <v>402</v>
      </c>
      <c r="D422">
        <v>2011</v>
      </c>
      <c r="E422">
        <v>9</v>
      </c>
      <c r="F422">
        <v>0</v>
      </c>
      <c r="G422" t="s">
        <v>78</v>
      </c>
      <c r="H422" s="5" t="s">
        <v>9</v>
      </c>
      <c r="I422">
        <f t="shared" si="117"/>
        <v>2021</v>
      </c>
      <c r="J422" s="4">
        <f t="shared" si="118"/>
        <v>2021.75</v>
      </c>
      <c r="K422" s="29">
        <v>26699.38</v>
      </c>
      <c r="L422" s="29">
        <f t="shared" si="119"/>
        <v>26699.38</v>
      </c>
      <c r="M422" s="29">
        <f t="shared" si="126"/>
        <v>222.49483333333333</v>
      </c>
      <c r="N422" s="29">
        <f t="shared" si="127"/>
        <v>2669.9380000000001</v>
      </c>
      <c r="O422" s="29">
        <f t="shared" si="122"/>
        <v>0</v>
      </c>
      <c r="P422" s="29">
        <f t="shared" si="123"/>
        <v>26699.38</v>
      </c>
      <c r="Q422" s="29">
        <f t="shared" si="124"/>
        <v>26699.38</v>
      </c>
      <c r="R422" s="29">
        <f t="shared" si="128"/>
        <v>0</v>
      </c>
    </row>
    <row r="423" spans="1:18">
      <c r="A423" s="44">
        <v>88134</v>
      </c>
      <c r="B423">
        <v>486</v>
      </c>
      <c r="C423" t="s">
        <v>402</v>
      </c>
      <c r="D423">
        <v>2011</v>
      </c>
      <c r="E423">
        <v>10</v>
      </c>
      <c r="F423">
        <v>0</v>
      </c>
      <c r="G423" t="s">
        <v>78</v>
      </c>
      <c r="H423" s="5" t="s">
        <v>9</v>
      </c>
      <c r="I423">
        <f t="shared" si="117"/>
        <v>2021</v>
      </c>
      <c r="J423" s="4">
        <f t="shared" si="118"/>
        <v>2021.8333333333333</v>
      </c>
      <c r="K423" s="29">
        <v>26699.38</v>
      </c>
      <c r="L423" s="29">
        <f t="shared" si="119"/>
        <v>26699.38</v>
      </c>
      <c r="M423" s="29">
        <f t="shared" si="126"/>
        <v>222.49483333333333</v>
      </c>
      <c r="N423" s="29">
        <f t="shared" si="127"/>
        <v>2669.9380000000001</v>
      </c>
      <c r="O423" s="29">
        <f t="shared" si="122"/>
        <v>0</v>
      </c>
      <c r="P423" s="29">
        <f t="shared" si="123"/>
        <v>26699.38</v>
      </c>
      <c r="Q423" s="29">
        <f t="shared" si="124"/>
        <v>26699.38</v>
      </c>
      <c r="R423" s="29">
        <f t="shared" si="128"/>
        <v>0</v>
      </c>
    </row>
    <row r="424" spans="1:18">
      <c r="A424" s="44" t="s">
        <v>464</v>
      </c>
      <c r="B424">
        <v>486</v>
      </c>
      <c r="C424" t="s">
        <v>465</v>
      </c>
      <c r="D424">
        <v>2012</v>
      </c>
      <c r="E424">
        <v>6</v>
      </c>
      <c r="F424">
        <v>0</v>
      </c>
      <c r="G424" t="s">
        <v>78</v>
      </c>
      <c r="H424" s="5" t="s">
        <v>9</v>
      </c>
      <c r="I424">
        <f t="shared" si="117"/>
        <v>2022</v>
      </c>
      <c r="J424" s="4">
        <f t="shared" si="118"/>
        <v>2022.5</v>
      </c>
      <c r="K424" s="29">
        <v>25210</v>
      </c>
      <c r="L424" s="29">
        <f t="shared" si="119"/>
        <v>25210</v>
      </c>
      <c r="M424" s="29">
        <f t="shared" si="126"/>
        <v>210.08333333333334</v>
      </c>
      <c r="N424" s="29">
        <f t="shared" si="127"/>
        <v>2521</v>
      </c>
      <c r="O424" s="29">
        <f t="shared" si="122"/>
        <v>0</v>
      </c>
      <c r="P424" s="29">
        <f t="shared" si="123"/>
        <v>25210</v>
      </c>
      <c r="Q424" s="29">
        <f t="shared" si="124"/>
        <v>25210</v>
      </c>
      <c r="R424" s="29">
        <f t="shared" si="128"/>
        <v>0</v>
      </c>
    </row>
    <row r="425" spans="1:18">
      <c r="A425" s="44" t="s">
        <v>480</v>
      </c>
      <c r="B425">
        <v>360</v>
      </c>
      <c r="C425" t="s">
        <v>510</v>
      </c>
      <c r="D425">
        <v>2013</v>
      </c>
      <c r="E425">
        <v>5</v>
      </c>
      <c r="F425">
        <v>0</v>
      </c>
      <c r="G425" t="s">
        <v>78</v>
      </c>
      <c r="H425" s="5">
        <v>7</v>
      </c>
      <c r="I425">
        <f t="shared" si="117"/>
        <v>2020</v>
      </c>
      <c r="J425" s="4">
        <f t="shared" si="118"/>
        <v>2020.4166666666667</v>
      </c>
      <c r="K425" s="29">
        <f>14320.19+4482.74</f>
        <v>18802.93</v>
      </c>
      <c r="L425" s="29">
        <f t="shared" si="119"/>
        <v>18802.93</v>
      </c>
      <c r="M425" s="29">
        <f t="shared" si="126"/>
        <v>223.84440476190477</v>
      </c>
      <c r="N425" s="29">
        <f t="shared" si="127"/>
        <v>2686.1328571428571</v>
      </c>
      <c r="O425" s="29">
        <f t="shared" si="122"/>
        <v>0</v>
      </c>
      <c r="P425" s="29">
        <f t="shared" si="123"/>
        <v>18802.93</v>
      </c>
      <c r="Q425" s="29">
        <f t="shared" si="124"/>
        <v>18802.93</v>
      </c>
      <c r="R425" s="29">
        <f t="shared" si="128"/>
        <v>0</v>
      </c>
    </row>
    <row r="426" spans="1:18">
      <c r="A426" s="44" t="s">
        <v>482</v>
      </c>
      <c r="B426">
        <f>486+5</f>
        <v>491</v>
      </c>
      <c r="C426" t="s">
        <v>510</v>
      </c>
      <c r="D426">
        <v>2013</v>
      </c>
      <c r="E426">
        <v>7</v>
      </c>
      <c r="F426">
        <v>0</v>
      </c>
      <c r="G426" t="s">
        <v>78</v>
      </c>
      <c r="H426" s="5">
        <v>7</v>
      </c>
      <c r="I426">
        <f t="shared" si="117"/>
        <v>2020</v>
      </c>
      <c r="J426" s="4">
        <f t="shared" si="118"/>
        <v>2020.5833333333333</v>
      </c>
      <c r="K426" s="29">
        <f>24969.75+243.98</f>
        <v>25213.73</v>
      </c>
      <c r="L426" s="29">
        <f t="shared" si="119"/>
        <v>25213.73</v>
      </c>
      <c r="M426" s="29">
        <f t="shared" si="126"/>
        <v>300.16345238095238</v>
      </c>
      <c r="N426" s="29">
        <f t="shared" si="127"/>
        <v>3601.9614285714288</v>
      </c>
      <c r="O426" s="29">
        <f t="shared" si="122"/>
        <v>0</v>
      </c>
      <c r="P426" s="29">
        <f t="shared" si="123"/>
        <v>25213.73</v>
      </c>
      <c r="Q426" s="29">
        <f t="shared" si="124"/>
        <v>25213.73</v>
      </c>
      <c r="R426" s="29">
        <f t="shared" si="128"/>
        <v>0</v>
      </c>
    </row>
    <row r="427" spans="1:18">
      <c r="A427" s="44" t="s">
        <v>488</v>
      </c>
      <c r="B427">
        <f>121+1</f>
        <v>122</v>
      </c>
      <c r="C427" t="s">
        <v>510</v>
      </c>
      <c r="D427">
        <v>2013</v>
      </c>
      <c r="E427">
        <v>11</v>
      </c>
      <c r="F427">
        <v>0</v>
      </c>
      <c r="G427" t="s">
        <v>78</v>
      </c>
      <c r="H427" s="5">
        <v>7</v>
      </c>
      <c r="I427">
        <f t="shared" si="117"/>
        <v>2020</v>
      </c>
      <c r="J427" s="4">
        <f t="shared" si="118"/>
        <v>2020.9166666666667</v>
      </c>
      <c r="K427" s="29">
        <f>7248.64+47.49</f>
        <v>7296.13</v>
      </c>
      <c r="L427" s="29">
        <f t="shared" si="119"/>
        <v>7296.13</v>
      </c>
      <c r="M427" s="29">
        <f t="shared" si="126"/>
        <v>86.858690476190475</v>
      </c>
      <c r="N427" s="29">
        <f t="shared" si="127"/>
        <v>1042.3042857142857</v>
      </c>
      <c r="O427" s="29">
        <f t="shared" si="122"/>
        <v>0</v>
      </c>
      <c r="P427" s="29">
        <f t="shared" si="123"/>
        <v>7296.13</v>
      </c>
      <c r="Q427" s="29">
        <f t="shared" si="124"/>
        <v>7296.13</v>
      </c>
      <c r="R427" s="29">
        <f t="shared" si="128"/>
        <v>0</v>
      </c>
    </row>
    <row r="428" spans="1:18">
      <c r="A428" s="44">
        <v>112461</v>
      </c>
      <c r="B428">
        <v>486</v>
      </c>
      <c r="C428" t="s">
        <v>510</v>
      </c>
      <c r="D428">
        <v>2014</v>
      </c>
      <c r="E428">
        <v>3</v>
      </c>
      <c r="F428">
        <v>0</v>
      </c>
      <c r="G428" t="s">
        <v>78</v>
      </c>
      <c r="H428" s="5">
        <v>7</v>
      </c>
      <c r="I428">
        <f t="shared" si="117"/>
        <v>2021</v>
      </c>
      <c r="J428" s="4">
        <f t="shared" si="118"/>
        <v>2021.25</v>
      </c>
      <c r="K428" s="29">
        <v>27064.05</v>
      </c>
      <c r="L428" s="29">
        <f t="shared" si="119"/>
        <v>27064.05</v>
      </c>
      <c r="M428" s="29">
        <f t="shared" si="126"/>
        <v>322.19107142857143</v>
      </c>
      <c r="N428" s="29">
        <f t="shared" si="127"/>
        <v>3866.2928571428574</v>
      </c>
      <c r="O428" s="29">
        <f t="shared" si="122"/>
        <v>0</v>
      </c>
      <c r="P428" s="29">
        <f t="shared" si="123"/>
        <v>27064.05</v>
      </c>
      <c r="Q428" s="29">
        <f t="shared" si="124"/>
        <v>27064.05</v>
      </c>
      <c r="R428" s="29">
        <f t="shared" si="128"/>
        <v>0</v>
      </c>
    </row>
    <row r="429" spans="1:18">
      <c r="A429" s="44">
        <v>115102</v>
      </c>
      <c r="B429">
        <v>624</v>
      </c>
      <c r="C429" t="s">
        <v>511</v>
      </c>
      <c r="D429">
        <v>2014</v>
      </c>
      <c r="E429">
        <v>7</v>
      </c>
      <c r="F429">
        <v>0</v>
      </c>
      <c r="G429" t="s">
        <v>78</v>
      </c>
      <c r="H429" s="5">
        <v>7</v>
      </c>
      <c r="I429">
        <f t="shared" si="117"/>
        <v>2021</v>
      </c>
      <c r="J429" s="4">
        <f t="shared" si="118"/>
        <v>2021.5833333333333</v>
      </c>
      <c r="K429" s="29">
        <v>36227.360000000001</v>
      </c>
      <c r="L429" s="29">
        <f t="shared" si="119"/>
        <v>36227.360000000001</v>
      </c>
      <c r="M429" s="29">
        <f t="shared" si="126"/>
        <v>431.2780952380952</v>
      </c>
      <c r="N429" s="29">
        <f t="shared" si="127"/>
        <v>5175.3371428571427</v>
      </c>
      <c r="O429" s="29">
        <f t="shared" si="122"/>
        <v>0</v>
      </c>
      <c r="P429" s="29">
        <f t="shared" si="123"/>
        <v>36227.360000000001</v>
      </c>
      <c r="Q429" s="29">
        <f t="shared" si="124"/>
        <v>36227.360000000001</v>
      </c>
      <c r="R429" s="29">
        <f t="shared" si="128"/>
        <v>0</v>
      </c>
    </row>
    <row r="430" spans="1:18">
      <c r="A430" s="44">
        <v>120168</v>
      </c>
      <c r="B430">
        <v>624</v>
      </c>
      <c r="C430" t="s">
        <v>511</v>
      </c>
      <c r="D430">
        <v>2015</v>
      </c>
      <c r="E430">
        <v>1</v>
      </c>
      <c r="F430">
        <v>0</v>
      </c>
      <c r="G430" t="s">
        <v>78</v>
      </c>
      <c r="H430" s="5">
        <v>7</v>
      </c>
      <c r="I430">
        <f t="shared" si="117"/>
        <v>2022</v>
      </c>
      <c r="J430" s="4">
        <f t="shared" si="118"/>
        <v>2022.0833333333333</v>
      </c>
      <c r="K430" s="29">
        <v>33703.620000000003</v>
      </c>
      <c r="L430" s="29">
        <f t="shared" si="119"/>
        <v>33703.620000000003</v>
      </c>
      <c r="M430" s="29">
        <f t="shared" si="126"/>
        <v>401.23357142857145</v>
      </c>
      <c r="N430" s="29">
        <f t="shared" si="127"/>
        <v>4814.8028571428576</v>
      </c>
      <c r="O430" s="29">
        <f t="shared" si="122"/>
        <v>0</v>
      </c>
      <c r="P430" s="29">
        <f t="shared" si="123"/>
        <v>33703.620000000003</v>
      </c>
      <c r="Q430" s="29">
        <f t="shared" si="124"/>
        <v>33703.620000000003</v>
      </c>
      <c r="R430" s="29">
        <f t="shared" si="128"/>
        <v>0</v>
      </c>
    </row>
    <row r="431" spans="1:18">
      <c r="A431" s="44" t="s">
        <v>565</v>
      </c>
      <c r="B431">
        <f>624+156</f>
        <v>780</v>
      </c>
      <c r="C431" t="s">
        <v>511</v>
      </c>
      <c r="D431">
        <v>2015</v>
      </c>
      <c r="E431">
        <v>4</v>
      </c>
      <c r="F431">
        <v>0</v>
      </c>
      <c r="G431" t="s">
        <v>78</v>
      </c>
      <c r="H431" s="5">
        <v>7</v>
      </c>
      <c r="I431">
        <f t="shared" si="117"/>
        <v>2022</v>
      </c>
      <c r="J431" s="4">
        <f t="shared" si="118"/>
        <v>2022.3333333333333</v>
      </c>
      <c r="K431" s="29">
        <f>33250.24+8180.16</f>
        <v>41430.399999999994</v>
      </c>
      <c r="L431" s="29">
        <f t="shared" si="119"/>
        <v>41430.399999999994</v>
      </c>
      <c r="M431" s="29">
        <f t="shared" si="126"/>
        <v>493.21904761904756</v>
      </c>
      <c r="N431" s="29">
        <f t="shared" si="127"/>
        <v>5918.6285714285705</v>
      </c>
      <c r="O431" s="29">
        <f t="shared" si="122"/>
        <v>0</v>
      </c>
      <c r="P431" s="29">
        <f t="shared" si="123"/>
        <v>41430.399999999994</v>
      </c>
      <c r="Q431" s="29">
        <f t="shared" si="124"/>
        <v>41430.399999999994</v>
      </c>
      <c r="R431" s="29">
        <f t="shared" si="128"/>
        <v>0</v>
      </c>
    </row>
    <row r="432" spans="1:18">
      <c r="A432" s="44">
        <v>123664</v>
      </c>
      <c r="B432">
        <v>276</v>
      </c>
      <c r="C432" t="s">
        <v>511</v>
      </c>
      <c r="D432">
        <v>2015</v>
      </c>
      <c r="E432">
        <v>6</v>
      </c>
      <c r="F432">
        <v>0</v>
      </c>
      <c r="G432" t="s">
        <v>78</v>
      </c>
      <c r="H432" s="5">
        <v>7</v>
      </c>
      <c r="I432">
        <f t="shared" si="117"/>
        <v>2022</v>
      </c>
      <c r="J432" s="4">
        <f t="shared" si="118"/>
        <v>2022.5</v>
      </c>
      <c r="K432" s="29">
        <v>14190.57</v>
      </c>
      <c r="L432" s="29">
        <f t="shared" si="119"/>
        <v>14190.57</v>
      </c>
      <c r="M432" s="29">
        <f t="shared" si="126"/>
        <v>168.93535714285716</v>
      </c>
      <c r="N432" s="29">
        <f t="shared" si="127"/>
        <v>2027.224285714286</v>
      </c>
      <c r="O432" s="29">
        <f t="shared" si="122"/>
        <v>0</v>
      </c>
      <c r="P432" s="29">
        <f t="shared" si="123"/>
        <v>14190.57</v>
      </c>
      <c r="Q432" s="29">
        <f t="shared" si="124"/>
        <v>14190.57</v>
      </c>
      <c r="R432" s="29">
        <f t="shared" si="128"/>
        <v>0</v>
      </c>
    </row>
    <row r="433" spans="1:18">
      <c r="A433" s="44">
        <v>128181</v>
      </c>
      <c r="B433">
        <v>624</v>
      </c>
      <c r="C433" t="s">
        <v>511</v>
      </c>
      <c r="D433">
        <v>2015</v>
      </c>
      <c r="E433">
        <v>10</v>
      </c>
      <c r="F433">
        <v>0</v>
      </c>
      <c r="G433" t="s">
        <v>78</v>
      </c>
      <c r="H433" s="5">
        <v>7</v>
      </c>
      <c r="I433">
        <f t="shared" si="117"/>
        <v>2022</v>
      </c>
      <c r="J433" s="4">
        <f t="shared" si="118"/>
        <v>2022.8333333333333</v>
      </c>
      <c r="K433" s="29">
        <v>31816.22</v>
      </c>
      <c r="L433" s="29">
        <f t="shared" si="119"/>
        <v>31816.22</v>
      </c>
      <c r="M433" s="29">
        <f t="shared" si="126"/>
        <v>378.76452380952384</v>
      </c>
      <c r="N433" s="29">
        <f t="shared" si="127"/>
        <v>4545.1742857142863</v>
      </c>
      <c r="O433" s="29">
        <f t="shared" si="122"/>
        <v>0</v>
      </c>
      <c r="P433" s="29">
        <f t="shared" si="123"/>
        <v>31816.22</v>
      </c>
      <c r="Q433" s="29">
        <f t="shared" si="124"/>
        <v>31816.22</v>
      </c>
      <c r="R433" s="29">
        <f t="shared" si="128"/>
        <v>0</v>
      </c>
    </row>
    <row r="434" spans="1:18">
      <c r="A434" s="44">
        <v>128182</v>
      </c>
      <c r="B434">
        <v>624</v>
      </c>
      <c r="C434" t="s">
        <v>511</v>
      </c>
      <c r="D434">
        <v>2015</v>
      </c>
      <c r="E434">
        <v>11</v>
      </c>
      <c r="F434">
        <v>0</v>
      </c>
      <c r="G434" t="s">
        <v>78</v>
      </c>
      <c r="H434" s="5">
        <v>7</v>
      </c>
      <c r="I434">
        <f t="shared" si="117"/>
        <v>2022</v>
      </c>
      <c r="J434" s="4">
        <f t="shared" si="118"/>
        <v>2022.9166666666667</v>
      </c>
      <c r="K434" s="29">
        <v>32078.49</v>
      </c>
      <c r="L434" s="29">
        <f t="shared" si="119"/>
        <v>32078.49</v>
      </c>
      <c r="M434" s="29">
        <f t="shared" si="126"/>
        <v>381.88678571428574</v>
      </c>
      <c r="N434" s="29">
        <f t="shared" si="127"/>
        <v>4582.6414285714291</v>
      </c>
      <c r="O434" s="29">
        <f t="shared" si="122"/>
        <v>0</v>
      </c>
      <c r="P434" s="29">
        <f t="shared" si="123"/>
        <v>32078.49</v>
      </c>
      <c r="Q434" s="29">
        <f t="shared" si="124"/>
        <v>32078.49</v>
      </c>
      <c r="R434" s="29">
        <f t="shared" si="128"/>
        <v>0</v>
      </c>
    </row>
    <row r="435" spans="1:18">
      <c r="A435" s="44">
        <v>131776</v>
      </c>
      <c r="B435">
        <v>312</v>
      </c>
      <c r="C435" t="s">
        <v>511</v>
      </c>
      <c r="D435">
        <v>2016</v>
      </c>
      <c r="E435">
        <v>3</v>
      </c>
      <c r="F435">
        <v>0</v>
      </c>
      <c r="G435" t="s">
        <v>78</v>
      </c>
      <c r="H435" s="5">
        <v>7</v>
      </c>
      <c r="I435">
        <f t="shared" si="117"/>
        <v>2023</v>
      </c>
      <c r="J435" s="4">
        <f t="shared" si="118"/>
        <v>2023.25</v>
      </c>
      <c r="K435" s="29">
        <v>15417.47</v>
      </c>
      <c r="L435" s="29">
        <f t="shared" si="119"/>
        <v>15417.47</v>
      </c>
      <c r="M435" s="29">
        <f t="shared" si="126"/>
        <v>183.54130952380953</v>
      </c>
      <c r="N435" s="29">
        <f t="shared" si="127"/>
        <v>2202.4957142857143</v>
      </c>
      <c r="O435" s="29">
        <f t="shared" si="122"/>
        <v>0</v>
      </c>
      <c r="P435" s="29">
        <f t="shared" si="123"/>
        <v>15417.47</v>
      </c>
      <c r="Q435" s="29">
        <f t="shared" si="124"/>
        <v>15417.47</v>
      </c>
      <c r="R435" s="29">
        <f t="shared" si="128"/>
        <v>0</v>
      </c>
    </row>
    <row r="436" spans="1:18">
      <c r="A436" s="44">
        <v>170977</v>
      </c>
      <c r="B436">
        <v>624</v>
      </c>
      <c r="C436" t="s">
        <v>511</v>
      </c>
      <c r="D436">
        <v>2016</v>
      </c>
      <c r="E436">
        <v>12</v>
      </c>
      <c r="F436">
        <v>0</v>
      </c>
      <c r="G436" t="s">
        <v>78</v>
      </c>
      <c r="H436" s="5">
        <v>7</v>
      </c>
      <c r="I436">
        <f t="shared" si="117"/>
        <v>2023</v>
      </c>
      <c r="J436" s="4">
        <f t="shared" si="118"/>
        <v>2024</v>
      </c>
      <c r="K436" s="29">
        <v>31926.69</v>
      </c>
      <c r="L436" s="29">
        <f t="shared" si="119"/>
        <v>31926.69</v>
      </c>
      <c r="M436" s="29">
        <f t="shared" si="126"/>
        <v>380.0796428571428</v>
      </c>
      <c r="N436" s="29">
        <f t="shared" si="127"/>
        <v>4560.9557142857138</v>
      </c>
      <c r="O436" s="29">
        <f t="shared" si="122"/>
        <v>0</v>
      </c>
      <c r="P436" s="29">
        <f t="shared" si="123"/>
        <v>29266.132500000345</v>
      </c>
      <c r="Q436" s="29">
        <f t="shared" si="124"/>
        <v>31926.69</v>
      </c>
      <c r="R436" s="29">
        <f t="shared" si="128"/>
        <v>0</v>
      </c>
    </row>
    <row r="437" spans="1:18">
      <c r="A437" s="44">
        <v>182635</v>
      </c>
      <c r="B437">
        <v>624</v>
      </c>
      <c r="C437" t="s">
        <v>618</v>
      </c>
      <c r="D437">
        <v>2017</v>
      </c>
      <c r="E437">
        <v>6</v>
      </c>
      <c r="F437">
        <v>0</v>
      </c>
      <c r="G437" t="s">
        <v>78</v>
      </c>
      <c r="H437" s="5">
        <v>7</v>
      </c>
      <c r="I437">
        <f t="shared" si="117"/>
        <v>2024</v>
      </c>
      <c r="J437" s="4">
        <f t="shared" si="118"/>
        <v>2024.5</v>
      </c>
      <c r="K437" s="29">
        <v>32816.83</v>
      </c>
      <c r="L437" s="29">
        <f t="shared" si="119"/>
        <v>32816.83</v>
      </c>
      <c r="M437" s="29">
        <f t="shared" si="126"/>
        <v>390.67654761904765</v>
      </c>
      <c r="N437" s="29">
        <f t="shared" si="127"/>
        <v>4688.1185714285721</v>
      </c>
      <c r="O437" s="29">
        <f t="shared" si="122"/>
        <v>4688.1185714285721</v>
      </c>
      <c r="P437" s="29">
        <f t="shared" si="123"/>
        <v>27738.034880952739</v>
      </c>
      <c r="Q437" s="29">
        <f t="shared" si="124"/>
        <v>32426.15345238131</v>
      </c>
      <c r="R437" s="29">
        <f t="shared" si="128"/>
        <v>390.67654761869198</v>
      </c>
    </row>
    <row r="438" spans="1:18">
      <c r="A438" s="44">
        <v>178889</v>
      </c>
      <c r="B438">
        <v>624</v>
      </c>
      <c r="C438" t="s">
        <v>622</v>
      </c>
      <c r="D438">
        <v>2017</v>
      </c>
      <c r="E438">
        <v>3</v>
      </c>
      <c r="F438">
        <v>0</v>
      </c>
      <c r="G438" t="s">
        <v>78</v>
      </c>
      <c r="H438" s="5">
        <v>7</v>
      </c>
      <c r="I438">
        <f t="shared" si="117"/>
        <v>2024</v>
      </c>
      <c r="J438" s="4">
        <f t="shared" si="118"/>
        <v>2024.25</v>
      </c>
      <c r="K438" s="29">
        <v>31795.97</v>
      </c>
      <c r="L438" s="29">
        <f t="shared" si="119"/>
        <v>31795.97</v>
      </c>
      <c r="M438" s="29">
        <f t="shared" si="126"/>
        <v>378.52345238095239</v>
      </c>
      <c r="N438" s="29">
        <f t="shared" si="127"/>
        <v>4542.2814285714285</v>
      </c>
      <c r="O438" s="29">
        <f t="shared" si="122"/>
        <v>0</v>
      </c>
      <c r="P438" s="29">
        <f t="shared" si="123"/>
        <v>28010.735476190821</v>
      </c>
      <c r="Q438" s="29">
        <f t="shared" si="124"/>
        <v>31795.97</v>
      </c>
      <c r="R438" s="29">
        <f t="shared" si="128"/>
        <v>0</v>
      </c>
    </row>
    <row r="439" spans="1:18">
      <c r="A439" s="44">
        <v>187522</v>
      </c>
      <c r="B439">
        <v>624</v>
      </c>
      <c r="C439" t="s">
        <v>720</v>
      </c>
      <c r="D439">
        <v>2017</v>
      </c>
      <c r="E439">
        <v>10</v>
      </c>
      <c r="F439">
        <v>0</v>
      </c>
      <c r="G439" t="s">
        <v>78</v>
      </c>
      <c r="H439" s="5">
        <v>7</v>
      </c>
      <c r="I439">
        <f t="shared" si="117"/>
        <v>2024</v>
      </c>
      <c r="J439" s="4">
        <f t="shared" si="118"/>
        <v>2024.8333333333333</v>
      </c>
      <c r="K439" s="29">
        <v>32805.43</v>
      </c>
      <c r="L439" s="29">
        <f t="shared" si="119"/>
        <v>32805.43</v>
      </c>
      <c r="M439" s="29">
        <f t="shared" si="126"/>
        <v>390.5408333333333</v>
      </c>
      <c r="N439" s="29">
        <f t="shared" si="127"/>
        <v>4686.49</v>
      </c>
      <c r="O439" s="29">
        <f t="shared" si="122"/>
        <v>4686.49</v>
      </c>
      <c r="P439" s="29">
        <f t="shared" si="123"/>
        <v>26166.235833334045</v>
      </c>
      <c r="Q439" s="29">
        <f t="shared" si="124"/>
        <v>30852.725833334043</v>
      </c>
      <c r="R439" s="29">
        <f t="shared" si="128"/>
        <v>1952.704166665957</v>
      </c>
    </row>
    <row r="440" spans="1:18">
      <c r="A440" s="44">
        <v>187521</v>
      </c>
      <c r="B440">
        <v>624</v>
      </c>
      <c r="C440" t="s">
        <v>720</v>
      </c>
      <c r="D440">
        <v>2017</v>
      </c>
      <c r="E440">
        <v>10</v>
      </c>
      <c r="F440">
        <v>0</v>
      </c>
      <c r="G440" t="s">
        <v>78</v>
      </c>
      <c r="H440" s="5">
        <v>7</v>
      </c>
      <c r="I440">
        <f t="shared" ref="I440:I451" si="129">D440+H440</f>
        <v>2024</v>
      </c>
      <c r="J440" s="4">
        <f>+I440+(E440/12)</f>
        <v>2024.8333333333333</v>
      </c>
      <c r="K440" s="29">
        <v>32805.43</v>
      </c>
      <c r="L440" s="29">
        <f t="shared" si="119"/>
        <v>32805.43</v>
      </c>
      <c r="M440" s="29">
        <f t="shared" si="126"/>
        <v>390.5408333333333</v>
      </c>
      <c r="N440" s="29">
        <f t="shared" si="127"/>
        <v>4686.49</v>
      </c>
      <c r="O440" s="29">
        <f t="shared" si="122"/>
        <v>4686.49</v>
      </c>
      <c r="P440" s="29">
        <f t="shared" si="123"/>
        <v>26166.235833334045</v>
      </c>
      <c r="Q440" s="29">
        <f t="shared" si="124"/>
        <v>30852.725833334043</v>
      </c>
      <c r="R440" s="29">
        <f t="shared" si="128"/>
        <v>1952.704166665957</v>
      </c>
    </row>
    <row r="441" spans="1:18">
      <c r="A441" s="44">
        <v>190751</v>
      </c>
      <c r="B441">
        <v>642</v>
      </c>
      <c r="C441" t="s">
        <v>622</v>
      </c>
      <c r="D441">
        <v>2017</v>
      </c>
      <c r="E441">
        <v>11</v>
      </c>
      <c r="F441">
        <v>0</v>
      </c>
      <c r="G441" t="s">
        <v>78</v>
      </c>
      <c r="H441" s="5">
        <v>7</v>
      </c>
      <c r="I441">
        <f t="shared" si="129"/>
        <v>2024</v>
      </c>
      <c r="J441" s="4">
        <f>+I441+(E441/12)</f>
        <v>2024.9166666666667</v>
      </c>
      <c r="K441" s="29">
        <v>32805.43</v>
      </c>
      <c r="L441" s="29">
        <f>K441-K441*F441</f>
        <v>32805.43</v>
      </c>
      <c r="M441" s="29">
        <f t="shared" si="126"/>
        <v>390.5408333333333</v>
      </c>
      <c r="N441" s="29">
        <f t="shared" si="127"/>
        <v>4686.49</v>
      </c>
      <c r="O441" s="29">
        <f t="shared" si="122"/>
        <v>4686.49</v>
      </c>
      <c r="P441" s="29">
        <f t="shared" si="123"/>
        <v>25775.695</v>
      </c>
      <c r="Q441" s="29">
        <f t="shared" si="124"/>
        <v>30462.184999999998</v>
      </c>
      <c r="R441" s="29">
        <f t="shared" si="128"/>
        <v>2343.2450000000026</v>
      </c>
    </row>
    <row r="442" spans="1:18">
      <c r="A442" s="44">
        <v>199445</v>
      </c>
      <c r="B442">
        <v>624</v>
      </c>
      <c r="C442" t="s">
        <v>622</v>
      </c>
      <c r="D442">
        <v>2018</v>
      </c>
      <c r="E442">
        <v>4</v>
      </c>
      <c r="F442">
        <v>0</v>
      </c>
      <c r="G442" t="s">
        <v>78</v>
      </c>
      <c r="H442" s="5">
        <v>7</v>
      </c>
      <c r="I442">
        <f t="shared" si="129"/>
        <v>2025</v>
      </c>
      <c r="J442" s="4">
        <f>+I442+(E442/12)</f>
        <v>2025.3333333333333</v>
      </c>
      <c r="K442" s="29">
        <v>33108.660000000003</v>
      </c>
      <c r="L442" s="29">
        <f>K442-K442*F442</f>
        <v>33108.660000000003</v>
      </c>
      <c r="M442" s="29">
        <f t="shared" si="126"/>
        <v>394.15071428571429</v>
      </c>
      <c r="N442" s="29">
        <f t="shared" si="127"/>
        <v>4729.8085714285717</v>
      </c>
      <c r="O442" s="29">
        <f t="shared" si="122"/>
        <v>4729.8085714285717</v>
      </c>
      <c r="P442" s="29">
        <f t="shared" si="123"/>
        <v>24043.193571429292</v>
      </c>
      <c r="Q442" s="29">
        <f t="shared" si="124"/>
        <v>28773.002142857862</v>
      </c>
      <c r="R442" s="29">
        <f t="shared" si="128"/>
        <v>4335.6578571421414</v>
      </c>
    </row>
    <row r="443" spans="1:18">
      <c r="A443" s="44">
        <v>202194</v>
      </c>
      <c r="B443">
        <v>624</v>
      </c>
      <c r="C443" t="s">
        <v>622</v>
      </c>
      <c r="D443">
        <v>2018</v>
      </c>
      <c r="E443">
        <v>8</v>
      </c>
      <c r="F443">
        <v>0</v>
      </c>
      <c r="G443" t="s">
        <v>78</v>
      </c>
      <c r="H443" s="5">
        <v>7</v>
      </c>
      <c r="I443">
        <f t="shared" si="129"/>
        <v>2025</v>
      </c>
      <c r="J443" s="4">
        <f t="shared" ref="J443:J451" si="130">+I443+(E443/12)</f>
        <v>2025.6666666666667</v>
      </c>
      <c r="K443" s="29">
        <v>33435.82</v>
      </c>
      <c r="L443" s="29">
        <f t="shared" ref="L443:L451" si="131">K443-K443*F443</f>
        <v>33435.82</v>
      </c>
      <c r="M443" s="29">
        <f t="shared" si="126"/>
        <v>398.04547619047617</v>
      </c>
      <c r="N443" s="29">
        <f t="shared" si="127"/>
        <v>4776.545714285714</v>
      </c>
      <c r="O443" s="29">
        <f t="shared" si="122"/>
        <v>4776.545714285714</v>
      </c>
      <c r="P443" s="29">
        <f t="shared" si="123"/>
        <v>22688.592142857146</v>
      </c>
      <c r="Q443" s="29">
        <f t="shared" si="124"/>
        <v>27465.137857142858</v>
      </c>
      <c r="R443" s="29">
        <f t="shared" si="128"/>
        <v>5970.682142857142</v>
      </c>
    </row>
    <row r="444" spans="1:18">
      <c r="A444" s="44">
        <v>204245</v>
      </c>
      <c r="B444">
        <v>312</v>
      </c>
      <c r="C444" t="s">
        <v>622</v>
      </c>
      <c r="D444">
        <v>2018</v>
      </c>
      <c r="E444">
        <v>8</v>
      </c>
      <c r="F444">
        <v>0</v>
      </c>
      <c r="G444" t="s">
        <v>78</v>
      </c>
      <c r="H444" s="5">
        <v>7</v>
      </c>
      <c r="I444">
        <f t="shared" si="129"/>
        <v>2025</v>
      </c>
      <c r="J444" s="4">
        <f t="shared" si="130"/>
        <v>2025.6666666666667</v>
      </c>
      <c r="K444" s="29">
        <v>16735.59</v>
      </c>
      <c r="L444" s="29">
        <f t="shared" si="131"/>
        <v>16735.59</v>
      </c>
      <c r="M444" s="29">
        <f t="shared" si="126"/>
        <v>199.2332142857143</v>
      </c>
      <c r="N444" s="29">
        <f t="shared" si="127"/>
        <v>2390.7985714285714</v>
      </c>
      <c r="O444" s="29">
        <f t="shared" si="122"/>
        <v>2390.7985714285714</v>
      </c>
      <c r="P444" s="29">
        <f t="shared" si="123"/>
        <v>11356.293214285713</v>
      </c>
      <c r="Q444" s="29">
        <f t="shared" si="124"/>
        <v>13747.091785714285</v>
      </c>
      <c r="R444" s="29">
        <f t="shared" si="128"/>
        <v>2988.4982142857152</v>
      </c>
    </row>
    <row r="445" spans="1:18">
      <c r="A445" s="44">
        <v>210120</v>
      </c>
      <c r="B445">
        <v>624</v>
      </c>
      <c r="C445" t="s">
        <v>800</v>
      </c>
      <c r="D445">
        <v>2019</v>
      </c>
      <c r="E445">
        <v>1</v>
      </c>
      <c r="F445">
        <v>0</v>
      </c>
      <c r="G445" t="s">
        <v>78</v>
      </c>
      <c r="H445" s="5">
        <v>7</v>
      </c>
      <c r="I445">
        <f t="shared" si="129"/>
        <v>2026</v>
      </c>
      <c r="J445" s="4">
        <f t="shared" si="130"/>
        <v>2026.0833333333333</v>
      </c>
      <c r="K445" s="29">
        <v>31843.759999999998</v>
      </c>
      <c r="L445" s="29">
        <f t="shared" si="131"/>
        <v>31843.759999999998</v>
      </c>
      <c r="M445" s="29">
        <f t="shared" si="126"/>
        <v>379.09238095238089</v>
      </c>
      <c r="N445" s="29">
        <f t="shared" si="127"/>
        <v>4549.1085714285709</v>
      </c>
      <c r="O445" s="29">
        <f t="shared" si="122"/>
        <v>4549.1085714285709</v>
      </c>
      <c r="P445" s="29">
        <f t="shared" si="123"/>
        <v>19712.803809524499</v>
      </c>
      <c r="Q445" s="29">
        <f t="shared" si="124"/>
        <v>24261.912380953072</v>
      </c>
      <c r="R445" s="29">
        <f t="shared" si="128"/>
        <v>7581.8476190469264</v>
      </c>
    </row>
    <row r="446" spans="1:18">
      <c r="A446" s="44">
        <v>214016</v>
      </c>
      <c r="B446">
        <v>624</v>
      </c>
      <c r="C446" t="s">
        <v>800</v>
      </c>
      <c r="D446">
        <v>2019</v>
      </c>
      <c r="E446">
        <v>5</v>
      </c>
      <c r="F446">
        <v>0</v>
      </c>
      <c r="G446" t="s">
        <v>78</v>
      </c>
      <c r="H446" s="5">
        <v>7</v>
      </c>
      <c r="I446">
        <f t="shared" si="129"/>
        <v>2026</v>
      </c>
      <c r="J446" s="4">
        <f t="shared" si="130"/>
        <v>2026.4166666666667</v>
      </c>
      <c r="K446" s="29">
        <v>30295.87</v>
      </c>
      <c r="L446" s="29">
        <f t="shared" si="131"/>
        <v>30295.87</v>
      </c>
      <c r="M446" s="29">
        <f t="shared" si="126"/>
        <v>360.66511904761904</v>
      </c>
      <c r="N446" s="29">
        <f t="shared" si="127"/>
        <v>4327.9814285714283</v>
      </c>
      <c r="O446" s="29">
        <f t="shared" si="122"/>
        <v>4327.9814285714283</v>
      </c>
      <c r="P446" s="29">
        <f t="shared" si="123"/>
        <v>17311.925714285713</v>
      </c>
      <c r="Q446" s="29">
        <f t="shared" si="124"/>
        <v>21639.907142857141</v>
      </c>
      <c r="R446" s="29">
        <f t="shared" si="128"/>
        <v>8655.9628571428584</v>
      </c>
    </row>
    <row r="447" spans="1:18">
      <c r="A447" s="44">
        <v>221429</v>
      </c>
      <c r="B447">
        <v>624</v>
      </c>
      <c r="C447" t="s">
        <v>800</v>
      </c>
      <c r="D447">
        <v>2019</v>
      </c>
      <c r="E447">
        <v>9</v>
      </c>
      <c r="F447">
        <v>0</v>
      </c>
      <c r="G447" s="47" t="s">
        <v>78</v>
      </c>
      <c r="H447" s="5">
        <v>7</v>
      </c>
      <c r="I447">
        <f t="shared" si="129"/>
        <v>2026</v>
      </c>
      <c r="J447" s="4">
        <f t="shared" si="130"/>
        <v>2026.75</v>
      </c>
      <c r="K447" s="29">
        <v>30459.55</v>
      </c>
      <c r="L447" s="29">
        <f t="shared" si="131"/>
        <v>30459.55</v>
      </c>
      <c r="M447" s="29">
        <f t="shared" si="126"/>
        <v>362.61369047619047</v>
      </c>
      <c r="N447" s="29">
        <f t="shared" si="127"/>
        <v>4351.3642857142859</v>
      </c>
      <c r="O447" s="29">
        <f t="shared" si="122"/>
        <v>4351.3642857142859</v>
      </c>
      <c r="P447" s="29">
        <f t="shared" si="123"/>
        <v>15955.00238095271</v>
      </c>
      <c r="Q447" s="29">
        <f t="shared" si="124"/>
        <v>20306.366666666996</v>
      </c>
      <c r="R447" s="29">
        <f t="shared" si="128"/>
        <v>10153.183333333003</v>
      </c>
    </row>
    <row r="448" spans="1:18">
      <c r="A448" s="44">
        <v>236852</v>
      </c>
      <c r="B448">
        <v>702</v>
      </c>
      <c r="C448" t="s">
        <v>861</v>
      </c>
      <c r="D448">
        <v>2020</v>
      </c>
      <c r="E448">
        <v>7</v>
      </c>
      <c r="F448">
        <v>0</v>
      </c>
      <c r="G448" s="47" t="s">
        <v>78</v>
      </c>
      <c r="H448" s="5">
        <v>7</v>
      </c>
      <c r="I448">
        <f t="shared" si="129"/>
        <v>2027</v>
      </c>
      <c r="J448" s="4">
        <f t="shared" si="130"/>
        <v>2027.5833333333333</v>
      </c>
      <c r="K448" s="29">
        <v>30059.05</v>
      </c>
      <c r="L448" s="29">
        <f t="shared" si="131"/>
        <v>30059.05</v>
      </c>
      <c r="M448" s="29">
        <f t="shared" si="126"/>
        <v>357.8458333333333</v>
      </c>
      <c r="N448" s="29">
        <f t="shared" si="127"/>
        <v>4294.1499999999996</v>
      </c>
      <c r="O448" s="29">
        <f t="shared" si="122"/>
        <v>4294.1499999999996</v>
      </c>
      <c r="P448" s="29">
        <f t="shared" si="123"/>
        <v>12166.758333333986</v>
      </c>
      <c r="Q448" s="29">
        <f t="shared" si="124"/>
        <v>16460.908333333988</v>
      </c>
      <c r="R448" s="29">
        <f t="shared" si="128"/>
        <v>13598.141666666012</v>
      </c>
    </row>
    <row r="449" spans="1:18">
      <c r="A449" s="44">
        <v>233561</v>
      </c>
      <c r="B449">
        <v>702</v>
      </c>
      <c r="C449" t="s">
        <v>861</v>
      </c>
      <c r="D449">
        <v>2020</v>
      </c>
      <c r="E449">
        <v>5</v>
      </c>
      <c r="F449">
        <v>0</v>
      </c>
      <c r="G449" s="47" t="s">
        <v>78</v>
      </c>
      <c r="H449" s="5">
        <v>7</v>
      </c>
      <c r="I449">
        <f t="shared" si="129"/>
        <v>2027</v>
      </c>
      <c r="J449" s="4">
        <f t="shared" si="130"/>
        <v>2027.4166666666667</v>
      </c>
      <c r="K449" s="29">
        <v>25637.46</v>
      </c>
      <c r="L449" s="29">
        <f t="shared" si="131"/>
        <v>25637.46</v>
      </c>
      <c r="M449" s="29">
        <f t="shared" si="126"/>
        <v>305.20785714285711</v>
      </c>
      <c r="N449" s="29">
        <f t="shared" si="127"/>
        <v>3662.4942857142851</v>
      </c>
      <c r="O449" s="29">
        <f t="shared" si="122"/>
        <v>3662.4942857142851</v>
      </c>
      <c r="P449" s="29">
        <f t="shared" si="123"/>
        <v>10987.482857142859</v>
      </c>
      <c r="Q449" s="29">
        <f t="shared" si="124"/>
        <v>14649.977142857144</v>
      </c>
      <c r="R449" s="29">
        <f t="shared" si="128"/>
        <v>10987.482857142855</v>
      </c>
    </row>
    <row r="450" spans="1:18">
      <c r="A450" s="44">
        <v>228950</v>
      </c>
      <c r="B450">
        <v>702</v>
      </c>
      <c r="C450" s="47" t="s">
        <v>800</v>
      </c>
      <c r="D450">
        <v>2020</v>
      </c>
      <c r="E450">
        <v>2</v>
      </c>
      <c r="F450">
        <v>0</v>
      </c>
      <c r="G450" s="47" t="s">
        <v>78</v>
      </c>
      <c r="H450" s="5">
        <v>7</v>
      </c>
      <c r="I450">
        <f t="shared" si="129"/>
        <v>2027</v>
      </c>
      <c r="J450" s="4">
        <f t="shared" si="130"/>
        <v>2027.1666666666667</v>
      </c>
      <c r="K450" s="29">
        <v>32333.43</v>
      </c>
      <c r="L450" s="29">
        <f t="shared" si="131"/>
        <v>32333.43</v>
      </c>
      <c r="M450" s="29">
        <f t="shared" si="126"/>
        <v>384.9217857142857</v>
      </c>
      <c r="N450" s="29">
        <f t="shared" si="127"/>
        <v>4619.0614285714282</v>
      </c>
      <c r="O450" s="29">
        <f t="shared" si="122"/>
        <v>4619.0614285714282</v>
      </c>
      <c r="P450" s="29">
        <f t="shared" si="123"/>
        <v>15011.949642857144</v>
      </c>
      <c r="Q450" s="29">
        <f t="shared" si="124"/>
        <v>19631.011071428573</v>
      </c>
      <c r="R450" s="29">
        <f t="shared" si="128"/>
        <v>12702.418928571427</v>
      </c>
    </row>
    <row r="451" spans="1:18">
      <c r="A451" s="44">
        <v>241479</v>
      </c>
      <c r="B451">
        <v>702</v>
      </c>
      <c r="C451" s="47" t="s">
        <v>880</v>
      </c>
      <c r="D451">
        <v>2020</v>
      </c>
      <c r="E451">
        <v>11</v>
      </c>
      <c r="F451">
        <v>0</v>
      </c>
      <c r="G451" s="47" t="s">
        <v>78</v>
      </c>
      <c r="H451" s="5">
        <v>7</v>
      </c>
      <c r="I451">
        <f t="shared" si="129"/>
        <v>2027</v>
      </c>
      <c r="J451" s="4">
        <f t="shared" si="130"/>
        <v>2027.9166666666667</v>
      </c>
      <c r="K451" s="29">
        <v>31902.22</v>
      </c>
      <c r="L451" s="29">
        <f t="shared" si="131"/>
        <v>31902.22</v>
      </c>
      <c r="M451" s="29">
        <f t="shared" si="126"/>
        <v>379.78833333333336</v>
      </c>
      <c r="N451" s="29">
        <f t="shared" si="127"/>
        <v>4557.46</v>
      </c>
      <c r="O451" s="29">
        <f t="shared" si="122"/>
        <v>4557.46</v>
      </c>
      <c r="P451" s="29">
        <f t="shared" si="123"/>
        <v>11393.650000000001</v>
      </c>
      <c r="Q451" s="29">
        <f t="shared" si="124"/>
        <v>15951.11</v>
      </c>
      <c r="R451" s="29">
        <f t="shared" si="128"/>
        <v>15951.11</v>
      </c>
    </row>
    <row r="452" spans="1:18">
      <c r="K452" s="29"/>
      <c r="L452" s="29"/>
      <c r="M452" s="29"/>
      <c r="N452" s="29"/>
      <c r="O452" s="29"/>
      <c r="P452" s="29"/>
      <c r="Q452" s="29"/>
      <c r="R452" s="29"/>
    </row>
    <row r="453" spans="1:18">
      <c r="C453" s="2" t="s">
        <v>397</v>
      </c>
      <c r="K453" s="76">
        <f t="shared" ref="K453:R453" si="132">SUM(K416:K452)</f>
        <v>3555558.1500000008</v>
      </c>
      <c r="L453" s="76">
        <f t="shared" si="132"/>
        <v>3555558.1500000008</v>
      </c>
      <c r="M453" s="76">
        <f t="shared" si="132"/>
        <v>32393.966107142867</v>
      </c>
      <c r="N453" s="76">
        <f t="shared" si="132"/>
        <v>388727.59328571439</v>
      </c>
      <c r="O453" s="76">
        <f t="shared" si="132"/>
        <v>61006.361428571421</v>
      </c>
      <c r="P453" s="76">
        <f t="shared" si="132"/>
        <v>3388541.6811904814</v>
      </c>
      <c r="Q453" s="76">
        <f t="shared" si="132"/>
        <v>3455993.834642862</v>
      </c>
      <c r="R453" s="76">
        <f t="shared" si="132"/>
        <v>99564.315357138679</v>
      </c>
    </row>
    <row r="454" spans="1:18">
      <c r="K454" s="29"/>
      <c r="L454" s="29"/>
      <c r="M454" s="29"/>
      <c r="N454" s="29"/>
      <c r="O454" s="29"/>
      <c r="P454" s="29"/>
      <c r="Q454" s="29"/>
      <c r="R454" s="29"/>
    </row>
    <row r="455" spans="1:18">
      <c r="K455" s="29"/>
      <c r="L455" s="29"/>
      <c r="M455" s="29"/>
      <c r="N455" s="29"/>
      <c r="O455" s="29"/>
      <c r="P455" s="29"/>
      <c r="Q455" s="29"/>
      <c r="R455" s="29"/>
    </row>
    <row r="456" spans="1:18">
      <c r="C456" s="2" t="s">
        <v>295</v>
      </c>
      <c r="K456" s="29"/>
      <c r="L456" s="29"/>
      <c r="M456" s="29"/>
      <c r="N456" s="29"/>
      <c r="O456" s="29"/>
      <c r="P456" s="29"/>
      <c r="Q456" s="29"/>
      <c r="R456" s="29"/>
    </row>
    <row r="457" spans="1:18">
      <c r="B457">
        <v>402</v>
      </c>
      <c r="C457" t="s">
        <v>261</v>
      </c>
      <c r="D457">
        <v>2004</v>
      </c>
      <c r="E457">
        <v>2</v>
      </c>
      <c r="F457">
        <v>0</v>
      </c>
      <c r="G457" t="s">
        <v>78</v>
      </c>
      <c r="H457" s="5" t="s">
        <v>9</v>
      </c>
      <c r="I457">
        <f t="shared" ref="I457:I478" si="133">D457+H457</f>
        <v>2014</v>
      </c>
      <c r="J457" s="4">
        <f t="shared" ref="J457:J497" si="134">+I457+(E457/12)</f>
        <v>2014.1666666666667</v>
      </c>
      <c r="K457" s="29">
        <v>19316.88</v>
      </c>
      <c r="L457" s="29">
        <f t="shared" ref="L457:L497" si="135">K457-K457*F457</f>
        <v>19316.88</v>
      </c>
      <c r="M457" s="29">
        <f t="shared" ref="M457" si="136">L457/H457/12</f>
        <v>160.97400000000002</v>
      </c>
      <c r="N457" s="29">
        <f t="shared" ref="N457" si="137">+M457*12</f>
        <v>1931.6880000000001</v>
      </c>
      <c r="O457" s="29">
        <f t="shared" ref="O457:O509" si="138">IF(J457&lt;=$N$6,0,N457)</f>
        <v>0</v>
      </c>
      <c r="P457" s="29">
        <f t="shared" ref="P457:P509" si="139">+IF($J457&lt;=$N$7,$L457,IF(($D457+($E457/12))&gt;=$N$7,0,((($L457-((($J457-$N$7)*12)*$M457))))))</f>
        <v>19316.88</v>
      </c>
      <c r="Q457" s="29">
        <f t="shared" ref="Q457:Q509" si="140">IF(O457=0,L457,O457+P457)</f>
        <v>19316.88</v>
      </c>
      <c r="R457" s="29">
        <f t="shared" ref="R457" si="141">+K457-Q457</f>
        <v>0</v>
      </c>
    </row>
    <row r="458" spans="1:18">
      <c r="B458">
        <v>411</v>
      </c>
      <c r="C458" t="s">
        <v>261</v>
      </c>
      <c r="D458">
        <v>2004</v>
      </c>
      <c r="E458">
        <v>5</v>
      </c>
      <c r="F458">
        <v>0</v>
      </c>
      <c r="G458" t="s">
        <v>78</v>
      </c>
      <c r="H458" s="5" t="s">
        <v>9</v>
      </c>
      <c r="I458">
        <f t="shared" si="133"/>
        <v>2014</v>
      </c>
      <c r="J458" s="4">
        <f t="shared" si="134"/>
        <v>2014.4166666666667</v>
      </c>
      <c r="K458" s="29">
        <v>19743.97</v>
      </c>
      <c r="L458" s="29">
        <f t="shared" si="135"/>
        <v>19743.97</v>
      </c>
      <c r="M458" s="29">
        <f t="shared" ref="M458:M509" si="142">L458/H458/12</f>
        <v>164.53308333333334</v>
      </c>
      <c r="N458" s="29">
        <f t="shared" ref="N458:N509" si="143">+M458*12</f>
        <v>1974.3969999999999</v>
      </c>
      <c r="O458" s="29">
        <f t="shared" si="138"/>
        <v>0</v>
      </c>
      <c r="P458" s="29">
        <f t="shared" si="139"/>
        <v>19743.97</v>
      </c>
      <c r="Q458" s="29">
        <f t="shared" si="140"/>
        <v>19743.97</v>
      </c>
      <c r="R458" s="29">
        <f t="shared" ref="R458:R509" si="144">+K458-Q458</f>
        <v>0</v>
      </c>
    </row>
    <row r="459" spans="1:18">
      <c r="B459">
        <v>253</v>
      </c>
      <c r="C459" t="s">
        <v>261</v>
      </c>
      <c r="D459">
        <v>2004</v>
      </c>
      <c r="E459">
        <v>6</v>
      </c>
      <c r="F459">
        <v>0</v>
      </c>
      <c r="G459" t="s">
        <v>78</v>
      </c>
      <c r="H459" s="5" t="s">
        <v>9</v>
      </c>
      <c r="I459">
        <f t="shared" si="133"/>
        <v>2014</v>
      </c>
      <c r="J459" s="4">
        <f t="shared" si="134"/>
        <v>2014.5</v>
      </c>
      <c r="K459" s="29">
        <v>12128.88</v>
      </c>
      <c r="L459" s="29">
        <f t="shared" si="135"/>
        <v>12128.88</v>
      </c>
      <c r="M459" s="29">
        <f t="shared" si="142"/>
        <v>101.074</v>
      </c>
      <c r="N459" s="29">
        <f t="shared" si="143"/>
        <v>1212.8879999999999</v>
      </c>
      <c r="O459" s="29">
        <f t="shared" si="138"/>
        <v>0</v>
      </c>
      <c r="P459" s="29">
        <f t="shared" si="139"/>
        <v>12128.88</v>
      </c>
      <c r="Q459" s="29">
        <f t="shared" si="140"/>
        <v>12128.88</v>
      </c>
      <c r="R459" s="29">
        <f t="shared" si="144"/>
        <v>0</v>
      </c>
    </row>
    <row r="460" spans="1:18">
      <c r="B460">
        <v>281</v>
      </c>
      <c r="C460" t="s">
        <v>141</v>
      </c>
      <c r="D460">
        <v>2006</v>
      </c>
      <c r="E460">
        <v>2</v>
      </c>
      <c r="F460">
        <v>0</v>
      </c>
      <c r="G460" t="s">
        <v>78</v>
      </c>
      <c r="H460" s="5" t="s">
        <v>9</v>
      </c>
      <c r="I460">
        <f t="shared" si="133"/>
        <v>2016</v>
      </c>
      <c r="J460" s="4">
        <f t="shared" si="134"/>
        <v>2016.1666666666667</v>
      </c>
      <c r="K460" s="29">
        <v>13484.82</v>
      </c>
      <c r="L460" s="29">
        <f t="shared" si="135"/>
        <v>13484.82</v>
      </c>
      <c r="M460" s="29">
        <f t="shared" si="142"/>
        <v>112.37349999999999</v>
      </c>
      <c r="N460" s="29">
        <f t="shared" si="143"/>
        <v>1348.482</v>
      </c>
      <c r="O460" s="29">
        <f t="shared" si="138"/>
        <v>0</v>
      </c>
      <c r="P460" s="29">
        <f t="shared" si="139"/>
        <v>13484.82</v>
      </c>
      <c r="Q460" s="29">
        <f t="shared" si="140"/>
        <v>13484.82</v>
      </c>
      <c r="R460" s="29">
        <f t="shared" si="144"/>
        <v>0</v>
      </c>
    </row>
    <row r="461" spans="1:18">
      <c r="B461">
        <v>517</v>
      </c>
      <c r="C461" t="s">
        <v>234</v>
      </c>
      <c r="D461">
        <v>2006</v>
      </c>
      <c r="E461">
        <v>5</v>
      </c>
      <c r="F461">
        <v>0</v>
      </c>
      <c r="G461" t="s">
        <v>78</v>
      </c>
      <c r="H461" s="5" t="s">
        <v>9</v>
      </c>
      <c r="I461">
        <f t="shared" si="133"/>
        <v>2016</v>
      </c>
      <c r="J461" s="4">
        <f t="shared" si="134"/>
        <v>2016.4166666666667</v>
      </c>
      <c r="K461" s="29">
        <v>24793.06</v>
      </c>
      <c r="L461" s="29">
        <f t="shared" si="135"/>
        <v>24793.06</v>
      </c>
      <c r="M461" s="29">
        <f t="shared" si="142"/>
        <v>206.60883333333334</v>
      </c>
      <c r="N461" s="29">
        <f t="shared" si="143"/>
        <v>2479.306</v>
      </c>
      <c r="O461" s="29">
        <f t="shared" si="138"/>
        <v>0</v>
      </c>
      <c r="P461" s="29">
        <f t="shared" si="139"/>
        <v>24793.06</v>
      </c>
      <c r="Q461" s="29">
        <f t="shared" si="140"/>
        <v>24793.06</v>
      </c>
      <c r="R461" s="29">
        <f t="shared" si="144"/>
        <v>0</v>
      </c>
    </row>
    <row r="462" spans="1:18">
      <c r="B462">
        <v>275</v>
      </c>
      <c r="C462" t="s">
        <v>261</v>
      </c>
      <c r="D462">
        <v>2006</v>
      </c>
      <c r="E462">
        <v>8</v>
      </c>
      <c r="F462">
        <v>0</v>
      </c>
      <c r="G462" t="s">
        <v>78</v>
      </c>
      <c r="H462" s="5" t="s">
        <v>9</v>
      </c>
      <c r="I462">
        <f t="shared" si="133"/>
        <v>2016</v>
      </c>
      <c r="J462" s="4">
        <f t="shared" si="134"/>
        <v>2016.6666666666667</v>
      </c>
      <c r="K462" s="29">
        <v>13179.77</v>
      </c>
      <c r="L462" s="29">
        <f t="shared" si="135"/>
        <v>13179.77</v>
      </c>
      <c r="M462" s="29">
        <f t="shared" si="142"/>
        <v>109.83141666666667</v>
      </c>
      <c r="N462" s="29">
        <f t="shared" si="143"/>
        <v>1317.9770000000001</v>
      </c>
      <c r="O462" s="29">
        <f t="shared" si="138"/>
        <v>0</v>
      </c>
      <c r="P462" s="29">
        <f t="shared" si="139"/>
        <v>13179.77</v>
      </c>
      <c r="Q462" s="29">
        <f t="shared" si="140"/>
        <v>13179.77</v>
      </c>
      <c r="R462" s="29">
        <f t="shared" si="144"/>
        <v>0</v>
      </c>
    </row>
    <row r="463" spans="1:18">
      <c r="B463">
        <v>558</v>
      </c>
      <c r="C463" t="s">
        <v>233</v>
      </c>
      <c r="D463">
        <v>2007</v>
      </c>
      <c r="E463">
        <v>1</v>
      </c>
      <c r="F463">
        <v>0</v>
      </c>
      <c r="G463" t="s">
        <v>78</v>
      </c>
      <c r="H463" s="5" t="s">
        <v>9</v>
      </c>
      <c r="I463">
        <f t="shared" si="133"/>
        <v>2017</v>
      </c>
      <c r="J463" s="4">
        <f t="shared" si="134"/>
        <v>2017.0833333333333</v>
      </c>
      <c r="K463" s="29">
        <v>26801.47</v>
      </c>
      <c r="L463" s="29">
        <f t="shared" si="135"/>
        <v>26801.47</v>
      </c>
      <c r="M463" s="29">
        <f t="shared" si="142"/>
        <v>223.34558333333334</v>
      </c>
      <c r="N463" s="29">
        <f t="shared" si="143"/>
        <v>2680.1469999999999</v>
      </c>
      <c r="O463" s="29">
        <f t="shared" si="138"/>
        <v>0</v>
      </c>
      <c r="P463" s="29">
        <f t="shared" si="139"/>
        <v>26801.47</v>
      </c>
      <c r="Q463" s="29">
        <f t="shared" si="140"/>
        <v>26801.47</v>
      </c>
      <c r="R463" s="29">
        <f t="shared" si="144"/>
        <v>0</v>
      </c>
    </row>
    <row r="464" spans="1:18">
      <c r="B464">
        <v>548</v>
      </c>
      <c r="C464" t="s">
        <v>234</v>
      </c>
      <c r="D464">
        <v>2007</v>
      </c>
      <c r="E464">
        <v>3</v>
      </c>
      <c r="F464">
        <v>0</v>
      </c>
      <c r="G464" t="s">
        <v>78</v>
      </c>
      <c r="H464" s="5" t="s">
        <v>9</v>
      </c>
      <c r="I464">
        <f t="shared" si="133"/>
        <v>2017</v>
      </c>
      <c r="J464" s="4">
        <f t="shared" si="134"/>
        <v>2017.25</v>
      </c>
      <c r="K464" s="29">
        <v>26301.27</v>
      </c>
      <c r="L464" s="29">
        <f t="shared" si="135"/>
        <v>26301.27</v>
      </c>
      <c r="M464" s="29">
        <f t="shared" si="142"/>
        <v>219.17724999999999</v>
      </c>
      <c r="N464" s="29">
        <f t="shared" si="143"/>
        <v>2630.127</v>
      </c>
      <c r="O464" s="29">
        <f t="shared" si="138"/>
        <v>0</v>
      </c>
      <c r="P464" s="29">
        <f t="shared" si="139"/>
        <v>26301.27</v>
      </c>
      <c r="Q464" s="29">
        <f t="shared" si="140"/>
        <v>26301.27</v>
      </c>
      <c r="R464" s="29">
        <f t="shared" si="144"/>
        <v>0</v>
      </c>
    </row>
    <row r="465" spans="1:18">
      <c r="B465">
        <v>1115</v>
      </c>
      <c r="C465" t="s">
        <v>234</v>
      </c>
      <c r="D465">
        <v>2007</v>
      </c>
      <c r="E465">
        <v>5</v>
      </c>
      <c r="F465">
        <v>0</v>
      </c>
      <c r="G465" t="s">
        <v>78</v>
      </c>
      <c r="H465" s="5" t="s">
        <v>9</v>
      </c>
      <c r="I465">
        <f t="shared" si="133"/>
        <v>2017</v>
      </c>
      <c r="J465" s="4">
        <f t="shared" si="134"/>
        <v>2017.4166666666667</v>
      </c>
      <c r="K465" s="29">
        <v>53530.7</v>
      </c>
      <c r="L465" s="29">
        <f t="shared" si="135"/>
        <v>53530.7</v>
      </c>
      <c r="M465" s="29">
        <f t="shared" si="142"/>
        <v>446.08916666666664</v>
      </c>
      <c r="N465" s="29">
        <f t="shared" si="143"/>
        <v>5353.07</v>
      </c>
      <c r="O465" s="29">
        <f t="shared" si="138"/>
        <v>0</v>
      </c>
      <c r="P465" s="29">
        <f t="shared" si="139"/>
        <v>53530.7</v>
      </c>
      <c r="Q465" s="29">
        <f t="shared" si="140"/>
        <v>53530.7</v>
      </c>
      <c r="R465" s="29">
        <f t="shared" si="144"/>
        <v>0</v>
      </c>
    </row>
    <row r="466" spans="1:18">
      <c r="B466">
        <v>566</v>
      </c>
      <c r="C466" t="s">
        <v>261</v>
      </c>
      <c r="D466">
        <v>2007</v>
      </c>
      <c r="E466">
        <v>5</v>
      </c>
      <c r="F466">
        <v>0</v>
      </c>
      <c r="G466" t="s">
        <v>78</v>
      </c>
      <c r="H466" s="5" t="s">
        <v>9</v>
      </c>
      <c r="I466">
        <f t="shared" si="133"/>
        <v>2017</v>
      </c>
      <c r="J466" s="4">
        <f t="shared" si="134"/>
        <v>2017.4166666666667</v>
      </c>
      <c r="K466" s="29">
        <v>27148.21</v>
      </c>
      <c r="L466" s="29">
        <f t="shared" si="135"/>
        <v>27148.21</v>
      </c>
      <c r="M466" s="29">
        <f t="shared" si="142"/>
        <v>226.23508333333334</v>
      </c>
      <c r="N466" s="29">
        <f t="shared" si="143"/>
        <v>2714.8209999999999</v>
      </c>
      <c r="O466" s="29">
        <f t="shared" si="138"/>
        <v>0</v>
      </c>
      <c r="P466" s="29">
        <f t="shared" si="139"/>
        <v>27148.21</v>
      </c>
      <c r="Q466" s="29">
        <f t="shared" si="140"/>
        <v>27148.21</v>
      </c>
      <c r="R466" s="29">
        <f t="shared" si="144"/>
        <v>0</v>
      </c>
    </row>
    <row r="467" spans="1:18">
      <c r="B467">
        <v>565</v>
      </c>
      <c r="C467" t="s">
        <v>234</v>
      </c>
      <c r="D467">
        <v>2007</v>
      </c>
      <c r="E467">
        <v>6</v>
      </c>
      <c r="F467">
        <v>0</v>
      </c>
      <c r="G467" t="s">
        <v>78</v>
      </c>
      <c r="H467" s="5" t="s">
        <v>9</v>
      </c>
      <c r="I467">
        <f t="shared" si="133"/>
        <v>2017</v>
      </c>
      <c r="J467" s="4">
        <f t="shared" si="134"/>
        <v>2017.5</v>
      </c>
      <c r="K467" s="29">
        <v>27111.66</v>
      </c>
      <c r="L467" s="29">
        <f t="shared" si="135"/>
        <v>27111.66</v>
      </c>
      <c r="M467" s="29">
        <f t="shared" si="142"/>
        <v>225.93050000000002</v>
      </c>
      <c r="N467" s="29">
        <f t="shared" si="143"/>
        <v>2711.1660000000002</v>
      </c>
      <c r="O467" s="29">
        <f t="shared" si="138"/>
        <v>0</v>
      </c>
      <c r="P467" s="29">
        <f t="shared" si="139"/>
        <v>27111.66</v>
      </c>
      <c r="Q467" s="29">
        <f t="shared" si="140"/>
        <v>27111.66</v>
      </c>
      <c r="R467" s="29">
        <f t="shared" si="144"/>
        <v>0</v>
      </c>
    </row>
    <row r="468" spans="1:18">
      <c r="B468">
        <v>565</v>
      </c>
      <c r="C468" t="s">
        <v>241</v>
      </c>
      <c r="D468">
        <v>2007</v>
      </c>
      <c r="E468">
        <v>7</v>
      </c>
      <c r="F468">
        <v>0</v>
      </c>
      <c r="G468" t="s">
        <v>78</v>
      </c>
      <c r="H468" s="5" t="s">
        <v>9</v>
      </c>
      <c r="I468">
        <f t="shared" si="133"/>
        <v>2017</v>
      </c>
      <c r="J468" s="4">
        <f t="shared" si="134"/>
        <v>2017.5833333333333</v>
      </c>
      <c r="K468" s="29">
        <v>27100.07</v>
      </c>
      <c r="L468" s="29">
        <f t="shared" si="135"/>
        <v>27100.07</v>
      </c>
      <c r="M468" s="29">
        <f t="shared" si="142"/>
        <v>225.83391666666668</v>
      </c>
      <c r="N468" s="29">
        <f t="shared" si="143"/>
        <v>2710.0070000000001</v>
      </c>
      <c r="O468" s="29">
        <f t="shared" si="138"/>
        <v>0</v>
      </c>
      <c r="P468" s="29">
        <f t="shared" si="139"/>
        <v>27100.07</v>
      </c>
      <c r="Q468" s="29">
        <f t="shared" si="140"/>
        <v>27100.07</v>
      </c>
      <c r="R468" s="29">
        <f t="shared" si="144"/>
        <v>0</v>
      </c>
    </row>
    <row r="469" spans="1:18">
      <c r="B469">
        <v>555</v>
      </c>
      <c r="C469" t="s">
        <v>241</v>
      </c>
      <c r="D469">
        <v>2007</v>
      </c>
      <c r="E469">
        <v>9</v>
      </c>
      <c r="F469">
        <v>0</v>
      </c>
      <c r="G469" t="s">
        <v>78</v>
      </c>
      <c r="H469" s="5" t="s">
        <v>9</v>
      </c>
      <c r="I469">
        <f t="shared" si="133"/>
        <v>2017</v>
      </c>
      <c r="J469" s="4">
        <f t="shared" si="134"/>
        <v>2017.75</v>
      </c>
      <c r="K469" s="29">
        <v>26657.64</v>
      </c>
      <c r="L469" s="29">
        <f t="shared" si="135"/>
        <v>26657.64</v>
      </c>
      <c r="M469" s="29">
        <f t="shared" si="142"/>
        <v>222.14700000000002</v>
      </c>
      <c r="N469" s="29">
        <f t="shared" si="143"/>
        <v>2665.7640000000001</v>
      </c>
      <c r="O469" s="29">
        <f t="shared" si="138"/>
        <v>0</v>
      </c>
      <c r="P469" s="29">
        <f t="shared" si="139"/>
        <v>26657.64</v>
      </c>
      <c r="Q469" s="29">
        <f t="shared" si="140"/>
        <v>26657.64</v>
      </c>
      <c r="R469" s="29">
        <f t="shared" si="144"/>
        <v>0</v>
      </c>
    </row>
    <row r="470" spans="1:18">
      <c r="B470">
        <v>421</v>
      </c>
      <c r="C470" t="s">
        <v>234</v>
      </c>
      <c r="D470">
        <v>2008</v>
      </c>
      <c r="E470">
        <v>2</v>
      </c>
      <c r="F470">
        <v>0</v>
      </c>
      <c r="G470" t="s">
        <v>78</v>
      </c>
      <c r="H470" s="5" t="s">
        <v>8</v>
      </c>
      <c r="I470">
        <f t="shared" si="133"/>
        <v>2013</v>
      </c>
      <c r="J470" s="4">
        <f t="shared" si="134"/>
        <v>2013.1666666666667</v>
      </c>
      <c r="K470" s="29">
        <v>20215.189999999999</v>
      </c>
      <c r="L470" s="29">
        <f t="shared" si="135"/>
        <v>20215.189999999999</v>
      </c>
      <c r="M470" s="29">
        <f t="shared" si="142"/>
        <v>336.91983333333332</v>
      </c>
      <c r="N470" s="29">
        <f t="shared" si="143"/>
        <v>4043.0379999999996</v>
      </c>
      <c r="O470" s="29">
        <f t="shared" si="138"/>
        <v>0</v>
      </c>
      <c r="P470" s="29">
        <f t="shared" si="139"/>
        <v>20215.189999999999</v>
      </c>
      <c r="Q470" s="29">
        <f t="shared" si="140"/>
        <v>20215.189999999999</v>
      </c>
      <c r="R470" s="29">
        <f t="shared" si="144"/>
        <v>0</v>
      </c>
    </row>
    <row r="471" spans="1:18">
      <c r="B471">
        <v>1216</v>
      </c>
      <c r="C471" t="s">
        <v>241</v>
      </c>
      <c r="D471">
        <v>2008</v>
      </c>
      <c r="E471">
        <v>3</v>
      </c>
      <c r="F471">
        <v>0</v>
      </c>
      <c r="G471" t="s">
        <v>78</v>
      </c>
      <c r="H471" s="5" t="s">
        <v>8</v>
      </c>
      <c r="I471">
        <f t="shared" si="133"/>
        <v>2013</v>
      </c>
      <c r="J471" s="4">
        <f t="shared" si="134"/>
        <v>2013.25</v>
      </c>
      <c r="K471" s="29">
        <v>58388.76</v>
      </c>
      <c r="L471" s="29">
        <f t="shared" si="135"/>
        <v>58388.76</v>
      </c>
      <c r="M471" s="29">
        <f t="shared" si="142"/>
        <v>973.14600000000007</v>
      </c>
      <c r="N471" s="29">
        <f t="shared" si="143"/>
        <v>11677.752</v>
      </c>
      <c r="O471" s="29">
        <f t="shared" si="138"/>
        <v>0</v>
      </c>
      <c r="P471" s="29">
        <f t="shared" si="139"/>
        <v>58388.76</v>
      </c>
      <c r="Q471" s="29">
        <f t="shared" si="140"/>
        <v>58388.76</v>
      </c>
      <c r="R471" s="29">
        <f t="shared" si="144"/>
        <v>0</v>
      </c>
    </row>
    <row r="472" spans="1:18">
      <c r="B472">
        <v>622</v>
      </c>
      <c r="C472" t="s">
        <v>234</v>
      </c>
      <c r="D472">
        <v>2008</v>
      </c>
      <c r="E472">
        <v>5</v>
      </c>
      <c r="F472">
        <v>0</v>
      </c>
      <c r="G472" t="s">
        <v>78</v>
      </c>
      <c r="H472" s="5" t="s">
        <v>8</v>
      </c>
      <c r="I472">
        <f t="shared" si="133"/>
        <v>2013</v>
      </c>
      <c r="J472" s="4">
        <f t="shared" si="134"/>
        <v>2013.4166666666667</v>
      </c>
      <c r="K472" s="29">
        <v>29838.69</v>
      </c>
      <c r="L472" s="29">
        <f t="shared" si="135"/>
        <v>29838.69</v>
      </c>
      <c r="M472" s="29">
        <f t="shared" si="142"/>
        <v>497.31149999999997</v>
      </c>
      <c r="N472" s="29">
        <f t="shared" si="143"/>
        <v>5967.7379999999994</v>
      </c>
      <c r="O472" s="29">
        <f t="shared" si="138"/>
        <v>0</v>
      </c>
      <c r="P472" s="29">
        <f t="shared" si="139"/>
        <v>29838.69</v>
      </c>
      <c r="Q472" s="29">
        <f t="shared" si="140"/>
        <v>29838.69</v>
      </c>
      <c r="R472" s="29">
        <f t="shared" si="144"/>
        <v>0</v>
      </c>
    </row>
    <row r="473" spans="1:18">
      <c r="B473">
        <v>622</v>
      </c>
      <c r="C473" t="s">
        <v>241</v>
      </c>
      <c r="D473">
        <v>2008</v>
      </c>
      <c r="E473">
        <v>6</v>
      </c>
      <c r="F473">
        <v>0</v>
      </c>
      <c r="G473" t="s">
        <v>78</v>
      </c>
      <c r="H473" s="5" t="s">
        <v>8</v>
      </c>
      <c r="I473">
        <f t="shared" si="133"/>
        <v>2013</v>
      </c>
      <c r="J473" s="4">
        <f t="shared" si="134"/>
        <v>2013.5</v>
      </c>
      <c r="K473" s="29">
        <v>29849.61</v>
      </c>
      <c r="L473" s="29">
        <f t="shared" si="135"/>
        <v>29849.61</v>
      </c>
      <c r="M473" s="29">
        <f t="shared" si="142"/>
        <v>497.49350000000004</v>
      </c>
      <c r="N473" s="29">
        <f t="shared" si="143"/>
        <v>5969.9220000000005</v>
      </c>
      <c r="O473" s="29">
        <f t="shared" si="138"/>
        <v>0</v>
      </c>
      <c r="P473" s="29">
        <f t="shared" si="139"/>
        <v>29849.61</v>
      </c>
      <c r="Q473" s="29">
        <f t="shared" si="140"/>
        <v>29849.61</v>
      </c>
      <c r="R473" s="29">
        <f t="shared" si="144"/>
        <v>0</v>
      </c>
    </row>
    <row r="474" spans="1:18">
      <c r="B474">
        <v>622</v>
      </c>
      <c r="C474" t="s">
        <v>234</v>
      </c>
      <c r="D474">
        <v>2008</v>
      </c>
      <c r="E474">
        <v>7</v>
      </c>
      <c r="F474">
        <v>0</v>
      </c>
      <c r="G474" t="s">
        <v>78</v>
      </c>
      <c r="H474" s="5" t="s">
        <v>8</v>
      </c>
      <c r="I474">
        <f t="shared" si="133"/>
        <v>2013</v>
      </c>
      <c r="J474" s="4">
        <f t="shared" si="134"/>
        <v>2013.5833333333333</v>
      </c>
      <c r="K474" s="29">
        <v>29874.75</v>
      </c>
      <c r="L474" s="29">
        <f t="shared" si="135"/>
        <v>29874.75</v>
      </c>
      <c r="M474" s="29">
        <f t="shared" si="142"/>
        <v>497.91249999999997</v>
      </c>
      <c r="N474" s="29">
        <f t="shared" si="143"/>
        <v>5974.95</v>
      </c>
      <c r="O474" s="29">
        <f t="shared" si="138"/>
        <v>0</v>
      </c>
      <c r="P474" s="29">
        <f t="shared" si="139"/>
        <v>29874.75</v>
      </c>
      <c r="Q474" s="29">
        <f t="shared" si="140"/>
        <v>29874.75</v>
      </c>
      <c r="R474" s="29">
        <f t="shared" si="144"/>
        <v>0</v>
      </c>
    </row>
    <row r="475" spans="1:18">
      <c r="B475">
        <v>622</v>
      </c>
      <c r="C475" t="s">
        <v>261</v>
      </c>
      <c r="D475">
        <v>2008</v>
      </c>
      <c r="E475">
        <v>8</v>
      </c>
      <c r="F475">
        <v>0</v>
      </c>
      <c r="G475" t="s">
        <v>78</v>
      </c>
      <c r="H475" s="5" t="s">
        <v>8</v>
      </c>
      <c r="I475">
        <f t="shared" si="133"/>
        <v>2013</v>
      </c>
      <c r="J475" s="4">
        <f t="shared" si="134"/>
        <v>2013.6666666666667</v>
      </c>
      <c r="K475" s="29">
        <v>29874.75</v>
      </c>
      <c r="L475" s="29">
        <f t="shared" si="135"/>
        <v>29874.75</v>
      </c>
      <c r="M475" s="29">
        <f t="shared" si="142"/>
        <v>497.91249999999997</v>
      </c>
      <c r="N475" s="29">
        <f t="shared" si="143"/>
        <v>5974.95</v>
      </c>
      <c r="O475" s="29">
        <f t="shared" si="138"/>
        <v>0</v>
      </c>
      <c r="P475" s="29">
        <f t="shared" si="139"/>
        <v>29874.75</v>
      </c>
      <c r="Q475" s="29">
        <f t="shared" si="140"/>
        <v>29874.75</v>
      </c>
      <c r="R475" s="29">
        <f t="shared" si="144"/>
        <v>0</v>
      </c>
    </row>
    <row r="476" spans="1:18">
      <c r="B476">
        <v>436</v>
      </c>
      <c r="C476" t="s">
        <v>240</v>
      </c>
      <c r="D476">
        <v>2009</v>
      </c>
      <c r="E476">
        <v>4</v>
      </c>
      <c r="F476">
        <v>0</v>
      </c>
      <c r="G476" t="s">
        <v>78</v>
      </c>
      <c r="H476" s="5">
        <v>7</v>
      </c>
      <c r="I476">
        <f t="shared" si="133"/>
        <v>2016</v>
      </c>
      <c r="J476" s="4">
        <f t="shared" si="134"/>
        <v>2016.3333333333333</v>
      </c>
      <c r="K476" s="29">
        <v>21651.7</v>
      </c>
      <c r="L476" s="29">
        <f t="shared" si="135"/>
        <v>21651.7</v>
      </c>
      <c r="M476" s="29">
        <f t="shared" si="142"/>
        <v>257.75833333333333</v>
      </c>
      <c r="N476" s="29">
        <f t="shared" si="143"/>
        <v>3093.1</v>
      </c>
      <c r="O476" s="29">
        <f t="shared" si="138"/>
        <v>0</v>
      </c>
      <c r="P476" s="29">
        <f t="shared" si="139"/>
        <v>21651.7</v>
      </c>
      <c r="Q476" s="29">
        <f t="shared" si="140"/>
        <v>21651.7</v>
      </c>
      <c r="R476" s="29">
        <f t="shared" si="144"/>
        <v>0</v>
      </c>
    </row>
    <row r="477" spans="1:18">
      <c r="B477">
        <v>436</v>
      </c>
      <c r="C477" t="s">
        <v>183</v>
      </c>
      <c r="D477">
        <v>2009</v>
      </c>
      <c r="E477">
        <v>6</v>
      </c>
      <c r="F477">
        <v>0</v>
      </c>
      <c r="G477" t="s">
        <v>78</v>
      </c>
      <c r="H477" s="5">
        <v>7</v>
      </c>
      <c r="I477">
        <f t="shared" si="133"/>
        <v>2016</v>
      </c>
      <c r="J477" s="4">
        <f t="shared" si="134"/>
        <v>2016.5</v>
      </c>
      <c r="K477" s="29">
        <v>20185.46</v>
      </c>
      <c r="L477" s="29">
        <f t="shared" si="135"/>
        <v>20185.46</v>
      </c>
      <c r="M477" s="29">
        <f t="shared" si="142"/>
        <v>240.30309523809524</v>
      </c>
      <c r="N477" s="29">
        <f t="shared" si="143"/>
        <v>2883.6371428571429</v>
      </c>
      <c r="O477" s="29">
        <f t="shared" si="138"/>
        <v>0</v>
      </c>
      <c r="P477" s="29">
        <f t="shared" si="139"/>
        <v>20185.46</v>
      </c>
      <c r="Q477" s="29">
        <f t="shared" si="140"/>
        <v>20185.46</v>
      </c>
      <c r="R477" s="29">
        <f t="shared" si="144"/>
        <v>0</v>
      </c>
    </row>
    <row r="478" spans="1:18">
      <c r="B478">
        <v>99</v>
      </c>
      <c r="C478" t="s">
        <v>239</v>
      </c>
      <c r="D478">
        <v>2009</v>
      </c>
      <c r="E478">
        <v>6</v>
      </c>
      <c r="F478">
        <v>0</v>
      </c>
      <c r="G478" t="s">
        <v>78</v>
      </c>
      <c r="H478" s="5">
        <v>7</v>
      </c>
      <c r="I478">
        <f t="shared" si="133"/>
        <v>2016</v>
      </c>
      <c r="J478" s="4">
        <f t="shared" si="134"/>
        <v>2016.5</v>
      </c>
      <c r="K478" s="29">
        <v>4583.41</v>
      </c>
      <c r="L478" s="29">
        <f t="shared" si="135"/>
        <v>4583.41</v>
      </c>
      <c r="M478" s="29">
        <f t="shared" si="142"/>
        <v>54.564404761904761</v>
      </c>
      <c r="N478" s="29">
        <f t="shared" si="143"/>
        <v>654.77285714285711</v>
      </c>
      <c r="O478" s="29">
        <f t="shared" si="138"/>
        <v>0</v>
      </c>
      <c r="P478" s="29">
        <f t="shared" si="139"/>
        <v>4583.41</v>
      </c>
      <c r="Q478" s="29">
        <f t="shared" si="140"/>
        <v>4583.41</v>
      </c>
      <c r="R478" s="29">
        <f t="shared" si="144"/>
        <v>0</v>
      </c>
    </row>
    <row r="479" spans="1:18">
      <c r="B479">
        <v>243</v>
      </c>
      <c r="C479" t="s">
        <v>307</v>
      </c>
      <c r="D479">
        <v>2009</v>
      </c>
      <c r="E479">
        <v>7</v>
      </c>
      <c r="F479">
        <v>0</v>
      </c>
      <c r="G479" t="s">
        <v>78</v>
      </c>
      <c r="H479" s="5">
        <v>7</v>
      </c>
      <c r="I479">
        <f t="shared" ref="I479:I497" si="145">D479+H479</f>
        <v>2016</v>
      </c>
      <c r="J479" s="4">
        <f t="shared" si="134"/>
        <v>2016.5833333333333</v>
      </c>
      <c r="K479" s="29">
        <v>11698.36</v>
      </c>
      <c r="L479" s="29">
        <f t="shared" si="135"/>
        <v>11698.36</v>
      </c>
      <c r="M479" s="29">
        <f t="shared" si="142"/>
        <v>139.26619047619047</v>
      </c>
      <c r="N479" s="29">
        <f t="shared" si="143"/>
        <v>1671.1942857142858</v>
      </c>
      <c r="O479" s="29">
        <f t="shared" si="138"/>
        <v>0</v>
      </c>
      <c r="P479" s="29">
        <f t="shared" si="139"/>
        <v>11698.36</v>
      </c>
      <c r="Q479" s="29">
        <f t="shared" si="140"/>
        <v>11698.36</v>
      </c>
      <c r="R479" s="29">
        <f t="shared" si="144"/>
        <v>0</v>
      </c>
    </row>
    <row r="480" spans="1:18">
      <c r="A480" s="44">
        <v>77218</v>
      </c>
      <c r="B480">
        <v>386</v>
      </c>
      <c r="C480" t="s">
        <v>401</v>
      </c>
      <c r="D480">
        <v>2010</v>
      </c>
      <c r="E480">
        <v>9</v>
      </c>
      <c r="F480">
        <v>0</v>
      </c>
      <c r="G480" t="s">
        <v>78</v>
      </c>
      <c r="H480" s="5">
        <v>7</v>
      </c>
      <c r="I480">
        <f t="shared" si="145"/>
        <v>2017</v>
      </c>
      <c r="J480" s="4">
        <f t="shared" si="134"/>
        <v>2017.75</v>
      </c>
      <c r="K480" s="29">
        <v>18687.3</v>
      </c>
      <c r="L480" s="29">
        <f t="shared" si="135"/>
        <v>18687.3</v>
      </c>
      <c r="M480" s="29">
        <f t="shared" si="142"/>
        <v>222.46785714285713</v>
      </c>
      <c r="N480" s="29">
        <f t="shared" si="143"/>
        <v>2669.6142857142854</v>
      </c>
      <c r="O480" s="29">
        <f t="shared" si="138"/>
        <v>0</v>
      </c>
      <c r="P480" s="29">
        <f t="shared" si="139"/>
        <v>18687.3</v>
      </c>
      <c r="Q480" s="29">
        <f t="shared" si="140"/>
        <v>18687.3</v>
      </c>
      <c r="R480" s="29">
        <f t="shared" si="144"/>
        <v>0</v>
      </c>
    </row>
    <row r="481" spans="1:18">
      <c r="A481" s="44">
        <v>85602</v>
      </c>
      <c r="B481">
        <v>174</v>
      </c>
      <c r="C481" t="s">
        <v>401</v>
      </c>
      <c r="D481">
        <v>2011</v>
      </c>
      <c r="E481">
        <v>7</v>
      </c>
      <c r="F481">
        <v>0</v>
      </c>
      <c r="G481" t="s">
        <v>78</v>
      </c>
      <c r="H481" s="5">
        <v>7</v>
      </c>
      <c r="I481">
        <f t="shared" si="145"/>
        <v>2018</v>
      </c>
      <c r="J481" s="4">
        <f t="shared" si="134"/>
        <v>2018.5833333333333</v>
      </c>
      <c r="K481" s="29">
        <v>9570.39</v>
      </c>
      <c r="L481" s="29">
        <f t="shared" si="135"/>
        <v>9570.39</v>
      </c>
      <c r="M481" s="29">
        <f t="shared" si="142"/>
        <v>113.93321428571427</v>
      </c>
      <c r="N481" s="29">
        <f t="shared" si="143"/>
        <v>1367.1985714285713</v>
      </c>
      <c r="O481" s="29">
        <f t="shared" si="138"/>
        <v>0</v>
      </c>
      <c r="P481" s="29">
        <f t="shared" si="139"/>
        <v>9570.39</v>
      </c>
      <c r="Q481" s="29">
        <f t="shared" si="140"/>
        <v>9570.39</v>
      </c>
      <c r="R481" s="29">
        <f t="shared" si="144"/>
        <v>0</v>
      </c>
    </row>
    <row r="482" spans="1:18">
      <c r="O482" s="29">
        <f t="shared" si="138"/>
        <v>0</v>
      </c>
      <c r="Q482" s="29">
        <f t="shared" si="140"/>
        <v>0</v>
      </c>
    </row>
    <row r="483" spans="1:18">
      <c r="A483" s="44">
        <v>114301</v>
      </c>
      <c r="B483">
        <v>134</v>
      </c>
      <c r="C483" t="s">
        <v>559</v>
      </c>
      <c r="D483">
        <v>2011</v>
      </c>
      <c r="E483">
        <v>7</v>
      </c>
      <c r="F483">
        <v>0</v>
      </c>
      <c r="G483" t="s">
        <v>78</v>
      </c>
      <c r="H483" s="5">
        <v>7</v>
      </c>
      <c r="I483">
        <f t="shared" si="145"/>
        <v>2018</v>
      </c>
      <c r="J483" s="4">
        <f t="shared" si="134"/>
        <v>2018.5833333333333</v>
      </c>
      <c r="K483" s="29">
        <v>7370.3</v>
      </c>
      <c r="L483" s="29">
        <f t="shared" si="135"/>
        <v>7370.3</v>
      </c>
      <c r="M483" s="29">
        <f t="shared" si="142"/>
        <v>87.741666666666674</v>
      </c>
      <c r="N483" s="29">
        <f t="shared" si="143"/>
        <v>1052.9000000000001</v>
      </c>
      <c r="O483" s="29">
        <f t="shared" si="138"/>
        <v>0</v>
      </c>
      <c r="P483" s="29">
        <f t="shared" si="139"/>
        <v>7370.3</v>
      </c>
      <c r="Q483" s="29">
        <f t="shared" si="140"/>
        <v>7370.3</v>
      </c>
      <c r="R483" s="29">
        <f t="shared" si="144"/>
        <v>0</v>
      </c>
    </row>
    <row r="484" spans="1:18">
      <c r="O484" s="29">
        <f t="shared" si="138"/>
        <v>0</v>
      </c>
      <c r="Q484" s="29">
        <f t="shared" si="140"/>
        <v>0</v>
      </c>
    </row>
    <row r="485" spans="1:18">
      <c r="A485" s="44">
        <v>114301</v>
      </c>
      <c r="B485">
        <v>55</v>
      </c>
      <c r="C485" t="s">
        <v>557</v>
      </c>
      <c r="D485">
        <v>2011</v>
      </c>
      <c r="E485">
        <v>7</v>
      </c>
      <c r="F485">
        <v>0</v>
      </c>
      <c r="G485" t="s">
        <v>78</v>
      </c>
      <c r="H485" s="5">
        <v>7</v>
      </c>
      <c r="I485">
        <f t="shared" si="145"/>
        <v>2018</v>
      </c>
      <c r="J485" s="4">
        <f t="shared" si="134"/>
        <v>2018.5833333333333</v>
      </c>
      <c r="K485" s="29">
        <v>3921.9</v>
      </c>
      <c r="L485" s="29">
        <f t="shared" si="135"/>
        <v>3921.9</v>
      </c>
      <c r="M485" s="29">
        <f t="shared" si="142"/>
        <v>46.689285714285717</v>
      </c>
      <c r="N485" s="29">
        <f t="shared" si="143"/>
        <v>560.2714285714286</v>
      </c>
      <c r="O485" s="29">
        <f t="shared" si="138"/>
        <v>0</v>
      </c>
      <c r="P485" s="29">
        <f t="shared" si="139"/>
        <v>3921.9</v>
      </c>
      <c r="Q485" s="29">
        <f t="shared" si="140"/>
        <v>3921.9</v>
      </c>
      <c r="R485" s="29">
        <f t="shared" si="144"/>
        <v>0</v>
      </c>
    </row>
    <row r="486" spans="1:18">
      <c r="A486" s="44">
        <v>114297</v>
      </c>
      <c r="B486">
        <v>212</v>
      </c>
      <c r="C486" t="s">
        <v>557</v>
      </c>
      <c r="D486">
        <v>2011</v>
      </c>
      <c r="E486">
        <v>7</v>
      </c>
      <c r="F486">
        <v>0</v>
      </c>
      <c r="G486" t="s">
        <v>78</v>
      </c>
      <c r="H486" s="5">
        <v>7</v>
      </c>
      <c r="I486">
        <f t="shared" si="145"/>
        <v>2018</v>
      </c>
      <c r="J486" s="4">
        <f t="shared" si="134"/>
        <v>2018.5833333333333</v>
      </c>
      <c r="K486" s="29">
        <v>11660.46</v>
      </c>
      <c r="L486" s="29">
        <f t="shared" si="135"/>
        <v>11660.46</v>
      </c>
      <c r="M486" s="29">
        <f t="shared" si="142"/>
        <v>138.815</v>
      </c>
      <c r="N486" s="29">
        <f t="shared" si="143"/>
        <v>1665.78</v>
      </c>
      <c r="O486" s="29">
        <f t="shared" si="138"/>
        <v>0</v>
      </c>
      <c r="P486" s="29">
        <f t="shared" si="139"/>
        <v>11660.46</v>
      </c>
      <c r="Q486" s="29">
        <f t="shared" si="140"/>
        <v>11660.46</v>
      </c>
      <c r="R486" s="29">
        <f t="shared" si="144"/>
        <v>0</v>
      </c>
    </row>
    <row r="487" spans="1:18">
      <c r="A487" s="44">
        <v>106521</v>
      </c>
      <c r="B487">
        <v>243</v>
      </c>
      <c r="C487" t="s">
        <v>401</v>
      </c>
      <c r="D487">
        <v>2013</v>
      </c>
      <c r="E487">
        <v>7</v>
      </c>
      <c r="F487">
        <v>0</v>
      </c>
      <c r="G487" t="s">
        <v>78</v>
      </c>
      <c r="H487" s="5">
        <v>7</v>
      </c>
      <c r="I487">
        <f t="shared" si="145"/>
        <v>2020</v>
      </c>
      <c r="J487" s="4">
        <f t="shared" si="134"/>
        <v>2020.5833333333333</v>
      </c>
      <c r="K487" s="29">
        <v>11857.29</v>
      </c>
      <c r="L487" s="29">
        <f t="shared" si="135"/>
        <v>11857.29</v>
      </c>
      <c r="M487" s="29">
        <f t="shared" si="142"/>
        <v>141.15821428571431</v>
      </c>
      <c r="N487" s="29">
        <f t="shared" si="143"/>
        <v>1693.8985714285718</v>
      </c>
      <c r="O487" s="29">
        <f t="shared" si="138"/>
        <v>0</v>
      </c>
      <c r="P487" s="29">
        <f t="shared" si="139"/>
        <v>11857.29</v>
      </c>
      <c r="Q487" s="29">
        <f t="shared" si="140"/>
        <v>11857.29</v>
      </c>
      <c r="R487" s="29">
        <f t="shared" si="144"/>
        <v>0</v>
      </c>
    </row>
    <row r="488" spans="1:18">
      <c r="A488" s="44">
        <v>113497</v>
      </c>
      <c r="B488">
        <v>486</v>
      </c>
      <c r="C488" t="s">
        <v>401</v>
      </c>
      <c r="D488">
        <v>2014</v>
      </c>
      <c r="E488">
        <v>6</v>
      </c>
      <c r="F488">
        <v>0</v>
      </c>
      <c r="G488" t="s">
        <v>78</v>
      </c>
      <c r="H488" s="5">
        <v>7</v>
      </c>
      <c r="I488">
        <f t="shared" si="145"/>
        <v>2021</v>
      </c>
      <c r="J488" s="4">
        <f t="shared" si="134"/>
        <v>2021.5</v>
      </c>
      <c r="K488" s="29">
        <v>28222.41</v>
      </c>
      <c r="L488" s="29">
        <f t="shared" si="135"/>
        <v>28222.41</v>
      </c>
      <c r="M488" s="29">
        <f t="shared" si="142"/>
        <v>335.9810714285714</v>
      </c>
      <c r="N488" s="29">
        <f t="shared" si="143"/>
        <v>4031.772857142857</v>
      </c>
      <c r="O488" s="29">
        <f t="shared" si="138"/>
        <v>0</v>
      </c>
      <c r="P488" s="29">
        <f t="shared" si="139"/>
        <v>28222.41</v>
      </c>
      <c r="Q488" s="29">
        <f t="shared" si="140"/>
        <v>28222.41</v>
      </c>
      <c r="R488" s="29">
        <f t="shared" si="144"/>
        <v>0</v>
      </c>
    </row>
    <row r="489" spans="1:18">
      <c r="A489" s="44">
        <v>113498</v>
      </c>
      <c r="B489">
        <v>486</v>
      </c>
      <c r="C489" t="s">
        <v>401</v>
      </c>
      <c r="D489">
        <v>2014</v>
      </c>
      <c r="E489">
        <v>6</v>
      </c>
      <c r="F489">
        <v>0</v>
      </c>
      <c r="G489" t="s">
        <v>78</v>
      </c>
      <c r="H489" s="5">
        <v>7</v>
      </c>
      <c r="I489">
        <f t="shared" si="145"/>
        <v>2021</v>
      </c>
      <c r="J489" s="4">
        <f t="shared" si="134"/>
        <v>2021.5</v>
      </c>
      <c r="K489" s="29">
        <v>28222.41</v>
      </c>
      <c r="L489" s="29">
        <f t="shared" si="135"/>
        <v>28222.41</v>
      </c>
      <c r="M489" s="29">
        <f t="shared" si="142"/>
        <v>335.9810714285714</v>
      </c>
      <c r="N489" s="29">
        <f t="shared" si="143"/>
        <v>4031.772857142857</v>
      </c>
      <c r="O489" s="29">
        <f t="shared" si="138"/>
        <v>0</v>
      </c>
      <c r="P489" s="29">
        <f t="shared" si="139"/>
        <v>28222.41</v>
      </c>
      <c r="Q489" s="29">
        <f t="shared" si="140"/>
        <v>28222.41</v>
      </c>
      <c r="R489" s="29">
        <f t="shared" si="144"/>
        <v>0</v>
      </c>
    </row>
    <row r="490" spans="1:18">
      <c r="A490" s="44">
        <v>116681</v>
      </c>
      <c r="B490">
        <v>312</v>
      </c>
      <c r="C490" t="s">
        <v>514</v>
      </c>
      <c r="D490">
        <v>2014</v>
      </c>
      <c r="E490">
        <v>10</v>
      </c>
      <c r="F490">
        <v>0</v>
      </c>
      <c r="G490" t="s">
        <v>78</v>
      </c>
      <c r="H490" s="5">
        <v>7</v>
      </c>
      <c r="I490">
        <f t="shared" si="145"/>
        <v>2021</v>
      </c>
      <c r="J490" s="4">
        <f t="shared" si="134"/>
        <v>2021.8333333333333</v>
      </c>
      <c r="K490" s="29">
        <v>17502.7</v>
      </c>
      <c r="L490" s="29">
        <f t="shared" si="135"/>
        <v>17502.7</v>
      </c>
      <c r="M490" s="29">
        <f t="shared" si="142"/>
        <v>208.36547619047622</v>
      </c>
      <c r="N490" s="29">
        <f t="shared" si="143"/>
        <v>2500.3857142857146</v>
      </c>
      <c r="O490" s="29">
        <f t="shared" si="138"/>
        <v>0</v>
      </c>
      <c r="P490" s="29">
        <f t="shared" si="139"/>
        <v>17502.7</v>
      </c>
      <c r="Q490" s="29">
        <f t="shared" si="140"/>
        <v>17502.7</v>
      </c>
      <c r="R490" s="29">
        <f t="shared" si="144"/>
        <v>0</v>
      </c>
    </row>
    <row r="491" spans="1:18">
      <c r="A491" s="44">
        <v>123666</v>
      </c>
      <c r="B491">
        <v>624</v>
      </c>
      <c r="C491" t="s">
        <v>514</v>
      </c>
      <c r="D491">
        <v>2015</v>
      </c>
      <c r="E491">
        <v>6</v>
      </c>
      <c r="F491">
        <v>0</v>
      </c>
      <c r="G491" t="s">
        <v>78</v>
      </c>
      <c r="H491" s="5">
        <v>7</v>
      </c>
      <c r="I491">
        <f t="shared" si="145"/>
        <v>2022</v>
      </c>
      <c r="J491" s="4">
        <f t="shared" si="134"/>
        <v>2022.5</v>
      </c>
      <c r="K491" s="29">
        <v>32155.37</v>
      </c>
      <c r="L491" s="29">
        <f t="shared" si="135"/>
        <v>32155.37</v>
      </c>
      <c r="M491" s="29">
        <f t="shared" si="142"/>
        <v>382.80202380952375</v>
      </c>
      <c r="N491" s="29">
        <f t="shared" si="143"/>
        <v>4593.6242857142852</v>
      </c>
      <c r="O491" s="29">
        <f t="shared" si="138"/>
        <v>0</v>
      </c>
      <c r="P491" s="29">
        <f t="shared" si="139"/>
        <v>32155.37</v>
      </c>
      <c r="Q491" s="29">
        <f t="shared" si="140"/>
        <v>32155.37</v>
      </c>
      <c r="R491" s="29">
        <f t="shared" si="144"/>
        <v>0</v>
      </c>
    </row>
    <row r="492" spans="1:18">
      <c r="A492" s="44">
        <v>165692</v>
      </c>
      <c r="B492">
        <v>624</v>
      </c>
      <c r="C492" t="s">
        <v>595</v>
      </c>
      <c r="D492">
        <v>2016</v>
      </c>
      <c r="E492">
        <v>6</v>
      </c>
      <c r="F492">
        <v>0</v>
      </c>
      <c r="G492" t="s">
        <v>78</v>
      </c>
      <c r="H492" s="5">
        <v>7</v>
      </c>
      <c r="I492">
        <f t="shared" si="145"/>
        <v>2023</v>
      </c>
      <c r="J492" s="4">
        <f t="shared" si="134"/>
        <v>2023.5</v>
      </c>
      <c r="K492" s="29">
        <v>30864.1</v>
      </c>
      <c r="L492" s="29">
        <f t="shared" si="135"/>
        <v>30864.1</v>
      </c>
      <c r="M492" s="29">
        <f t="shared" si="142"/>
        <v>367.42976190476185</v>
      </c>
      <c r="N492" s="29">
        <f t="shared" si="143"/>
        <v>4409.1571428571424</v>
      </c>
      <c r="O492" s="29">
        <f t="shared" si="138"/>
        <v>0</v>
      </c>
      <c r="P492" s="29">
        <f t="shared" si="139"/>
        <v>30496.670238095572</v>
      </c>
      <c r="Q492" s="29">
        <f t="shared" si="140"/>
        <v>30864.1</v>
      </c>
      <c r="R492" s="29">
        <f t="shared" si="144"/>
        <v>0</v>
      </c>
    </row>
    <row r="493" spans="1:18">
      <c r="A493" s="44">
        <v>131777</v>
      </c>
      <c r="B493">
        <v>312</v>
      </c>
      <c r="C493" t="s">
        <v>595</v>
      </c>
      <c r="D493">
        <v>2016</v>
      </c>
      <c r="E493">
        <v>3</v>
      </c>
      <c r="F493">
        <v>0</v>
      </c>
      <c r="G493" t="s">
        <v>78</v>
      </c>
      <c r="H493" s="5">
        <v>7</v>
      </c>
      <c r="I493">
        <f t="shared" si="145"/>
        <v>2023</v>
      </c>
      <c r="J493" s="4">
        <f t="shared" si="134"/>
        <v>2023.25</v>
      </c>
      <c r="K493" s="29">
        <v>15417.47</v>
      </c>
      <c r="L493" s="29">
        <f t="shared" si="135"/>
        <v>15417.47</v>
      </c>
      <c r="M493" s="29">
        <f t="shared" si="142"/>
        <v>183.54130952380953</v>
      </c>
      <c r="N493" s="29">
        <f t="shared" si="143"/>
        <v>2202.4957142857143</v>
      </c>
      <c r="O493" s="29">
        <f t="shared" si="138"/>
        <v>0</v>
      </c>
      <c r="P493" s="29">
        <f t="shared" si="139"/>
        <v>15417.47</v>
      </c>
      <c r="Q493" s="29">
        <f t="shared" si="140"/>
        <v>15417.47</v>
      </c>
      <c r="R493" s="29">
        <f t="shared" si="144"/>
        <v>0</v>
      </c>
    </row>
    <row r="494" spans="1:18">
      <c r="A494" s="44">
        <v>178891</v>
      </c>
      <c r="B494">
        <v>624</v>
      </c>
      <c r="C494" t="s">
        <v>614</v>
      </c>
      <c r="D494">
        <v>2017</v>
      </c>
      <c r="E494">
        <v>3</v>
      </c>
      <c r="F494">
        <v>0</v>
      </c>
      <c r="G494" t="s">
        <v>78</v>
      </c>
      <c r="H494" s="5">
        <v>7</v>
      </c>
      <c r="I494">
        <f t="shared" si="145"/>
        <v>2024</v>
      </c>
      <c r="J494" s="4">
        <f t="shared" si="134"/>
        <v>2024.25</v>
      </c>
      <c r="K494" s="29">
        <v>31795.97</v>
      </c>
      <c r="L494" s="29">
        <f t="shared" si="135"/>
        <v>31795.97</v>
      </c>
      <c r="M494" s="29">
        <f t="shared" si="142"/>
        <v>378.52345238095239</v>
      </c>
      <c r="N494" s="29">
        <f t="shared" si="143"/>
        <v>4542.2814285714285</v>
      </c>
      <c r="O494" s="29">
        <f t="shared" si="138"/>
        <v>0</v>
      </c>
      <c r="P494" s="29">
        <f t="shared" si="139"/>
        <v>28010.735476190821</v>
      </c>
      <c r="Q494" s="29">
        <f t="shared" si="140"/>
        <v>31795.97</v>
      </c>
      <c r="R494" s="29">
        <f t="shared" si="144"/>
        <v>0</v>
      </c>
    </row>
    <row r="495" spans="1:18">
      <c r="A495" s="44">
        <v>178890</v>
      </c>
      <c r="B495">
        <v>624</v>
      </c>
      <c r="C495" t="s">
        <v>614</v>
      </c>
      <c r="D495">
        <v>2017</v>
      </c>
      <c r="E495">
        <v>3</v>
      </c>
      <c r="F495">
        <v>0</v>
      </c>
      <c r="G495" t="s">
        <v>78</v>
      </c>
      <c r="H495" s="5">
        <v>7</v>
      </c>
      <c r="I495">
        <f t="shared" si="145"/>
        <v>2024</v>
      </c>
      <c r="J495" s="4">
        <f t="shared" si="134"/>
        <v>2024.25</v>
      </c>
      <c r="K495" s="29">
        <v>31795.97</v>
      </c>
      <c r="L495" s="29">
        <f t="shared" si="135"/>
        <v>31795.97</v>
      </c>
      <c r="M495" s="29">
        <f t="shared" si="142"/>
        <v>378.52345238095239</v>
      </c>
      <c r="N495" s="29">
        <f t="shared" si="143"/>
        <v>4542.2814285714285</v>
      </c>
      <c r="O495" s="29">
        <f t="shared" si="138"/>
        <v>0</v>
      </c>
      <c r="P495" s="29">
        <f t="shared" si="139"/>
        <v>28010.735476190821</v>
      </c>
      <c r="Q495" s="29">
        <f t="shared" si="140"/>
        <v>31795.97</v>
      </c>
      <c r="R495" s="29">
        <f t="shared" si="144"/>
        <v>0</v>
      </c>
    </row>
    <row r="496" spans="1:18">
      <c r="A496" s="44">
        <v>183938</v>
      </c>
      <c r="B496">
        <v>624</v>
      </c>
      <c r="C496" t="s">
        <v>614</v>
      </c>
      <c r="D496">
        <v>2017</v>
      </c>
      <c r="E496">
        <v>6</v>
      </c>
      <c r="F496">
        <v>0</v>
      </c>
      <c r="G496" t="s">
        <v>78</v>
      </c>
      <c r="H496" s="5">
        <v>7</v>
      </c>
      <c r="I496">
        <f t="shared" si="145"/>
        <v>2024</v>
      </c>
      <c r="J496" s="4">
        <f t="shared" si="134"/>
        <v>2024.5</v>
      </c>
      <c r="K496" s="29">
        <v>32107.98</v>
      </c>
      <c r="L496" s="29">
        <f t="shared" si="135"/>
        <v>32107.98</v>
      </c>
      <c r="M496" s="29">
        <f t="shared" si="142"/>
        <v>382.23785714285714</v>
      </c>
      <c r="N496" s="29">
        <f t="shared" si="143"/>
        <v>4586.8542857142857</v>
      </c>
      <c r="O496" s="29">
        <f t="shared" si="138"/>
        <v>4586.8542857142857</v>
      </c>
      <c r="P496" s="29">
        <f t="shared" si="139"/>
        <v>27138.887857143203</v>
      </c>
      <c r="Q496" s="29">
        <f t="shared" si="140"/>
        <v>31725.742142857489</v>
      </c>
      <c r="R496" s="29">
        <f t="shared" si="144"/>
        <v>382.23785714251062</v>
      </c>
    </row>
    <row r="497" spans="1:18">
      <c r="A497" s="44">
        <v>196551</v>
      </c>
      <c r="B497">
        <v>624</v>
      </c>
      <c r="C497" t="s">
        <v>614</v>
      </c>
      <c r="D497">
        <v>2018</v>
      </c>
      <c r="E497">
        <v>3</v>
      </c>
      <c r="F497">
        <v>0</v>
      </c>
      <c r="G497" t="s">
        <v>78</v>
      </c>
      <c r="H497" s="5">
        <v>7</v>
      </c>
      <c r="I497">
        <f t="shared" si="145"/>
        <v>2025</v>
      </c>
      <c r="J497" s="4">
        <f t="shared" si="134"/>
        <v>2025.25</v>
      </c>
      <c r="K497" s="29">
        <v>32857.040000000001</v>
      </c>
      <c r="L497" s="29">
        <f t="shared" si="135"/>
        <v>32857.040000000001</v>
      </c>
      <c r="M497" s="29">
        <f t="shared" si="142"/>
        <v>391.15523809523808</v>
      </c>
      <c r="N497" s="29">
        <f t="shared" si="143"/>
        <v>4693.8628571428571</v>
      </c>
      <c r="O497" s="29">
        <f t="shared" si="138"/>
        <v>4693.8628571428571</v>
      </c>
      <c r="P497" s="29">
        <f t="shared" si="139"/>
        <v>24251.624761905121</v>
      </c>
      <c r="Q497" s="29">
        <f t="shared" si="140"/>
        <v>28945.487619047977</v>
      </c>
      <c r="R497" s="29">
        <f t="shared" si="144"/>
        <v>3911.5523809520237</v>
      </c>
    </row>
    <row r="498" spans="1:18">
      <c r="A498" s="44">
        <v>199448</v>
      </c>
      <c r="B498">
        <v>624</v>
      </c>
      <c r="C498" t="s">
        <v>614</v>
      </c>
      <c r="D498">
        <v>2018</v>
      </c>
      <c r="E498">
        <v>4</v>
      </c>
      <c r="F498">
        <v>0</v>
      </c>
      <c r="G498" t="s">
        <v>78</v>
      </c>
      <c r="H498" s="5">
        <v>7</v>
      </c>
      <c r="I498">
        <f t="shared" ref="I498:I509" si="146">D498+H498</f>
        <v>2025</v>
      </c>
      <c r="J498" s="4">
        <f t="shared" ref="J498:J509" si="147">+I498+(E498/12)</f>
        <v>2025.3333333333333</v>
      </c>
      <c r="K498" s="29">
        <v>33108.660000000003</v>
      </c>
      <c r="L498" s="29">
        <f t="shared" ref="L498:L509" si="148">K498-K498*F498</f>
        <v>33108.660000000003</v>
      </c>
      <c r="M498" s="29">
        <f t="shared" si="142"/>
        <v>394.15071428571429</v>
      </c>
      <c r="N498" s="29">
        <f t="shared" si="143"/>
        <v>4729.8085714285717</v>
      </c>
      <c r="O498" s="29">
        <f t="shared" si="138"/>
        <v>4729.8085714285717</v>
      </c>
      <c r="P498" s="29">
        <f t="shared" si="139"/>
        <v>24043.193571429292</v>
      </c>
      <c r="Q498" s="29">
        <f t="shared" si="140"/>
        <v>28773.002142857862</v>
      </c>
      <c r="R498" s="29">
        <f t="shared" si="144"/>
        <v>4335.6578571421414</v>
      </c>
    </row>
    <row r="499" spans="1:18">
      <c r="A499" s="44">
        <v>202195</v>
      </c>
      <c r="B499">
        <v>624</v>
      </c>
      <c r="C499" t="s">
        <v>614</v>
      </c>
      <c r="D499">
        <v>2018</v>
      </c>
      <c r="E499">
        <v>6</v>
      </c>
      <c r="F499">
        <v>0</v>
      </c>
      <c r="G499" t="s">
        <v>78</v>
      </c>
      <c r="H499" s="5">
        <v>7</v>
      </c>
      <c r="I499">
        <f t="shared" si="146"/>
        <v>2025</v>
      </c>
      <c r="J499" s="4">
        <f t="shared" si="147"/>
        <v>2025.5</v>
      </c>
      <c r="K499" s="29">
        <v>33336.99</v>
      </c>
      <c r="L499" s="29">
        <f t="shared" si="148"/>
        <v>33336.99</v>
      </c>
      <c r="M499" s="29">
        <f t="shared" si="142"/>
        <v>396.86892857142857</v>
      </c>
      <c r="N499" s="29">
        <f t="shared" si="143"/>
        <v>4762.4271428571428</v>
      </c>
      <c r="O499" s="29">
        <f t="shared" si="138"/>
        <v>4762.4271428571428</v>
      </c>
      <c r="P499" s="29">
        <f t="shared" si="139"/>
        <v>23415.266785714644</v>
      </c>
      <c r="Q499" s="29">
        <f t="shared" si="140"/>
        <v>28177.693928571789</v>
      </c>
      <c r="R499" s="29">
        <f t="shared" si="144"/>
        <v>5159.296071428209</v>
      </c>
    </row>
    <row r="500" spans="1:18">
      <c r="A500" s="44">
        <v>206415</v>
      </c>
      <c r="B500">
        <v>624</v>
      </c>
      <c r="C500" t="s">
        <v>614</v>
      </c>
      <c r="D500">
        <v>2018</v>
      </c>
      <c r="E500">
        <v>10</v>
      </c>
      <c r="F500">
        <v>0</v>
      </c>
      <c r="G500" t="s">
        <v>78</v>
      </c>
      <c r="H500" s="5">
        <v>7</v>
      </c>
      <c r="I500">
        <f t="shared" si="146"/>
        <v>2025</v>
      </c>
      <c r="J500" s="4">
        <f t="shared" si="147"/>
        <v>2025.8333333333333</v>
      </c>
      <c r="K500" s="29">
        <v>33383.51</v>
      </c>
      <c r="L500" s="29">
        <f t="shared" si="148"/>
        <v>33383.51</v>
      </c>
      <c r="M500" s="29">
        <f t="shared" si="142"/>
        <v>397.42273809523812</v>
      </c>
      <c r="N500" s="29">
        <f t="shared" si="143"/>
        <v>4769.0728571428572</v>
      </c>
      <c r="O500" s="29">
        <f t="shared" si="138"/>
        <v>4769.0728571428572</v>
      </c>
      <c r="P500" s="29">
        <f t="shared" si="139"/>
        <v>21858.25059523882</v>
      </c>
      <c r="Q500" s="29">
        <f t="shared" si="140"/>
        <v>26627.323452381679</v>
      </c>
      <c r="R500" s="29">
        <f t="shared" si="144"/>
        <v>6756.1865476183229</v>
      </c>
    </row>
    <row r="501" spans="1:18">
      <c r="A501" s="44">
        <v>210117</v>
      </c>
      <c r="B501" s="47">
        <v>624</v>
      </c>
      <c r="C501" t="s">
        <v>614</v>
      </c>
      <c r="D501">
        <v>2019</v>
      </c>
      <c r="E501">
        <v>1</v>
      </c>
      <c r="F501">
        <v>0</v>
      </c>
      <c r="G501" t="s">
        <v>78</v>
      </c>
      <c r="H501" s="5">
        <v>7</v>
      </c>
      <c r="I501">
        <f t="shared" si="146"/>
        <v>2026</v>
      </c>
      <c r="J501" s="4">
        <f t="shared" si="147"/>
        <v>2026.0833333333333</v>
      </c>
      <c r="K501" s="29">
        <v>31843.759999999998</v>
      </c>
      <c r="L501" s="29">
        <f t="shared" si="148"/>
        <v>31843.759999999998</v>
      </c>
      <c r="M501" s="29">
        <f t="shared" si="142"/>
        <v>379.09238095238089</v>
      </c>
      <c r="N501" s="29">
        <f t="shared" si="143"/>
        <v>4549.1085714285709</v>
      </c>
      <c r="O501" s="29">
        <f t="shared" si="138"/>
        <v>4549.1085714285709</v>
      </c>
      <c r="P501" s="29">
        <f t="shared" si="139"/>
        <v>19712.803809524499</v>
      </c>
      <c r="Q501" s="29">
        <f t="shared" si="140"/>
        <v>24261.912380953072</v>
      </c>
      <c r="R501" s="29">
        <f t="shared" si="144"/>
        <v>7581.8476190469264</v>
      </c>
    </row>
    <row r="502" spans="1:18">
      <c r="A502" s="44">
        <v>215457</v>
      </c>
      <c r="B502" s="47">
        <v>624</v>
      </c>
      <c r="C502" t="s">
        <v>614</v>
      </c>
      <c r="D502">
        <v>2019</v>
      </c>
      <c r="E502">
        <v>5</v>
      </c>
      <c r="F502">
        <v>0</v>
      </c>
      <c r="G502" t="s">
        <v>78</v>
      </c>
      <c r="H502" s="5">
        <v>7</v>
      </c>
      <c r="I502">
        <f t="shared" si="146"/>
        <v>2026</v>
      </c>
      <c r="J502" s="4">
        <f t="shared" si="147"/>
        <v>2026.4166666666667</v>
      </c>
      <c r="K502" s="29">
        <v>15148</v>
      </c>
      <c r="L502" s="29">
        <f t="shared" si="148"/>
        <v>15148</v>
      </c>
      <c r="M502" s="29">
        <f t="shared" si="142"/>
        <v>180.33333333333334</v>
      </c>
      <c r="N502" s="29">
        <f t="shared" si="143"/>
        <v>2164</v>
      </c>
      <c r="O502" s="29">
        <f t="shared" si="138"/>
        <v>2164</v>
      </c>
      <c r="P502" s="29">
        <f t="shared" si="139"/>
        <v>8656</v>
      </c>
      <c r="Q502" s="29">
        <f t="shared" si="140"/>
        <v>10820</v>
      </c>
      <c r="R502" s="29">
        <f t="shared" si="144"/>
        <v>4328</v>
      </c>
    </row>
    <row r="503" spans="1:18">
      <c r="A503" s="44">
        <v>215136</v>
      </c>
      <c r="B503" s="47">
        <v>312</v>
      </c>
      <c r="C503" t="s">
        <v>614</v>
      </c>
      <c r="D503">
        <v>2019</v>
      </c>
      <c r="E503">
        <v>5</v>
      </c>
      <c r="F503">
        <v>0</v>
      </c>
      <c r="G503" t="s">
        <v>78</v>
      </c>
      <c r="H503" s="5">
        <v>7</v>
      </c>
      <c r="I503">
        <f t="shared" si="146"/>
        <v>2026</v>
      </c>
      <c r="J503" s="4">
        <f t="shared" si="147"/>
        <v>2026.4166666666667</v>
      </c>
      <c r="K503" s="29">
        <v>30296</v>
      </c>
      <c r="L503" s="29">
        <f t="shared" si="148"/>
        <v>30296</v>
      </c>
      <c r="M503" s="29">
        <f t="shared" si="142"/>
        <v>360.66666666666669</v>
      </c>
      <c r="N503" s="29">
        <f t="shared" si="143"/>
        <v>4328</v>
      </c>
      <c r="O503" s="29">
        <f t="shared" si="138"/>
        <v>4328</v>
      </c>
      <c r="P503" s="29">
        <f t="shared" si="139"/>
        <v>17312</v>
      </c>
      <c r="Q503" s="29">
        <f t="shared" si="140"/>
        <v>21640</v>
      </c>
      <c r="R503" s="29">
        <f t="shared" si="144"/>
        <v>8656</v>
      </c>
    </row>
    <row r="504" spans="1:18">
      <c r="A504" s="44">
        <v>221427</v>
      </c>
      <c r="B504" s="47">
        <v>624</v>
      </c>
      <c r="C504" t="s">
        <v>614</v>
      </c>
      <c r="D504">
        <v>2019</v>
      </c>
      <c r="E504">
        <v>9</v>
      </c>
      <c r="F504">
        <v>0</v>
      </c>
      <c r="G504" s="47" t="s">
        <v>78</v>
      </c>
      <c r="H504" s="5">
        <v>7</v>
      </c>
      <c r="I504">
        <f t="shared" si="146"/>
        <v>2026</v>
      </c>
      <c r="J504" s="4">
        <f t="shared" si="147"/>
        <v>2026.75</v>
      </c>
      <c r="K504" s="29">
        <v>30459.55</v>
      </c>
      <c r="L504" s="29">
        <f t="shared" si="148"/>
        <v>30459.55</v>
      </c>
      <c r="M504" s="29">
        <f t="shared" si="142"/>
        <v>362.61369047619047</v>
      </c>
      <c r="N504" s="29">
        <f t="shared" si="143"/>
        <v>4351.3642857142859</v>
      </c>
      <c r="O504" s="29">
        <f t="shared" si="138"/>
        <v>4351.3642857142859</v>
      </c>
      <c r="P504" s="29">
        <f t="shared" si="139"/>
        <v>15955.00238095271</v>
      </c>
      <c r="Q504" s="29">
        <f t="shared" si="140"/>
        <v>20306.366666666996</v>
      </c>
      <c r="R504" s="29">
        <f t="shared" si="144"/>
        <v>10153.183333333003</v>
      </c>
    </row>
    <row r="505" spans="1:18">
      <c r="A505" s="44">
        <v>236853</v>
      </c>
      <c r="B505" s="47">
        <v>702</v>
      </c>
      <c r="C505" t="s">
        <v>860</v>
      </c>
      <c r="D505">
        <v>2020</v>
      </c>
      <c r="E505">
        <v>7</v>
      </c>
      <c r="F505">
        <v>0</v>
      </c>
      <c r="G505" s="47" t="s">
        <v>78</v>
      </c>
      <c r="H505" s="5">
        <v>7</v>
      </c>
      <c r="I505">
        <f t="shared" si="146"/>
        <v>2027</v>
      </c>
      <c r="J505" s="4">
        <f t="shared" si="147"/>
        <v>2027.5833333333333</v>
      </c>
      <c r="K505" s="29">
        <v>30059.05</v>
      </c>
      <c r="L505" s="29">
        <f t="shared" si="148"/>
        <v>30059.05</v>
      </c>
      <c r="M505" s="29">
        <f t="shared" si="142"/>
        <v>357.8458333333333</v>
      </c>
      <c r="N505" s="29">
        <f t="shared" si="143"/>
        <v>4294.1499999999996</v>
      </c>
      <c r="O505" s="29">
        <f t="shared" si="138"/>
        <v>4294.1499999999996</v>
      </c>
      <c r="P505" s="29">
        <f t="shared" si="139"/>
        <v>12166.758333333986</v>
      </c>
      <c r="Q505" s="29">
        <f t="shared" si="140"/>
        <v>16460.908333333988</v>
      </c>
      <c r="R505" s="29">
        <f t="shared" si="144"/>
        <v>13598.141666666012</v>
      </c>
    </row>
    <row r="506" spans="1:18">
      <c r="A506" s="44">
        <v>233736</v>
      </c>
      <c r="B506" s="47">
        <v>351</v>
      </c>
      <c r="C506" s="47" t="s">
        <v>614</v>
      </c>
      <c r="D506">
        <v>2020</v>
      </c>
      <c r="E506">
        <v>7</v>
      </c>
      <c r="F506">
        <v>0</v>
      </c>
      <c r="G506" s="47" t="s">
        <v>78</v>
      </c>
      <c r="H506" s="5">
        <v>7</v>
      </c>
      <c r="I506">
        <f t="shared" si="146"/>
        <v>2027</v>
      </c>
      <c r="J506" s="4">
        <f t="shared" si="147"/>
        <v>2027.5833333333333</v>
      </c>
      <c r="K506" s="29">
        <v>14415.13</v>
      </c>
      <c r="L506" s="29">
        <f t="shared" si="148"/>
        <v>14415.13</v>
      </c>
      <c r="M506" s="29">
        <f t="shared" si="142"/>
        <v>171.60869047619045</v>
      </c>
      <c r="N506" s="29">
        <f t="shared" si="143"/>
        <v>2059.3042857142855</v>
      </c>
      <c r="O506" s="29">
        <f t="shared" si="138"/>
        <v>2059.3042857142855</v>
      </c>
      <c r="P506" s="29">
        <f t="shared" si="139"/>
        <v>5834.6954761907891</v>
      </c>
      <c r="Q506" s="29">
        <f t="shared" si="140"/>
        <v>7893.9997619050746</v>
      </c>
      <c r="R506" s="29">
        <f t="shared" si="144"/>
        <v>6521.1302380949246</v>
      </c>
    </row>
    <row r="507" spans="1:18">
      <c r="A507" s="44">
        <v>229007</v>
      </c>
      <c r="B507" s="47">
        <v>702</v>
      </c>
      <c r="C507" s="47" t="s">
        <v>865</v>
      </c>
      <c r="D507">
        <v>2020</v>
      </c>
      <c r="E507">
        <v>2</v>
      </c>
      <c r="F507">
        <v>0</v>
      </c>
      <c r="G507" s="47" t="s">
        <v>78</v>
      </c>
      <c r="H507" s="5">
        <v>7</v>
      </c>
      <c r="I507">
        <f t="shared" si="146"/>
        <v>2027</v>
      </c>
      <c r="J507" s="4">
        <f t="shared" si="147"/>
        <v>2027.1666666666667</v>
      </c>
      <c r="K507" s="29">
        <v>32333.43</v>
      </c>
      <c r="L507" s="29">
        <f t="shared" si="148"/>
        <v>32333.43</v>
      </c>
      <c r="M507" s="29">
        <f t="shared" si="142"/>
        <v>384.9217857142857</v>
      </c>
      <c r="N507" s="29">
        <f t="shared" si="143"/>
        <v>4619.0614285714282</v>
      </c>
      <c r="O507" s="29">
        <f t="shared" si="138"/>
        <v>4619.0614285714282</v>
      </c>
      <c r="P507" s="29">
        <f t="shared" si="139"/>
        <v>15011.949642857144</v>
      </c>
      <c r="Q507" s="29">
        <f t="shared" si="140"/>
        <v>19631.011071428573</v>
      </c>
      <c r="R507" s="29">
        <f t="shared" si="144"/>
        <v>12702.418928571427</v>
      </c>
    </row>
    <row r="508" spans="1:18">
      <c r="A508" s="44">
        <v>232776</v>
      </c>
      <c r="B508" s="47">
        <v>702</v>
      </c>
      <c r="C508" s="47" t="s">
        <v>866</v>
      </c>
      <c r="D508">
        <v>2020</v>
      </c>
      <c r="E508">
        <v>5</v>
      </c>
      <c r="F508">
        <v>0</v>
      </c>
      <c r="G508" s="47" t="s">
        <v>78</v>
      </c>
      <c r="H508" s="5">
        <v>7</v>
      </c>
      <c r="I508">
        <f t="shared" si="146"/>
        <v>2027</v>
      </c>
      <c r="J508" s="4">
        <f t="shared" si="147"/>
        <v>2027.4166666666667</v>
      </c>
      <c r="K508" s="29">
        <v>30066.73</v>
      </c>
      <c r="L508" s="29">
        <f t="shared" si="148"/>
        <v>30066.73</v>
      </c>
      <c r="M508" s="29">
        <f t="shared" si="142"/>
        <v>357.9372619047619</v>
      </c>
      <c r="N508" s="29">
        <f t="shared" si="143"/>
        <v>4295.2471428571425</v>
      </c>
      <c r="O508" s="29">
        <f t="shared" si="138"/>
        <v>4295.2471428571425</v>
      </c>
      <c r="P508" s="29">
        <f t="shared" si="139"/>
        <v>12885.741428571429</v>
      </c>
      <c r="Q508" s="29">
        <f t="shared" si="140"/>
        <v>17180.98857142857</v>
      </c>
      <c r="R508" s="29">
        <f t="shared" si="144"/>
        <v>12885.741428571429</v>
      </c>
    </row>
    <row r="509" spans="1:18">
      <c r="A509" s="44">
        <v>241480</v>
      </c>
      <c r="B509" s="47">
        <v>702</v>
      </c>
      <c r="C509" s="47" t="s">
        <v>881</v>
      </c>
      <c r="D509">
        <v>2020</v>
      </c>
      <c r="E509">
        <v>11</v>
      </c>
      <c r="F509">
        <v>0</v>
      </c>
      <c r="G509" s="47" t="s">
        <v>78</v>
      </c>
      <c r="H509" s="5">
        <v>7</v>
      </c>
      <c r="I509">
        <f t="shared" si="146"/>
        <v>2027</v>
      </c>
      <c r="J509" s="4">
        <f t="shared" si="147"/>
        <v>2027.9166666666667</v>
      </c>
      <c r="K509" s="29">
        <v>31902.22</v>
      </c>
      <c r="L509" s="29">
        <f t="shared" si="148"/>
        <v>31902.22</v>
      </c>
      <c r="M509" s="29">
        <f t="shared" si="142"/>
        <v>379.78833333333336</v>
      </c>
      <c r="N509" s="29">
        <f t="shared" si="143"/>
        <v>4557.46</v>
      </c>
      <c r="O509" s="29">
        <f t="shared" si="138"/>
        <v>4557.46</v>
      </c>
      <c r="P509" s="29">
        <f t="shared" si="139"/>
        <v>11393.650000000001</v>
      </c>
      <c r="Q509" s="29">
        <f t="shared" si="140"/>
        <v>15951.11</v>
      </c>
      <c r="R509" s="29">
        <f t="shared" si="144"/>
        <v>15951.11</v>
      </c>
    </row>
    <row r="510" spans="1:18">
      <c r="K510" s="29"/>
      <c r="L510" s="29"/>
      <c r="M510" s="29"/>
      <c r="N510" s="29"/>
      <c r="O510" s="29"/>
      <c r="P510" s="29"/>
      <c r="Q510" s="29"/>
      <c r="R510" s="29"/>
    </row>
    <row r="511" spans="1:18">
      <c r="C511" s="2" t="s">
        <v>277</v>
      </c>
      <c r="K511" s="76">
        <f t="shared" ref="K511:R511" si="149">SUM(K457:K510)</f>
        <v>1263821.17</v>
      </c>
      <c r="L511" s="76">
        <f t="shared" si="149"/>
        <v>1263821.17</v>
      </c>
      <c r="M511" s="76">
        <f t="shared" si="149"/>
        <v>14855.337499999996</v>
      </c>
      <c r="N511" s="76">
        <f t="shared" si="149"/>
        <v>178264.05000000002</v>
      </c>
      <c r="O511" s="76">
        <f t="shared" si="149"/>
        <v>58759.721428571429</v>
      </c>
      <c r="P511" s="76">
        <f t="shared" si="149"/>
        <v>1084201.045833339</v>
      </c>
      <c r="Q511" s="76">
        <f t="shared" si="149"/>
        <v>1150898.6660714331</v>
      </c>
      <c r="R511" s="76">
        <f t="shared" si="149"/>
        <v>112922.50392856692</v>
      </c>
    </row>
    <row r="512" spans="1:18">
      <c r="K512" s="29"/>
      <c r="L512" s="29"/>
      <c r="M512" s="29"/>
      <c r="N512" s="29"/>
      <c r="O512" s="29"/>
      <c r="P512" s="29"/>
      <c r="Q512" s="29"/>
      <c r="R512" s="29"/>
    </row>
    <row r="513" spans="1:18" ht="13.5" thickBot="1">
      <c r="C513" s="2" t="s">
        <v>404</v>
      </c>
      <c r="K513" s="79">
        <f t="shared" ref="K513:R513" si="150">K511+K453+K411+K333+K191</f>
        <v>11676921.999999996</v>
      </c>
      <c r="L513" s="79">
        <f t="shared" si="150"/>
        <v>11676921.999999996</v>
      </c>
      <c r="M513" s="79">
        <f t="shared" si="150"/>
        <v>115573.66209568457</v>
      </c>
      <c r="N513" s="79">
        <f t="shared" si="150"/>
        <v>1386883.9451482152</v>
      </c>
      <c r="O513" s="79">
        <f t="shared" si="150"/>
        <v>556926.53338630998</v>
      </c>
      <c r="P513" s="79">
        <f t="shared" si="150"/>
        <v>8770754.2920478564</v>
      </c>
      <c r="Q513" s="79">
        <f t="shared" si="150"/>
        <v>9361868.0017436817</v>
      </c>
      <c r="R513" s="79">
        <f t="shared" si="150"/>
        <v>2315053.9982563173</v>
      </c>
    </row>
    <row r="514" spans="1:18" ht="13.5" thickTop="1"/>
    <row r="517" spans="1:18">
      <c r="F517" s="5"/>
      <c r="H517"/>
    </row>
    <row r="518" spans="1:18">
      <c r="F518" s="5"/>
      <c r="H518"/>
    </row>
    <row r="519" spans="1:18">
      <c r="F519" s="5"/>
      <c r="H519"/>
    </row>
    <row r="520" spans="1:18" ht="25.5">
      <c r="A520" s="85" t="s">
        <v>909</v>
      </c>
    </row>
    <row r="521" spans="1:18">
      <c r="A521" s="44">
        <v>75726</v>
      </c>
      <c r="B521">
        <v>4</v>
      </c>
      <c r="C521" t="s">
        <v>392</v>
      </c>
      <c r="D521">
        <v>2010</v>
      </c>
      <c r="E521">
        <v>6</v>
      </c>
      <c r="F521">
        <v>0</v>
      </c>
      <c r="G521" t="s">
        <v>78</v>
      </c>
      <c r="H521" s="5">
        <v>10</v>
      </c>
      <c r="I521">
        <f>D521+H521</f>
        <v>2020</v>
      </c>
      <c r="J521" s="4">
        <f>+I521+(E521/12)</f>
        <v>2020.5</v>
      </c>
      <c r="K521" s="29">
        <v>2805.4</v>
      </c>
      <c r="L521" s="29">
        <f>K521-K521*F521</f>
        <v>2805.4</v>
      </c>
      <c r="M521" s="29">
        <f>L521/H521/12</f>
        <v>23.378333333333334</v>
      </c>
      <c r="N521" s="29">
        <f>+M521*12</f>
        <v>280.54000000000002</v>
      </c>
      <c r="O521" s="29">
        <f>+IF(J521&lt;=$L$5,0,IF(I521&gt;$L$4,N521,(M521*E521)))</f>
        <v>280.54000000000002</v>
      </c>
      <c r="P521" s="29">
        <f>+IF(O521=0,L521,IF($L$3-D521&lt;1,0,(($L$3-D521)*O521)))</f>
        <v>0</v>
      </c>
      <c r="Q521" s="29">
        <f>+IF(O521=0,P521,P521+O521)</f>
        <v>280.54000000000002</v>
      </c>
      <c r="R521" s="29">
        <f>+K521-Q521</f>
        <v>2524.86</v>
      </c>
    </row>
    <row r="522" spans="1:18">
      <c r="A522" s="44">
        <v>198066</v>
      </c>
      <c r="B522">
        <v>2</v>
      </c>
      <c r="C522" s="47" t="s">
        <v>785</v>
      </c>
      <c r="D522">
        <v>2012</v>
      </c>
      <c r="E522">
        <v>3</v>
      </c>
      <c r="F522">
        <v>0</v>
      </c>
      <c r="G522" s="47" t="s">
        <v>78</v>
      </c>
      <c r="H522" s="5">
        <v>7</v>
      </c>
      <c r="I522">
        <f>D522+H522</f>
        <v>2019</v>
      </c>
      <c r="J522" s="4">
        <f>+I522+(E522/12)</f>
        <v>2019.25</v>
      </c>
      <c r="K522" s="29">
        <v>3000</v>
      </c>
      <c r="L522" s="29">
        <f>K522-K522*F522</f>
        <v>3000</v>
      </c>
      <c r="M522" s="29">
        <f>L522/H522/12</f>
        <v>35.714285714285715</v>
      </c>
      <c r="N522" s="29">
        <f>+M522*12</f>
        <v>428.57142857142856</v>
      </c>
      <c r="O522" s="29">
        <f>+IF(J522&lt;=$L$5,0,IF(I522&gt;$L$4,N522,(M522*E522)))</f>
        <v>428.57142857142856</v>
      </c>
      <c r="P522" s="29">
        <f>+IF(O522=0,L522,IF($L$3-D522&lt;1,0,(($L$3-D522)*O522)))</f>
        <v>0</v>
      </c>
      <c r="Q522" s="29">
        <f>+IF(O522=0,P522,P522+O522)</f>
        <v>428.57142857142856</v>
      </c>
      <c r="R522" s="29">
        <f>+K522-Q522</f>
        <v>2571.4285714285716</v>
      </c>
    </row>
    <row r="523" spans="1:18">
      <c r="A523" s="44">
        <v>200569</v>
      </c>
      <c r="B523">
        <v>1</v>
      </c>
      <c r="C523" s="47" t="s">
        <v>782</v>
      </c>
      <c r="D523">
        <v>2008</v>
      </c>
      <c r="E523">
        <v>11</v>
      </c>
      <c r="F523">
        <v>0</v>
      </c>
      <c r="G523" s="47" t="s">
        <v>78</v>
      </c>
      <c r="H523" s="5">
        <v>7</v>
      </c>
      <c r="I523">
        <f>D523+H523</f>
        <v>2015</v>
      </c>
      <c r="J523" s="4">
        <f>+I523+(E523/12)</f>
        <v>2015.9166666666667</v>
      </c>
      <c r="K523" s="29">
        <v>1501.73</v>
      </c>
      <c r="L523" s="29">
        <f>K523-K523*F523</f>
        <v>1501.73</v>
      </c>
      <c r="M523" s="29">
        <f>L523/H523/12</f>
        <v>17.877738095238097</v>
      </c>
      <c r="N523" s="29">
        <f>+M523*12</f>
        <v>214.53285714285715</v>
      </c>
      <c r="O523" s="29">
        <f>+IF(J523&lt;=$L$5,0,IF(I523&gt;$L$4,N523,(M523*E523)))</f>
        <v>214.53285714285715</v>
      </c>
      <c r="P523" s="29">
        <f>+IF(O523=0,L523,IF($L$3-D523&lt;1,0,(($L$3-D523)*O523)))</f>
        <v>0</v>
      </c>
      <c r="Q523" s="29">
        <f>+IF(O523=0,P523,P523+O523)</f>
        <v>214.53285714285715</v>
      </c>
      <c r="R523" s="29">
        <f>+K523-Q523</f>
        <v>1287.1971428571428</v>
      </c>
    </row>
    <row r="524" spans="1:18">
      <c r="A524" s="45">
        <v>237933</v>
      </c>
      <c r="B524">
        <v>2</v>
      </c>
      <c r="C524" s="47" t="s">
        <v>857</v>
      </c>
      <c r="D524">
        <v>2001</v>
      </c>
      <c r="E524">
        <v>11</v>
      </c>
      <c r="F524">
        <v>0</v>
      </c>
      <c r="G524" s="47" t="s">
        <v>78</v>
      </c>
      <c r="H524" s="5">
        <v>6</v>
      </c>
      <c r="I524">
        <f>D524+H524</f>
        <v>2007</v>
      </c>
      <c r="J524" s="4">
        <f>+I524+(E524/12)</f>
        <v>2007.9166666666667</v>
      </c>
      <c r="K524" s="29">
        <v>262.95</v>
      </c>
      <c r="L524" s="29">
        <f>K524-K524*F524</f>
        <v>262.95</v>
      </c>
      <c r="M524" s="29">
        <f>L524/H524/12</f>
        <v>3.6520833333333331</v>
      </c>
      <c r="N524" s="29">
        <f>+M524*12</f>
        <v>43.824999999999996</v>
      </c>
      <c r="O524" s="29">
        <f>+IF(J524&lt;=$L$5,0,IF(I524&gt;$L$4,N524,(M524*E524)))</f>
        <v>43.824999999999996</v>
      </c>
      <c r="P524" s="29">
        <f>+IF(O524=0,L524,IF($L$3-D524&lt;1,0,(($L$3-D524)*O524)))</f>
        <v>0</v>
      </c>
      <c r="Q524" s="29">
        <f>+IF(O524=0,P524,P524+O524)</f>
        <v>43.824999999999996</v>
      </c>
      <c r="R524" s="29">
        <f>+K524-Q524</f>
        <v>219.125</v>
      </c>
    </row>
    <row r="525" spans="1:18">
      <c r="A525" s="44">
        <v>75723</v>
      </c>
      <c r="B525">
        <v>5</v>
      </c>
      <c r="C525" t="s">
        <v>391</v>
      </c>
      <c r="D525">
        <v>2010</v>
      </c>
      <c r="E525">
        <v>6</v>
      </c>
      <c r="F525">
        <v>0</v>
      </c>
      <c r="G525" t="s">
        <v>78</v>
      </c>
      <c r="H525" s="5">
        <v>10</v>
      </c>
      <c r="I525">
        <f>D525+H525</f>
        <v>2020</v>
      </c>
      <c r="J525" s="4">
        <f>+I525+(E525/12)</f>
        <v>2020.5</v>
      </c>
      <c r="K525" s="29">
        <v>2741.65</v>
      </c>
      <c r="L525" s="29">
        <f>K525-K525*F525</f>
        <v>2741.65</v>
      </c>
      <c r="M525" s="29">
        <f>L525/H525/12</f>
        <v>22.847083333333334</v>
      </c>
      <c r="N525" s="29">
        <f>+M525*12</f>
        <v>274.16500000000002</v>
      </c>
      <c r="O525" s="29">
        <f>+IF(J525&lt;=$L$5,0,IF(I525&gt;$L$4,N525,(M525*E525)))</f>
        <v>274.16500000000002</v>
      </c>
      <c r="P525" s="29">
        <f>+IF(O525=0,L525,IF($L$3-D525&lt;1,0,(($L$3-D525)*O525)))</f>
        <v>0</v>
      </c>
      <c r="Q525" s="29">
        <f>+IF(O525=0,P525,P525+O525)</f>
        <v>274.16500000000002</v>
      </c>
      <c r="R525" s="29">
        <f>+K525-Q525</f>
        <v>2467.4850000000001</v>
      </c>
    </row>
    <row r="530" spans="1:18" ht="25.5">
      <c r="A530" s="85" t="s">
        <v>2299</v>
      </c>
    </row>
    <row r="531" spans="1:18" outlineLevel="1">
      <c r="A531" s="44">
        <v>81013</v>
      </c>
      <c r="B531">
        <v>100</v>
      </c>
      <c r="C531" t="s">
        <v>399</v>
      </c>
      <c r="D531">
        <v>2011</v>
      </c>
      <c r="E531">
        <v>4</v>
      </c>
      <c r="F531">
        <v>0</v>
      </c>
      <c r="G531" t="s">
        <v>78</v>
      </c>
      <c r="H531" s="5">
        <v>7</v>
      </c>
      <c r="I531">
        <f t="shared" ref="I531:I537" si="151">D531+H531</f>
        <v>2018</v>
      </c>
      <c r="J531" s="4">
        <f t="shared" ref="J531:J537" si="152">+I531+(E531/12)</f>
        <v>2018.3333333333333</v>
      </c>
      <c r="K531" s="29">
        <v>5136.08</v>
      </c>
      <c r="L531" s="29">
        <f t="shared" ref="L531:L537" si="153">K531-K531*F531</f>
        <v>5136.08</v>
      </c>
      <c r="M531" s="29">
        <f t="shared" ref="M531:M537" si="154">L531/H531/12</f>
        <v>61.143809523809523</v>
      </c>
      <c r="N531" s="29">
        <f t="shared" ref="N531:N537" si="155">+M531*12</f>
        <v>733.72571428571428</v>
      </c>
      <c r="O531" s="29">
        <f>+IF(J531&lt;=$L$5,0,IF(I531&gt;$L$4,N531,(M531*E531)))</f>
        <v>733.72571428571428</v>
      </c>
      <c r="P531" s="29">
        <f>+IF(O531=0,L531,IF($L$3-D531&lt;1,0,(($L$3-D531)*O531)))</f>
        <v>0</v>
      </c>
      <c r="Q531" s="29">
        <f>+IF(O531=0,P531,P531+O531)</f>
        <v>733.72571428571428</v>
      </c>
      <c r="R531" s="29">
        <f t="shared" ref="R531:R537" si="156">+K531-Q531</f>
        <v>4402.3542857142857</v>
      </c>
    </row>
    <row r="532" spans="1:18">
      <c r="A532" s="44">
        <v>85603</v>
      </c>
      <c r="B532">
        <v>45</v>
      </c>
      <c r="C532" t="s">
        <v>401</v>
      </c>
      <c r="D532">
        <v>2011</v>
      </c>
      <c r="E532">
        <v>7</v>
      </c>
      <c r="F532">
        <v>0</v>
      </c>
      <c r="G532" t="s">
        <v>78</v>
      </c>
      <c r="H532" s="5">
        <v>7</v>
      </c>
      <c r="I532">
        <f t="shared" si="151"/>
        <v>2018</v>
      </c>
      <c r="J532" s="4">
        <f t="shared" si="152"/>
        <v>2018.5833333333333</v>
      </c>
      <c r="K532" s="29">
        <v>3208.82</v>
      </c>
      <c r="L532" s="29">
        <f t="shared" si="153"/>
        <v>3208.82</v>
      </c>
      <c r="M532" s="29">
        <f t="shared" si="154"/>
        <v>38.200238095238099</v>
      </c>
      <c r="N532" s="29">
        <f t="shared" si="155"/>
        <v>458.40285714285721</v>
      </c>
      <c r="O532" s="29">
        <f>+IF($J532&lt;$N$7,0,IF($J532&gt;$N$6,$N532,((($J532-$N$7)*12)*$M532)))</f>
        <v>0</v>
      </c>
      <c r="P532" s="29">
        <f>+IF($J532&lt;=$N$7,$L532,IF(($D532+($E532/12))&gt;=$N$7,0,((($L532-((($J532-$N$7)*12)*$M532))))))</f>
        <v>3208.82</v>
      </c>
      <c r="Q532" s="29">
        <f>IF(J532&lt;$N$6,K532,P532+O532)</f>
        <v>3208.82</v>
      </c>
      <c r="R532" s="29">
        <f t="shared" si="156"/>
        <v>0</v>
      </c>
    </row>
    <row r="533" spans="1:18">
      <c r="A533" s="44">
        <v>114300</v>
      </c>
      <c r="B533">
        <v>178</v>
      </c>
      <c r="C533" t="s">
        <v>558</v>
      </c>
      <c r="D533">
        <v>2011</v>
      </c>
      <c r="E533">
        <v>7</v>
      </c>
      <c r="F533">
        <v>0</v>
      </c>
      <c r="G533" t="s">
        <v>78</v>
      </c>
      <c r="H533" s="5">
        <v>7</v>
      </c>
      <c r="I533">
        <f t="shared" si="151"/>
        <v>2018</v>
      </c>
      <c r="J533" s="4">
        <f t="shared" si="152"/>
        <v>2018.5833333333333</v>
      </c>
      <c r="K533" s="29">
        <v>8660.43</v>
      </c>
      <c r="L533" s="29">
        <f t="shared" si="153"/>
        <v>8660.43</v>
      </c>
      <c r="M533" s="29">
        <f t="shared" si="154"/>
        <v>103.10035714285715</v>
      </c>
      <c r="N533" s="29">
        <f t="shared" si="155"/>
        <v>1237.2042857142858</v>
      </c>
      <c r="O533" s="29">
        <f>+IF($J533&lt;$N$7,0,IF($J533&gt;$N$6,$N533,((($J533-$N$7)*12)*$M533)))</f>
        <v>0</v>
      </c>
      <c r="P533" s="29">
        <f>+IF($J533&lt;=$N$7,$L533,IF(($D533+($E533/12))&gt;=$N$7,0,((($L533-((($J533-$N$7)*12)*$M533))))))</f>
        <v>8660.43</v>
      </c>
      <c r="Q533" s="29">
        <f>IF(J533&lt;$N$6,K533,P533+O533)</f>
        <v>8660.43</v>
      </c>
      <c r="R533" s="29">
        <f t="shared" si="156"/>
        <v>0</v>
      </c>
    </row>
    <row r="534" spans="1:18" outlineLevel="1">
      <c r="A534" s="44">
        <v>85604</v>
      </c>
      <c r="B534">
        <v>146</v>
      </c>
      <c r="C534" t="s">
        <v>400</v>
      </c>
      <c r="D534">
        <v>2011</v>
      </c>
      <c r="E534">
        <v>7</v>
      </c>
      <c r="F534">
        <v>0</v>
      </c>
      <c r="G534" t="s">
        <v>78</v>
      </c>
      <c r="H534" s="5">
        <v>7</v>
      </c>
      <c r="I534">
        <f t="shared" si="151"/>
        <v>2018</v>
      </c>
      <c r="J534" s="4">
        <f t="shared" si="152"/>
        <v>2018.5833333333333</v>
      </c>
      <c r="K534" s="29">
        <v>7103.49</v>
      </c>
      <c r="L534" s="29">
        <f t="shared" si="153"/>
        <v>7103.49</v>
      </c>
      <c r="M534" s="29">
        <f t="shared" si="154"/>
        <v>84.565357142857138</v>
      </c>
      <c r="N534" s="29">
        <f t="shared" si="155"/>
        <v>1014.7842857142857</v>
      </c>
      <c r="O534" s="29">
        <f>+IF(J534&lt;=$L$5,0,IF(I534&gt;$L$4,N534,(M534*E534)))</f>
        <v>1014.7842857142857</v>
      </c>
      <c r="P534" s="29">
        <f>+IF(O534=0,L534,IF($L$3-D534&lt;1,0,(($L$3-D534)*O534)))</f>
        <v>0</v>
      </c>
      <c r="Q534" s="29">
        <f>+IF(O534=0,P534,P534+O534)</f>
        <v>1014.7842857142857</v>
      </c>
      <c r="R534" s="29">
        <f t="shared" si="156"/>
        <v>6088.7057142857138</v>
      </c>
    </row>
    <row r="535" spans="1:18" outlineLevel="1">
      <c r="A535" s="44">
        <v>107055</v>
      </c>
      <c r="B535">
        <v>217</v>
      </c>
      <c r="C535" t="s">
        <v>466</v>
      </c>
      <c r="D535">
        <v>2013</v>
      </c>
      <c r="E535">
        <v>5</v>
      </c>
      <c r="F535">
        <v>0</v>
      </c>
      <c r="G535" t="s">
        <v>78</v>
      </c>
      <c r="H535" s="5">
        <v>7</v>
      </c>
      <c r="I535">
        <f t="shared" si="151"/>
        <v>2020</v>
      </c>
      <c r="J535" s="4">
        <f t="shared" si="152"/>
        <v>2020.4166666666667</v>
      </c>
      <c r="K535" s="29">
        <v>8693.01</v>
      </c>
      <c r="L535" s="29">
        <f t="shared" si="153"/>
        <v>8693.01</v>
      </c>
      <c r="M535" s="29">
        <f t="shared" si="154"/>
        <v>103.48821428571428</v>
      </c>
      <c r="N535" s="29">
        <f t="shared" si="155"/>
        <v>1241.8585714285714</v>
      </c>
      <c r="O535" s="29">
        <f>+IF(J535&lt;=$L$5,0,IF(I535&gt;$L$4,N535,(M535*E535)))</f>
        <v>1241.8585714285714</v>
      </c>
      <c r="P535" s="29">
        <f>+IF(O535=0,L535,IF($L$3-D535&lt;1,0,(($L$3-D535)*O535)))</f>
        <v>0</v>
      </c>
      <c r="Q535" s="29">
        <f>+IF(O535=0,P535,P535+O535)</f>
        <v>1241.8585714285714</v>
      </c>
      <c r="R535" s="29">
        <f t="shared" si="156"/>
        <v>7451.1514285714293</v>
      </c>
    </row>
    <row r="536" spans="1:18">
      <c r="A536" s="45">
        <v>240299</v>
      </c>
      <c r="B536">
        <v>30</v>
      </c>
      <c r="C536" s="47" t="s">
        <v>905</v>
      </c>
      <c r="D536">
        <v>2008</v>
      </c>
      <c r="E536">
        <v>11</v>
      </c>
      <c r="F536">
        <v>0</v>
      </c>
      <c r="G536" s="47" t="s">
        <v>78</v>
      </c>
      <c r="H536" s="5">
        <v>7</v>
      </c>
      <c r="I536">
        <f t="shared" si="151"/>
        <v>2015</v>
      </c>
      <c r="J536" s="4">
        <f t="shared" si="152"/>
        <v>2015.9166666666667</v>
      </c>
      <c r="K536" s="29">
        <v>5438.78</v>
      </c>
      <c r="L536" s="29">
        <f t="shared" si="153"/>
        <v>5438.78</v>
      </c>
      <c r="M536" s="29">
        <f t="shared" si="154"/>
        <v>64.747380952380951</v>
      </c>
      <c r="N536" s="29">
        <f t="shared" si="155"/>
        <v>776.96857142857141</v>
      </c>
      <c r="O536" s="29">
        <f>+IF($J536&lt;$N$7,0,IF($J536&gt;$N$6,$N536,((($J536-$N$7)*12)*$M536)))</f>
        <v>0</v>
      </c>
      <c r="P536" s="29">
        <f>+IF($J536&lt;=$N$7,$L536,IF(($D536+($E536/12))&gt;=$N$7,0,((($L536-((($J536-$N$7)*12)*$M536))))))</f>
        <v>5438.78</v>
      </c>
      <c r="Q536" s="29">
        <f>IF(J536&lt;$N$6,K536,P536+O536)</f>
        <v>5438.78</v>
      </c>
      <c r="R536" s="29">
        <f t="shared" si="156"/>
        <v>0</v>
      </c>
    </row>
    <row r="537" spans="1:18" outlineLevel="1">
      <c r="A537" s="44">
        <v>200583</v>
      </c>
      <c r="B537">
        <v>244</v>
      </c>
      <c r="C537" t="s">
        <v>786</v>
      </c>
      <c r="D537">
        <v>2008</v>
      </c>
      <c r="E537">
        <v>11</v>
      </c>
      <c r="F537">
        <v>0</v>
      </c>
      <c r="G537" t="s">
        <v>78</v>
      </c>
      <c r="H537" s="5">
        <v>12</v>
      </c>
      <c r="I537">
        <f t="shared" si="151"/>
        <v>2020</v>
      </c>
      <c r="J537" s="4">
        <f t="shared" si="152"/>
        <v>2020.9166666666667</v>
      </c>
      <c r="K537" s="29">
        <v>34074.6</v>
      </c>
      <c r="L537" s="29">
        <f t="shared" si="153"/>
        <v>34074.6</v>
      </c>
      <c r="M537" s="29">
        <f t="shared" si="154"/>
        <v>236.62916666666663</v>
      </c>
      <c r="N537" s="29">
        <f t="shared" si="155"/>
        <v>2839.5499999999997</v>
      </c>
      <c r="O537" s="29">
        <f>+IF($J537&lt;$N$7,0,IF($J537&gt;$N$6,$N537,((($J537-$N$7)*12)*$M537)))</f>
        <v>0</v>
      </c>
      <c r="P537" s="29">
        <f>+IF($J537&lt;=$N$7,$L537,IF(($D537+($E537/12))&gt;=$N$7,0,((($L537-((($J537-$N$7)*12)*$M537))))))</f>
        <v>34074.6</v>
      </c>
      <c r="Q537" s="29">
        <f>IF(J537&lt;$N$6,K537,P537+O537)</f>
        <v>34074.6</v>
      </c>
      <c r="R537" s="29">
        <f t="shared" si="156"/>
        <v>0</v>
      </c>
    </row>
  </sheetData>
  <sortState xmlns:xlrd2="http://schemas.microsoft.com/office/spreadsheetml/2017/richdata2" ref="A170:R290">
    <sortCondition ref="D170:D290"/>
    <sortCondition ref="E170:E290"/>
  </sortState>
  <phoneticPr fontId="17" type="noConversion"/>
  <pageMargins left="0" right="0" top="0" bottom="0" header="0.5" footer="0.5"/>
  <pageSetup scale="57" fitToHeight="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59999389629810485"/>
  </sheetPr>
  <dimension ref="A1:U166"/>
  <sheetViews>
    <sheetView tabSelected="1" view="pageBreakPreview" topLeftCell="A32" zoomScale="60" zoomScaleNormal="100" workbookViewId="0">
      <selection activeCell="R41" sqref="R41"/>
    </sheetView>
  </sheetViews>
  <sheetFormatPr defaultColWidth="11.42578125" defaultRowHeight="12.75"/>
  <cols>
    <col min="1" max="1" width="7" customWidth="1"/>
    <col min="2" max="2" width="6.7109375" customWidth="1"/>
    <col min="3" max="3" width="53.140625" bestFit="1" customWidth="1"/>
    <col min="4" max="4" width="14.28515625" bestFit="1" customWidth="1"/>
    <col min="5" max="5" width="7.28515625" bestFit="1" customWidth="1"/>
    <col min="6" max="6" width="3.42578125" bestFit="1" customWidth="1"/>
    <col min="7" max="7" width="7" style="7" bestFit="1" customWidth="1"/>
    <col min="8" max="8" width="1.28515625" customWidth="1"/>
    <col min="9" max="9" width="11.5703125" bestFit="1" customWidth="1"/>
    <col min="10" max="10" width="5.5703125" bestFit="1" customWidth="1"/>
    <col min="11" max="11" width="7" customWidth="1"/>
    <col min="12" max="12" width="8.42578125" bestFit="1" customWidth="1"/>
    <col min="13" max="14" width="14.7109375" bestFit="1" customWidth="1"/>
    <col min="15" max="15" width="11.7109375" customWidth="1"/>
    <col min="16" max="17" width="12.140625" bestFit="1" customWidth="1"/>
    <col min="18" max="18" width="14.42578125" bestFit="1" customWidth="1"/>
    <col min="19" max="19" width="14.85546875" bestFit="1" customWidth="1"/>
    <col min="20" max="20" width="14" bestFit="1" customWidth="1"/>
  </cols>
  <sheetData>
    <row r="1" spans="1:20">
      <c r="C1" s="86" t="s">
        <v>343</v>
      </c>
      <c r="G1" s="26"/>
    </row>
    <row r="2" spans="1:20" ht="15">
      <c r="C2" s="86" t="s">
        <v>26</v>
      </c>
      <c r="G2" s="26"/>
      <c r="I2" s="55"/>
      <c r="N2" s="139">
        <f>+'Trucks 2183'!N2</f>
        <v>5</v>
      </c>
      <c r="O2" s="140" t="s">
        <v>1987</v>
      </c>
    </row>
    <row r="3" spans="1:20" ht="15">
      <c r="C3" s="65">
        <f>'Summary 2183'!H8</f>
        <v>45412</v>
      </c>
      <c r="G3" s="26"/>
      <c r="I3" s="55"/>
      <c r="N3" s="139">
        <f>+'Trucks 2183'!N3</f>
        <v>4</v>
      </c>
      <c r="O3" s="140" t="s">
        <v>1986</v>
      </c>
    </row>
    <row r="4" spans="1:20" ht="15">
      <c r="G4" s="26"/>
      <c r="N4" s="139">
        <f>+'Trucks 2183'!N4</f>
        <v>2023</v>
      </c>
      <c r="O4" s="140" t="s">
        <v>742</v>
      </c>
    </row>
    <row r="5" spans="1:20" ht="15">
      <c r="G5" s="26"/>
      <c r="N5" s="139">
        <f>+'Trucks 2183'!N5</f>
        <v>2024</v>
      </c>
      <c r="O5" s="140" t="s">
        <v>34</v>
      </c>
    </row>
    <row r="6" spans="1:20" ht="15">
      <c r="G6" s="26"/>
      <c r="N6" s="143">
        <f>+'Trucks 2183'!N6</f>
        <v>2024.3333333333333</v>
      </c>
      <c r="O6" s="140" t="s">
        <v>1985</v>
      </c>
    </row>
    <row r="7" spans="1:20" ht="15">
      <c r="G7" s="26"/>
      <c r="M7" s="87"/>
      <c r="N7" s="143">
        <f>+'Trucks 2183'!N7</f>
        <v>2023.4166666666667</v>
      </c>
      <c r="O7" s="141" t="s">
        <v>1984</v>
      </c>
    </row>
    <row r="8" spans="1:20">
      <c r="A8" s="2"/>
      <c r="B8" s="2"/>
      <c r="C8" s="2"/>
      <c r="D8" s="2"/>
      <c r="E8" s="2"/>
      <c r="F8" s="2"/>
      <c r="G8" s="88"/>
      <c r="H8" s="2"/>
      <c r="I8" s="2"/>
      <c r="J8" s="2"/>
      <c r="K8" s="2"/>
      <c r="L8" s="2"/>
      <c r="M8" s="2"/>
      <c r="N8" s="2"/>
      <c r="O8" s="2"/>
      <c r="P8" s="2"/>
      <c r="Q8" s="2"/>
      <c r="R8" s="2" t="s">
        <v>25</v>
      </c>
      <c r="S8" s="2" t="s">
        <v>43</v>
      </c>
      <c r="T8" s="2"/>
    </row>
    <row r="9" spans="1:20">
      <c r="A9" s="2"/>
      <c r="B9" s="2" t="s">
        <v>45</v>
      </c>
      <c r="C9" s="2"/>
      <c r="D9" s="2"/>
      <c r="E9" s="14" t="s">
        <v>46</v>
      </c>
      <c r="F9" s="14"/>
      <c r="G9" s="67" t="s">
        <v>47</v>
      </c>
      <c r="H9" s="14"/>
      <c r="I9" s="14" t="s">
        <v>45</v>
      </c>
      <c r="J9" s="14"/>
      <c r="K9" s="14" t="s">
        <v>48</v>
      </c>
      <c r="L9" s="14" t="s">
        <v>45</v>
      </c>
      <c r="M9" s="14" t="s">
        <v>45</v>
      </c>
      <c r="N9" s="14" t="s">
        <v>45</v>
      </c>
      <c r="O9" s="14"/>
      <c r="P9" s="14"/>
      <c r="Q9" s="14"/>
      <c r="R9" s="14" t="s">
        <v>54</v>
      </c>
      <c r="S9" s="14" t="s">
        <v>54</v>
      </c>
      <c r="T9" s="14" t="s">
        <v>55</v>
      </c>
    </row>
    <row r="10" spans="1:20">
      <c r="A10" s="2"/>
      <c r="B10" s="2"/>
      <c r="C10" s="2"/>
      <c r="D10" s="2"/>
      <c r="E10" s="14" t="s">
        <v>57</v>
      </c>
      <c r="F10" s="14"/>
      <c r="G10" s="67" t="s">
        <v>58</v>
      </c>
      <c r="H10" s="14"/>
      <c r="I10" s="14" t="s">
        <v>100</v>
      </c>
      <c r="J10" s="14" t="s">
        <v>59</v>
      </c>
      <c r="K10" s="14" t="s">
        <v>60</v>
      </c>
      <c r="L10" s="14" t="s">
        <v>740</v>
      </c>
      <c r="M10" s="14" t="s">
        <v>49</v>
      </c>
      <c r="N10" s="14" t="s">
        <v>62</v>
      </c>
      <c r="O10" s="14" t="s">
        <v>63</v>
      </c>
      <c r="P10" s="14" t="s">
        <v>743</v>
      </c>
      <c r="Q10" s="14" t="s">
        <v>65</v>
      </c>
      <c r="R10" s="14" t="s">
        <v>68</v>
      </c>
      <c r="S10" s="14" t="s">
        <v>68</v>
      </c>
      <c r="T10" s="14" t="s">
        <v>6</v>
      </c>
    </row>
    <row r="11" spans="1:20">
      <c r="A11" s="2" t="s">
        <v>71</v>
      </c>
      <c r="B11" s="2" t="s">
        <v>72</v>
      </c>
      <c r="C11" s="2" t="s">
        <v>73</v>
      </c>
      <c r="D11" s="2" t="s">
        <v>432</v>
      </c>
      <c r="E11" s="14" t="s">
        <v>48</v>
      </c>
      <c r="F11" s="14" t="s">
        <v>74</v>
      </c>
      <c r="G11" s="67" t="s">
        <v>51</v>
      </c>
      <c r="H11" s="14" t="s">
        <v>99</v>
      </c>
      <c r="I11" s="14" t="s">
        <v>75</v>
      </c>
      <c r="J11" s="14" t="s">
        <v>76</v>
      </c>
      <c r="K11" s="14" t="s">
        <v>62</v>
      </c>
      <c r="L11" s="14" t="s">
        <v>744</v>
      </c>
      <c r="M11" s="14" t="s">
        <v>173</v>
      </c>
      <c r="N11" s="14" t="s">
        <v>173</v>
      </c>
      <c r="O11" s="14" t="s">
        <v>62</v>
      </c>
      <c r="P11" s="14" t="s">
        <v>62</v>
      </c>
      <c r="Q11" s="14" t="s">
        <v>77</v>
      </c>
      <c r="R11" s="84">
        <f>+'Summary 2183'!F8</f>
        <v>45047</v>
      </c>
      <c r="S11" s="84">
        <f>+C3</f>
        <v>45412</v>
      </c>
      <c r="T11" s="84">
        <f>S11</f>
        <v>45412</v>
      </c>
    </row>
    <row r="12" spans="1:20">
      <c r="C12" s="2" t="s">
        <v>916</v>
      </c>
      <c r="G12" s="26"/>
    </row>
    <row r="13" spans="1:20">
      <c r="C13" t="s">
        <v>17</v>
      </c>
      <c r="E13">
        <v>2000</v>
      </c>
      <c r="F13">
        <v>7</v>
      </c>
      <c r="G13" s="26">
        <v>0</v>
      </c>
      <c r="I13" t="s">
        <v>78</v>
      </c>
      <c r="J13" t="s">
        <v>10</v>
      </c>
      <c r="K13">
        <f t="shared" ref="K13:K23" si="0">E13+J13</f>
        <v>2039</v>
      </c>
      <c r="L13" s="4">
        <f>+K13+(F13/12)</f>
        <v>2039.5833333333333</v>
      </c>
      <c r="M13" s="25">
        <v>157653.60999999999</v>
      </c>
      <c r="N13" s="25">
        <f>M13-M13*G13</f>
        <v>157653.60999999999</v>
      </c>
      <c r="O13" s="29">
        <f>N13/J13/12</f>
        <v>336.86668803418803</v>
      </c>
      <c r="P13" s="29">
        <f>+O13*12</f>
        <v>4042.4002564102566</v>
      </c>
      <c r="Q13" s="29">
        <f>IF(L13&lt;=$N$6,0,P13)</f>
        <v>4042.4002564102566</v>
      </c>
      <c r="R13" s="29">
        <f>+IF($L13&lt;=$N$7,$M13,IF(($E13+($F13/12))&gt;=$N$7,0,((($N13-((($L13-$N$7)*12)*$O13))))))</f>
        <v>92301.472521368123</v>
      </c>
      <c r="S13" s="29">
        <f>IF(Q13=0,N13,R13+Q13)</f>
        <v>96343.872777778379</v>
      </c>
      <c r="T13" s="29">
        <f>+M13-S13</f>
        <v>61309.737222221607</v>
      </c>
    </row>
    <row r="14" spans="1:20">
      <c r="G14" s="26"/>
      <c r="L14" s="4"/>
      <c r="M14" s="25"/>
      <c r="N14" s="25"/>
      <c r="O14" s="25"/>
      <c r="P14" s="25"/>
      <c r="Q14" s="25"/>
      <c r="R14" s="25"/>
      <c r="S14" s="25"/>
      <c r="T14" s="25"/>
    </row>
    <row r="15" spans="1:20">
      <c r="C15" s="2" t="s">
        <v>915</v>
      </c>
      <c r="G15" s="26"/>
      <c r="M15" s="89">
        <f>SUM(M13:M14)</f>
        <v>157653.60999999999</v>
      </c>
      <c r="N15" s="89">
        <f t="shared" ref="N15:T15" si="1">SUM(N13:N14)</f>
        <v>157653.60999999999</v>
      </c>
      <c r="O15" s="89">
        <f t="shared" si="1"/>
        <v>336.86668803418803</v>
      </c>
      <c r="P15" s="89">
        <f t="shared" si="1"/>
        <v>4042.4002564102566</v>
      </c>
      <c r="Q15" s="89">
        <f t="shared" si="1"/>
        <v>4042.4002564102566</v>
      </c>
      <c r="R15" s="89">
        <f t="shared" si="1"/>
        <v>92301.472521368123</v>
      </c>
      <c r="S15" s="89">
        <f t="shared" si="1"/>
        <v>96343.872777778379</v>
      </c>
      <c r="T15" s="89">
        <f t="shared" si="1"/>
        <v>61309.737222221607</v>
      </c>
    </row>
    <row r="16" spans="1:20">
      <c r="G16" s="26"/>
      <c r="L16" s="4"/>
      <c r="M16" s="25"/>
      <c r="N16" s="25"/>
      <c r="O16" s="25"/>
      <c r="P16" s="25"/>
      <c r="Q16" s="25"/>
      <c r="R16" s="25"/>
      <c r="S16" s="25"/>
      <c r="T16" s="25"/>
    </row>
    <row r="17" spans="3:20">
      <c r="C17" s="2" t="s">
        <v>913</v>
      </c>
      <c r="G17" s="26"/>
      <c r="L17" s="4"/>
      <c r="M17" s="25"/>
      <c r="N17" s="25"/>
      <c r="O17" s="25"/>
      <c r="P17" s="25"/>
      <c r="Q17" s="25"/>
      <c r="R17" s="25"/>
      <c r="S17" s="25"/>
      <c r="T17" s="25"/>
    </row>
    <row r="18" spans="3:20">
      <c r="C18" t="s">
        <v>18</v>
      </c>
      <c r="E18">
        <v>2000</v>
      </c>
      <c r="F18">
        <v>7</v>
      </c>
      <c r="G18" s="26">
        <v>0</v>
      </c>
      <c r="I18" t="s">
        <v>78</v>
      </c>
      <c r="J18" t="s">
        <v>10</v>
      </c>
      <c r="K18">
        <f t="shared" si="0"/>
        <v>2039</v>
      </c>
      <c r="L18" s="4">
        <f t="shared" ref="L18:L23" si="2">+K18+(F18/12)</f>
        <v>2039.5833333333333</v>
      </c>
      <c r="M18" s="25">
        <v>749055.76</v>
      </c>
      <c r="N18" s="25">
        <f t="shared" ref="N18:N23" si="3">M18-M18*G18</f>
        <v>749055.76</v>
      </c>
      <c r="O18" s="25">
        <f t="shared" ref="O18:O23" si="4">N18/J18/12</f>
        <v>1600.5464957264958</v>
      </c>
      <c r="P18" s="25">
        <f t="shared" ref="P18:P23" si="5">+O18*12</f>
        <v>19206.557948717949</v>
      </c>
      <c r="Q18" s="29">
        <f t="shared" ref="Q18:Q23" si="6">IF(L18&lt;=$N$6,0,P18)</f>
        <v>19206.557948717949</v>
      </c>
      <c r="R18" s="25">
        <f t="shared" ref="R18:R23" si="7">+IF($L18&lt;=$N$7,$M18,IF(($E18+($F18/12))&gt;=$N$7,0,((($N18-((($L18-$N$7)*12)*$O18))))))</f>
        <v>438549.73982906272</v>
      </c>
      <c r="S18" s="29">
        <f t="shared" ref="S18:S23" si="8">IF(Q18=0,N18,R18+Q18)</f>
        <v>457756.29777778068</v>
      </c>
      <c r="T18" s="25">
        <f t="shared" ref="T18:T23" si="9">+M18-S18</f>
        <v>291299.46222221933</v>
      </c>
    </row>
    <row r="19" spans="3:20">
      <c r="C19" t="s">
        <v>349</v>
      </c>
      <c r="E19">
        <v>2001</v>
      </c>
      <c r="F19">
        <v>1</v>
      </c>
      <c r="G19" s="26">
        <v>0</v>
      </c>
      <c r="I19" t="s">
        <v>78</v>
      </c>
      <c r="J19" t="s">
        <v>10</v>
      </c>
      <c r="K19">
        <f t="shared" si="0"/>
        <v>2040</v>
      </c>
      <c r="L19" s="4">
        <f t="shared" si="2"/>
        <v>2040.0833333333333</v>
      </c>
      <c r="M19" s="25">
        <v>26815.63</v>
      </c>
      <c r="N19" s="25">
        <f t="shared" si="3"/>
        <v>26815.63</v>
      </c>
      <c r="O19" s="25">
        <f t="shared" si="4"/>
        <v>57.298354700854702</v>
      </c>
      <c r="P19" s="25">
        <f t="shared" si="5"/>
        <v>687.58025641025642</v>
      </c>
      <c r="Q19" s="29">
        <f t="shared" si="6"/>
        <v>687.58025641025642</v>
      </c>
      <c r="R19" s="25">
        <f t="shared" si="7"/>
        <v>15355.959059829165</v>
      </c>
      <c r="S19" s="29">
        <f t="shared" si="8"/>
        <v>16043.539316239421</v>
      </c>
      <c r="T19" s="25">
        <f t="shared" si="9"/>
        <v>10772.09068376058</v>
      </c>
    </row>
    <row r="20" spans="3:20">
      <c r="C20" t="s">
        <v>344</v>
      </c>
      <c r="E20">
        <v>2006</v>
      </c>
      <c r="F20">
        <v>8</v>
      </c>
      <c r="G20" s="26">
        <v>0</v>
      </c>
      <c r="I20" t="s">
        <v>78</v>
      </c>
      <c r="J20" t="s">
        <v>10</v>
      </c>
      <c r="K20">
        <f t="shared" si="0"/>
        <v>2045</v>
      </c>
      <c r="L20" s="4">
        <f t="shared" si="2"/>
        <v>2045.6666666666667</v>
      </c>
      <c r="M20" s="25">
        <v>32833.279999999999</v>
      </c>
      <c r="N20" s="25">
        <f t="shared" si="3"/>
        <v>32833.279999999999</v>
      </c>
      <c r="O20" s="25">
        <f t="shared" si="4"/>
        <v>70.1565811965812</v>
      </c>
      <c r="P20" s="25">
        <f t="shared" si="5"/>
        <v>841.87897435897435</v>
      </c>
      <c r="Q20" s="29">
        <f t="shared" si="6"/>
        <v>841.87897435897435</v>
      </c>
      <c r="R20" s="25">
        <f t="shared" si="7"/>
        <v>14101.472820512819</v>
      </c>
      <c r="S20" s="29">
        <f t="shared" si="8"/>
        <v>14943.351794871794</v>
      </c>
      <c r="T20" s="25">
        <f t="shared" si="9"/>
        <v>17889.928205128206</v>
      </c>
    </row>
    <row r="21" spans="3:20">
      <c r="C21" t="s">
        <v>301</v>
      </c>
      <c r="E21">
        <v>2006</v>
      </c>
      <c r="F21">
        <v>4</v>
      </c>
      <c r="G21" s="26">
        <v>0</v>
      </c>
      <c r="I21" t="s">
        <v>78</v>
      </c>
      <c r="J21" t="s">
        <v>10</v>
      </c>
      <c r="K21">
        <f t="shared" si="0"/>
        <v>2045</v>
      </c>
      <c r="L21" s="4">
        <f t="shared" si="2"/>
        <v>2045.3333333333333</v>
      </c>
      <c r="M21" s="25">
        <v>8226.42</v>
      </c>
      <c r="N21" s="25">
        <f t="shared" si="3"/>
        <v>8226.42</v>
      </c>
      <c r="O21" s="25">
        <f t="shared" si="4"/>
        <v>17.577820512820512</v>
      </c>
      <c r="P21" s="25">
        <f t="shared" si="5"/>
        <v>210.93384615384616</v>
      </c>
      <c r="Q21" s="29">
        <f t="shared" si="6"/>
        <v>210.93384615384616</v>
      </c>
      <c r="R21" s="25">
        <f t="shared" si="7"/>
        <v>3603.4532051282376</v>
      </c>
      <c r="S21" s="29">
        <f t="shared" si="8"/>
        <v>3814.387051282084</v>
      </c>
      <c r="T21" s="25">
        <f t="shared" si="9"/>
        <v>4412.032948717916</v>
      </c>
    </row>
    <row r="22" spans="3:20">
      <c r="C22" t="s">
        <v>15</v>
      </c>
      <c r="E22">
        <v>2006</v>
      </c>
      <c r="F22">
        <v>1</v>
      </c>
      <c r="G22" s="26">
        <v>0</v>
      </c>
      <c r="I22" t="s">
        <v>78</v>
      </c>
      <c r="J22" t="s">
        <v>10</v>
      </c>
      <c r="K22">
        <f t="shared" si="0"/>
        <v>2045</v>
      </c>
      <c r="L22" s="4">
        <f t="shared" si="2"/>
        <v>2045.0833333333333</v>
      </c>
      <c r="M22" s="25">
        <v>16082.22</v>
      </c>
      <c r="N22" s="25">
        <f t="shared" si="3"/>
        <v>16082.22</v>
      </c>
      <c r="O22" s="25">
        <f t="shared" si="4"/>
        <v>34.363717948717948</v>
      </c>
      <c r="P22" s="25">
        <f t="shared" si="5"/>
        <v>412.36461538461538</v>
      </c>
      <c r="Q22" s="29">
        <f t="shared" si="6"/>
        <v>412.36461538461538</v>
      </c>
      <c r="R22" s="25">
        <f t="shared" si="7"/>
        <v>7147.6533333333955</v>
      </c>
      <c r="S22" s="29">
        <f t="shared" si="8"/>
        <v>7560.0179487180112</v>
      </c>
      <c r="T22" s="25">
        <f t="shared" si="9"/>
        <v>8522.2020512819872</v>
      </c>
    </row>
    <row r="23" spans="3:20">
      <c r="C23" t="s">
        <v>110</v>
      </c>
      <c r="E23">
        <v>2007</v>
      </c>
      <c r="F23">
        <v>5</v>
      </c>
      <c r="G23" s="26">
        <v>0</v>
      </c>
      <c r="I23" t="s">
        <v>78</v>
      </c>
      <c r="J23" t="s">
        <v>102</v>
      </c>
      <c r="K23">
        <f t="shared" si="0"/>
        <v>2022</v>
      </c>
      <c r="L23" s="4">
        <f t="shared" si="2"/>
        <v>2022.4166666666667</v>
      </c>
      <c r="M23" s="25">
        <v>6504</v>
      </c>
      <c r="N23" s="25">
        <f t="shared" si="3"/>
        <v>6504</v>
      </c>
      <c r="O23" s="25">
        <f t="shared" si="4"/>
        <v>36.133333333333333</v>
      </c>
      <c r="P23" s="25">
        <f t="shared" si="5"/>
        <v>433.6</v>
      </c>
      <c r="Q23" s="29">
        <f t="shared" si="6"/>
        <v>0</v>
      </c>
      <c r="R23" s="25">
        <f t="shared" si="7"/>
        <v>6504</v>
      </c>
      <c r="S23" s="29">
        <f t="shared" si="8"/>
        <v>6504</v>
      </c>
      <c r="T23" s="25">
        <f t="shared" si="9"/>
        <v>0</v>
      </c>
    </row>
    <row r="24" spans="3:20">
      <c r="C24" s="47"/>
      <c r="D24" s="2"/>
      <c r="G24" s="26"/>
      <c r="J24" s="91"/>
      <c r="L24" s="4"/>
      <c r="M24" s="25"/>
      <c r="O24" s="25"/>
      <c r="P24" s="25"/>
      <c r="Q24" s="25"/>
      <c r="R24" s="25"/>
      <c r="S24" s="25"/>
      <c r="T24" s="25"/>
    </row>
    <row r="25" spans="3:20">
      <c r="C25" s="2" t="s">
        <v>914</v>
      </c>
      <c r="G25" s="26"/>
      <c r="M25" s="89">
        <f>SUM(M18:M23)</f>
        <v>839517.31</v>
      </c>
      <c r="N25" s="89">
        <f t="shared" ref="N25:T25" si="10">SUM(N18:N23)</f>
        <v>839517.31</v>
      </c>
      <c r="O25" s="89">
        <f t="shared" si="10"/>
        <v>1816.0763034188037</v>
      </c>
      <c r="P25" s="89">
        <f t="shared" si="10"/>
        <v>21792.91564102564</v>
      </c>
      <c r="Q25" s="89">
        <f t="shared" si="10"/>
        <v>21359.315641025642</v>
      </c>
      <c r="R25" s="89">
        <f t="shared" si="10"/>
        <v>485262.27824786637</v>
      </c>
      <c r="S25" s="89">
        <f t="shared" si="10"/>
        <v>506621.59388889198</v>
      </c>
      <c r="T25" s="89">
        <f t="shared" si="10"/>
        <v>332895.71611110802</v>
      </c>
    </row>
    <row r="26" spans="3:20">
      <c r="C26" t="s">
        <v>316</v>
      </c>
      <c r="G26" s="26"/>
    </row>
    <row r="27" spans="3:20">
      <c r="C27" t="s">
        <v>316</v>
      </c>
      <c r="G27" s="26"/>
    </row>
    <row r="28" spans="3:20">
      <c r="C28" s="2" t="s">
        <v>264</v>
      </c>
      <c r="G28" s="26"/>
    </row>
    <row r="29" spans="3:20">
      <c r="C29" t="s">
        <v>347</v>
      </c>
      <c r="E29">
        <v>1982</v>
      </c>
      <c r="F29">
        <v>4</v>
      </c>
      <c r="G29" s="26">
        <v>0</v>
      </c>
      <c r="I29" t="s">
        <v>78</v>
      </c>
      <c r="J29" t="s">
        <v>176</v>
      </c>
      <c r="K29">
        <f t="shared" ref="K29:K47" si="11">E29+J29</f>
        <v>2032</v>
      </c>
      <c r="L29" s="4">
        <f t="shared" ref="L29:L48" si="12">+K29+(F29/12)</f>
        <v>2032.3333333333333</v>
      </c>
      <c r="M29">
        <v>3500</v>
      </c>
      <c r="N29" s="25">
        <f>M29-M29*G29</f>
        <v>3500</v>
      </c>
      <c r="O29" s="25">
        <f>N29/J29/12</f>
        <v>5.833333333333333</v>
      </c>
      <c r="P29" s="25">
        <f>+O29*12</f>
        <v>70</v>
      </c>
      <c r="Q29" s="29">
        <f t="shared" ref="Q29:Q48" si="13">IF(L29&lt;=$N$6,0,P29)</f>
        <v>70</v>
      </c>
      <c r="R29" s="25">
        <f t="shared" ref="R29:R48" si="14">+IF($L29&lt;=$N$7,$M29,IF(($E29+($F29/12))&gt;=$N$7,0,((($N29-((($L29-$N$7)*12)*$O29))))))</f>
        <v>2875.8333333333439</v>
      </c>
      <c r="S29" s="29">
        <f t="shared" ref="S29:S48" si="15">IF(Q29=0,N29,R29+Q29)</f>
        <v>2945.8333333333439</v>
      </c>
      <c r="T29" s="25">
        <f t="shared" ref="T29:T48" si="16">+M29-S29</f>
        <v>554.16666666665606</v>
      </c>
    </row>
    <row r="30" spans="3:20">
      <c r="C30" t="s">
        <v>347</v>
      </c>
      <c r="E30">
        <v>1982</v>
      </c>
      <c r="F30">
        <v>4</v>
      </c>
      <c r="G30" s="26">
        <v>0</v>
      </c>
      <c r="I30" t="s">
        <v>78</v>
      </c>
      <c r="J30" t="s">
        <v>102</v>
      </c>
      <c r="K30">
        <f t="shared" si="11"/>
        <v>1997</v>
      </c>
      <c r="L30" s="4">
        <f t="shared" si="12"/>
        <v>1997.3333333333333</v>
      </c>
      <c r="M30">
        <v>25135</v>
      </c>
      <c r="N30" s="25">
        <f t="shared" ref="N30:N48" si="17">M30-M30*G30</f>
        <v>25135</v>
      </c>
      <c r="O30" s="25">
        <f t="shared" ref="O30:O48" si="18">N30/J30/12</f>
        <v>139.63888888888889</v>
      </c>
      <c r="P30" s="25">
        <f t="shared" ref="P30:P48" si="19">+O30*12</f>
        <v>1675.6666666666665</v>
      </c>
      <c r="Q30" s="29">
        <f t="shared" si="13"/>
        <v>0</v>
      </c>
      <c r="R30" s="25">
        <f t="shared" si="14"/>
        <v>25135</v>
      </c>
      <c r="S30" s="29">
        <f t="shared" si="15"/>
        <v>25135</v>
      </c>
      <c r="T30" s="25">
        <f t="shared" si="16"/>
        <v>0</v>
      </c>
    </row>
    <row r="31" spans="3:20">
      <c r="C31" t="s">
        <v>16</v>
      </c>
      <c r="E31">
        <v>2000</v>
      </c>
      <c r="F31">
        <v>7</v>
      </c>
      <c r="G31" s="26">
        <v>0</v>
      </c>
      <c r="I31" t="s">
        <v>78</v>
      </c>
      <c r="J31" t="s">
        <v>102</v>
      </c>
      <c r="K31">
        <f t="shared" si="11"/>
        <v>2015</v>
      </c>
      <c r="L31" s="4">
        <f t="shared" si="12"/>
        <v>2015.5833333333333</v>
      </c>
      <c r="M31">
        <v>1338603.97</v>
      </c>
      <c r="N31" s="25">
        <f t="shared" si="17"/>
        <v>1338603.97</v>
      </c>
      <c r="O31" s="25">
        <f t="shared" si="18"/>
        <v>7436.6887222222222</v>
      </c>
      <c r="P31" s="25">
        <f t="shared" si="19"/>
        <v>89240.26466666667</v>
      </c>
      <c r="Q31" s="29">
        <f t="shared" si="13"/>
        <v>0</v>
      </c>
      <c r="R31" s="25">
        <f t="shared" si="14"/>
        <v>1338603.97</v>
      </c>
      <c r="S31" s="29">
        <f t="shared" si="15"/>
        <v>1338603.97</v>
      </c>
      <c r="T31" s="25">
        <f t="shared" si="16"/>
        <v>0</v>
      </c>
    </row>
    <row r="32" spans="3:20">
      <c r="C32" t="s">
        <v>350</v>
      </c>
      <c r="E32">
        <v>2001</v>
      </c>
      <c r="F32">
        <v>12</v>
      </c>
      <c r="G32" s="26">
        <v>0</v>
      </c>
      <c r="I32" t="s">
        <v>78</v>
      </c>
      <c r="J32" t="s">
        <v>7</v>
      </c>
      <c r="K32">
        <f t="shared" si="11"/>
        <v>2021</v>
      </c>
      <c r="L32" s="4">
        <f t="shared" si="12"/>
        <v>2022</v>
      </c>
      <c r="M32">
        <v>16629.8</v>
      </c>
      <c r="N32" s="25">
        <f t="shared" si="17"/>
        <v>16629.8</v>
      </c>
      <c r="O32" s="25">
        <f t="shared" si="18"/>
        <v>69.290833333333339</v>
      </c>
      <c r="P32" s="25">
        <f t="shared" si="19"/>
        <v>831.49</v>
      </c>
      <c r="Q32" s="29">
        <f t="shared" si="13"/>
        <v>0</v>
      </c>
      <c r="R32" s="25">
        <f t="shared" si="14"/>
        <v>16629.8</v>
      </c>
      <c r="S32" s="29">
        <f t="shared" si="15"/>
        <v>16629.8</v>
      </c>
      <c r="T32" s="25">
        <f t="shared" si="16"/>
        <v>0</v>
      </c>
    </row>
    <row r="33" spans="3:20" ht="12" customHeight="1">
      <c r="C33" t="s">
        <v>351</v>
      </c>
      <c r="E33">
        <v>2001</v>
      </c>
      <c r="F33">
        <v>11</v>
      </c>
      <c r="G33" s="26">
        <v>0</v>
      </c>
      <c r="I33" t="s">
        <v>78</v>
      </c>
      <c r="J33" t="s">
        <v>7</v>
      </c>
      <c r="K33">
        <f t="shared" si="11"/>
        <v>2021</v>
      </c>
      <c r="L33" s="4">
        <f t="shared" si="12"/>
        <v>2021.9166666666667</v>
      </c>
      <c r="M33">
        <v>944175.96</v>
      </c>
      <c r="N33" s="25">
        <f t="shared" si="17"/>
        <v>944175.96</v>
      </c>
      <c r="O33" s="25">
        <f t="shared" si="18"/>
        <v>3934.0664999999995</v>
      </c>
      <c r="P33" s="25">
        <f t="shared" si="19"/>
        <v>47208.797999999995</v>
      </c>
      <c r="Q33" s="29">
        <f t="shared" si="13"/>
        <v>0</v>
      </c>
      <c r="R33" s="25">
        <f t="shared" si="14"/>
        <v>944175.96</v>
      </c>
      <c r="S33" s="29">
        <f t="shared" si="15"/>
        <v>944175.96</v>
      </c>
      <c r="T33" s="25">
        <f t="shared" si="16"/>
        <v>0</v>
      </c>
    </row>
    <row r="34" spans="3:20">
      <c r="C34" t="s">
        <v>13</v>
      </c>
      <c r="E34">
        <v>2001</v>
      </c>
      <c r="F34">
        <v>7</v>
      </c>
      <c r="G34" s="26">
        <v>0</v>
      </c>
      <c r="I34" t="s">
        <v>78</v>
      </c>
      <c r="J34" t="s">
        <v>7</v>
      </c>
      <c r="K34">
        <f t="shared" si="11"/>
        <v>2021</v>
      </c>
      <c r="L34" s="4">
        <f t="shared" si="12"/>
        <v>2021.5833333333333</v>
      </c>
      <c r="M34">
        <v>46855</v>
      </c>
      <c r="N34" s="25">
        <f t="shared" si="17"/>
        <v>46855</v>
      </c>
      <c r="O34" s="25">
        <f t="shared" si="18"/>
        <v>195.22916666666666</v>
      </c>
      <c r="P34" s="25">
        <f t="shared" si="19"/>
        <v>2342.75</v>
      </c>
      <c r="Q34" s="29">
        <f t="shared" si="13"/>
        <v>0</v>
      </c>
      <c r="R34" s="25">
        <f t="shared" si="14"/>
        <v>46855</v>
      </c>
      <c r="S34" s="29">
        <f t="shared" si="15"/>
        <v>46855</v>
      </c>
      <c r="T34" s="25">
        <f t="shared" si="16"/>
        <v>0</v>
      </c>
    </row>
    <row r="35" spans="3:20">
      <c r="C35" t="s">
        <v>86</v>
      </c>
      <c r="E35">
        <v>2002</v>
      </c>
      <c r="F35">
        <v>9</v>
      </c>
      <c r="G35" s="26">
        <v>0</v>
      </c>
      <c r="I35" t="s">
        <v>78</v>
      </c>
      <c r="J35" t="s">
        <v>10</v>
      </c>
      <c r="K35">
        <f t="shared" si="11"/>
        <v>2041</v>
      </c>
      <c r="L35" s="4">
        <f t="shared" si="12"/>
        <v>2041.75</v>
      </c>
      <c r="M35">
        <v>17566.23</v>
      </c>
      <c r="N35" s="25">
        <f t="shared" si="17"/>
        <v>17566.23</v>
      </c>
      <c r="O35" s="25">
        <f t="shared" si="18"/>
        <v>37.534679487179488</v>
      </c>
      <c r="P35" s="25">
        <f t="shared" si="19"/>
        <v>450.41615384615386</v>
      </c>
      <c r="Q35" s="29">
        <f t="shared" si="13"/>
        <v>450.41615384615386</v>
      </c>
      <c r="R35" s="25">
        <f t="shared" si="14"/>
        <v>9308.600512820547</v>
      </c>
      <c r="S35" s="29">
        <f t="shared" si="15"/>
        <v>9759.016666666701</v>
      </c>
      <c r="T35" s="25">
        <f t="shared" si="16"/>
        <v>7807.2133333332986</v>
      </c>
    </row>
    <row r="36" spans="3:20">
      <c r="C36" t="s">
        <v>267</v>
      </c>
      <c r="E36">
        <v>2002</v>
      </c>
      <c r="F36">
        <v>11</v>
      </c>
      <c r="G36" s="26">
        <v>0</v>
      </c>
      <c r="I36" t="s">
        <v>78</v>
      </c>
      <c r="J36" t="s">
        <v>102</v>
      </c>
      <c r="K36">
        <f t="shared" si="11"/>
        <v>2017</v>
      </c>
      <c r="L36" s="4">
        <f t="shared" si="12"/>
        <v>2017.9166666666667</v>
      </c>
      <c r="M36">
        <v>4096.84</v>
      </c>
      <c r="N36" s="25">
        <f t="shared" si="17"/>
        <v>4096.84</v>
      </c>
      <c r="O36" s="25">
        <f t="shared" si="18"/>
        <v>22.760222222222225</v>
      </c>
      <c r="P36" s="25">
        <f t="shared" si="19"/>
        <v>273.1226666666667</v>
      </c>
      <c r="Q36" s="29">
        <f t="shared" si="13"/>
        <v>0</v>
      </c>
      <c r="R36" s="25">
        <f t="shared" si="14"/>
        <v>4096.84</v>
      </c>
      <c r="S36" s="29">
        <f t="shared" si="15"/>
        <v>4096.84</v>
      </c>
      <c r="T36" s="25">
        <f t="shared" si="16"/>
        <v>0</v>
      </c>
    </row>
    <row r="37" spans="3:20">
      <c r="C37" t="s">
        <v>12</v>
      </c>
      <c r="E37">
        <v>2004</v>
      </c>
      <c r="F37">
        <v>7</v>
      </c>
      <c r="G37" s="26">
        <v>0</v>
      </c>
      <c r="I37" t="s">
        <v>78</v>
      </c>
      <c r="J37" t="s">
        <v>102</v>
      </c>
      <c r="K37">
        <f t="shared" si="11"/>
        <v>2019</v>
      </c>
      <c r="L37" s="4">
        <f t="shared" si="12"/>
        <v>2019.5833333333333</v>
      </c>
      <c r="M37">
        <v>24008.400000000001</v>
      </c>
      <c r="N37" s="25">
        <f t="shared" si="17"/>
        <v>24008.400000000001</v>
      </c>
      <c r="O37" s="25">
        <f t="shared" si="18"/>
        <v>133.38000000000002</v>
      </c>
      <c r="P37" s="25">
        <f t="shared" si="19"/>
        <v>1600.5600000000004</v>
      </c>
      <c r="Q37" s="29">
        <f t="shared" si="13"/>
        <v>0</v>
      </c>
      <c r="R37" s="25">
        <f t="shared" si="14"/>
        <v>24008.400000000001</v>
      </c>
      <c r="S37" s="29">
        <f t="shared" si="15"/>
        <v>24008.400000000001</v>
      </c>
      <c r="T37" s="25">
        <f t="shared" si="16"/>
        <v>0</v>
      </c>
    </row>
    <row r="38" spans="3:20">
      <c r="C38" t="s">
        <v>109</v>
      </c>
      <c r="E38">
        <v>2007</v>
      </c>
      <c r="F38">
        <v>3</v>
      </c>
      <c r="G38" s="26">
        <v>0</v>
      </c>
      <c r="I38" t="s">
        <v>78</v>
      </c>
      <c r="J38" t="s">
        <v>102</v>
      </c>
      <c r="K38">
        <f t="shared" si="11"/>
        <v>2022</v>
      </c>
      <c r="L38" s="4">
        <f t="shared" si="12"/>
        <v>2022.25</v>
      </c>
      <c r="M38">
        <v>163426.01999999999</v>
      </c>
      <c r="N38" s="25">
        <f t="shared" si="17"/>
        <v>163426.01999999999</v>
      </c>
      <c r="O38" s="25">
        <f t="shared" si="18"/>
        <v>907.92233333333331</v>
      </c>
      <c r="P38" s="25">
        <f t="shared" si="19"/>
        <v>10895.067999999999</v>
      </c>
      <c r="Q38" s="29">
        <f t="shared" si="13"/>
        <v>0</v>
      </c>
      <c r="R38" s="25">
        <f t="shared" si="14"/>
        <v>163426.01999999999</v>
      </c>
      <c r="S38" s="29">
        <f t="shared" si="15"/>
        <v>163426.01999999999</v>
      </c>
      <c r="T38" s="25">
        <f t="shared" si="16"/>
        <v>0</v>
      </c>
    </row>
    <row r="39" spans="3:20">
      <c r="C39" t="s">
        <v>111</v>
      </c>
      <c r="E39">
        <v>2008</v>
      </c>
      <c r="F39">
        <v>1</v>
      </c>
      <c r="G39" s="26">
        <v>0</v>
      </c>
      <c r="I39" t="s">
        <v>78</v>
      </c>
      <c r="J39" t="s">
        <v>102</v>
      </c>
      <c r="K39">
        <f t="shared" si="11"/>
        <v>2023</v>
      </c>
      <c r="L39" s="4">
        <f t="shared" si="12"/>
        <v>2023.0833333333333</v>
      </c>
      <c r="M39">
        <v>3824.1</v>
      </c>
      <c r="N39" s="25">
        <f t="shared" si="17"/>
        <v>3824.1</v>
      </c>
      <c r="O39" s="25">
        <f t="shared" si="18"/>
        <v>21.245000000000001</v>
      </c>
      <c r="P39" s="25">
        <f t="shared" si="19"/>
        <v>254.94</v>
      </c>
      <c r="Q39" s="29">
        <f t="shared" si="13"/>
        <v>0</v>
      </c>
      <c r="R39" s="25">
        <f t="shared" si="14"/>
        <v>3824.1</v>
      </c>
      <c r="S39" s="29">
        <f t="shared" si="15"/>
        <v>3824.1</v>
      </c>
      <c r="T39" s="25">
        <f t="shared" si="16"/>
        <v>0</v>
      </c>
    </row>
    <row r="40" spans="3:20">
      <c r="C40" t="s">
        <v>413</v>
      </c>
      <c r="D40">
        <v>77321</v>
      </c>
      <c r="E40">
        <v>2010</v>
      </c>
      <c r="F40">
        <v>8</v>
      </c>
      <c r="G40" s="26">
        <v>0</v>
      </c>
      <c r="I40" t="s">
        <v>78</v>
      </c>
      <c r="J40">
        <v>10</v>
      </c>
      <c r="K40">
        <f t="shared" si="11"/>
        <v>2020</v>
      </c>
      <c r="L40" s="4">
        <f t="shared" si="12"/>
        <v>2020.6666666666667</v>
      </c>
      <c r="M40">
        <v>790.01</v>
      </c>
      <c r="N40" s="25">
        <f t="shared" si="17"/>
        <v>790.01</v>
      </c>
      <c r="O40" s="25">
        <f t="shared" si="18"/>
        <v>6.5834166666666674</v>
      </c>
      <c r="P40" s="25">
        <f t="shared" si="19"/>
        <v>79.001000000000005</v>
      </c>
      <c r="Q40" s="29">
        <f t="shared" si="13"/>
        <v>0</v>
      </c>
      <c r="R40" s="25">
        <f t="shared" si="14"/>
        <v>790.01</v>
      </c>
      <c r="S40" s="29">
        <f t="shared" si="15"/>
        <v>790.01</v>
      </c>
      <c r="T40" s="25">
        <f t="shared" si="16"/>
        <v>0</v>
      </c>
    </row>
    <row r="41" spans="3:20">
      <c r="C41" t="s">
        <v>414</v>
      </c>
      <c r="D41">
        <v>76639</v>
      </c>
      <c r="E41">
        <v>2010</v>
      </c>
      <c r="F41">
        <v>8</v>
      </c>
      <c r="G41" s="26">
        <v>0</v>
      </c>
      <c r="I41" t="s">
        <v>78</v>
      </c>
      <c r="J41">
        <v>10</v>
      </c>
      <c r="K41">
        <f t="shared" si="11"/>
        <v>2020</v>
      </c>
      <c r="L41" s="4">
        <f t="shared" si="12"/>
        <v>2020.6666666666667</v>
      </c>
      <c r="M41">
        <v>7000</v>
      </c>
      <c r="N41" s="25">
        <f t="shared" si="17"/>
        <v>7000</v>
      </c>
      <c r="O41" s="25">
        <f t="shared" si="18"/>
        <v>58.333333333333336</v>
      </c>
      <c r="P41" s="25">
        <f t="shared" si="19"/>
        <v>700</v>
      </c>
      <c r="Q41" s="29">
        <f t="shared" si="13"/>
        <v>0</v>
      </c>
      <c r="R41" s="25">
        <f t="shared" si="14"/>
        <v>7000</v>
      </c>
      <c r="S41" s="29">
        <f t="shared" si="15"/>
        <v>7000</v>
      </c>
      <c r="T41" s="25">
        <f t="shared" si="16"/>
        <v>0</v>
      </c>
    </row>
    <row r="42" spans="3:20">
      <c r="C42" t="s">
        <v>415</v>
      </c>
      <c r="D42">
        <v>77322</v>
      </c>
      <c r="E42">
        <v>2010</v>
      </c>
      <c r="F42">
        <v>8</v>
      </c>
      <c r="G42" s="26">
        <v>0</v>
      </c>
      <c r="I42" t="s">
        <v>78</v>
      </c>
      <c r="J42">
        <v>10</v>
      </c>
      <c r="K42">
        <f t="shared" si="11"/>
        <v>2020</v>
      </c>
      <c r="L42" s="4">
        <f t="shared" si="12"/>
        <v>2020.6666666666667</v>
      </c>
      <c r="M42">
        <v>1127.8399999999999</v>
      </c>
      <c r="N42" s="25">
        <f t="shared" si="17"/>
        <v>1127.8399999999999</v>
      </c>
      <c r="O42" s="25">
        <f t="shared" si="18"/>
        <v>9.3986666666666654</v>
      </c>
      <c r="P42" s="25">
        <f t="shared" si="19"/>
        <v>112.78399999999999</v>
      </c>
      <c r="Q42" s="29">
        <f t="shared" si="13"/>
        <v>0</v>
      </c>
      <c r="R42" s="25">
        <f t="shared" si="14"/>
        <v>1127.8399999999999</v>
      </c>
      <c r="S42" s="29">
        <f t="shared" si="15"/>
        <v>1127.8399999999999</v>
      </c>
      <c r="T42" s="25">
        <f t="shared" si="16"/>
        <v>0</v>
      </c>
    </row>
    <row r="43" spans="3:20">
      <c r="C43" t="s">
        <v>416</v>
      </c>
      <c r="D43">
        <v>76800</v>
      </c>
      <c r="E43">
        <v>2010</v>
      </c>
      <c r="F43">
        <v>8</v>
      </c>
      <c r="G43" s="26">
        <v>0</v>
      </c>
      <c r="I43" t="s">
        <v>78</v>
      </c>
      <c r="J43">
        <v>10</v>
      </c>
      <c r="K43">
        <f t="shared" si="11"/>
        <v>2020</v>
      </c>
      <c r="L43" s="4">
        <f t="shared" si="12"/>
        <v>2020.6666666666667</v>
      </c>
      <c r="M43">
        <v>8574.6</v>
      </c>
      <c r="N43" s="25">
        <f t="shared" si="17"/>
        <v>8574.6</v>
      </c>
      <c r="O43" s="25">
        <f t="shared" si="18"/>
        <v>71.454999999999998</v>
      </c>
      <c r="P43" s="25">
        <f t="shared" si="19"/>
        <v>857.46</v>
      </c>
      <c r="Q43" s="29">
        <f t="shared" si="13"/>
        <v>0</v>
      </c>
      <c r="R43" s="25">
        <f t="shared" si="14"/>
        <v>8574.6</v>
      </c>
      <c r="S43" s="29">
        <f t="shared" si="15"/>
        <v>8574.6</v>
      </c>
      <c r="T43" s="25">
        <f t="shared" si="16"/>
        <v>0</v>
      </c>
    </row>
    <row r="44" spans="3:20">
      <c r="C44" t="s">
        <v>411</v>
      </c>
      <c r="D44">
        <v>76648</v>
      </c>
      <c r="E44">
        <v>2010</v>
      </c>
      <c r="F44">
        <v>9</v>
      </c>
      <c r="G44" s="26">
        <v>0</v>
      </c>
      <c r="I44" t="s">
        <v>78</v>
      </c>
      <c r="J44">
        <v>10</v>
      </c>
      <c r="K44">
        <f t="shared" si="11"/>
        <v>2020</v>
      </c>
      <c r="L44" s="4">
        <f t="shared" si="12"/>
        <v>2020.75</v>
      </c>
      <c r="M44">
        <v>19869.22</v>
      </c>
      <c r="N44" s="25">
        <f t="shared" si="17"/>
        <v>19869.22</v>
      </c>
      <c r="O44" s="25">
        <f t="shared" si="18"/>
        <v>165.57683333333333</v>
      </c>
      <c r="P44" s="25">
        <f t="shared" si="19"/>
        <v>1986.922</v>
      </c>
      <c r="Q44" s="29">
        <f t="shared" si="13"/>
        <v>0</v>
      </c>
      <c r="R44" s="25">
        <f t="shared" si="14"/>
        <v>19869.22</v>
      </c>
      <c r="S44" s="29">
        <f t="shared" si="15"/>
        <v>19869.22</v>
      </c>
      <c r="T44" s="25">
        <f t="shared" si="16"/>
        <v>0</v>
      </c>
    </row>
    <row r="45" spans="3:20">
      <c r="C45" t="s">
        <v>412</v>
      </c>
      <c r="D45">
        <v>77100</v>
      </c>
      <c r="E45">
        <v>2010</v>
      </c>
      <c r="F45">
        <v>9</v>
      </c>
      <c r="G45" s="26">
        <v>0</v>
      </c>
      <c r="I45" t="s">
        <v>78</v>
      </c>
      <c r="J45">
        <v>10</v>
      </c>
      <c r="K45">
        <f t="shared" si="11"/>
        <v>2020</v>
      </c>
      <c r="L45" s="4">
        <f t="shared" si="12"/>
        <v>2020.75</v>
      </c>
      <c r="M45">
        <v>932.5</v>
      </c>
      <c r="N45" s="25">
        <f t="shared" si="17"/>
        <v>932.5</v>
      </c>
      <c r="O45" s="25">
        <f t="shared" si="18"/>
        <v>7.770833333333333</v>
      </c>
      <c r="P45" s="25">
        <f t="shared" si="19"/>
        <v>93.25</v>
      </c>
      <c r="Q45" s="29">
        <f t="shared" si="13"/>
        <v>0</v>
      </c>
      <c r="R45" s="25">
        <f t="shared" si="14"/>
        <v>932.5</v>
      </c>
      <c r="S45" s="29">
        <f t="shared" si="15"/>
        <v>932.5</v>
      </c>
      <c r="T45" s="25">
        <f t="shared" si="16"/>
        <v>0</v>
      </c>
    </row>
    <row r="46" spans="3:20">
      <c r="C46" t="s">
        <v>412</v>
      </c>
      <c r="D46">
        <v>77791</v>
      </c>
      <c r="E46">
        <v>2010</v>
      </c>
      <c r="F46">
        <v>9</v>
      </c>
      <c r="G46" s="26">
        <v>0</v>
      </c>
      <c r="I46" t="s">
        <v>78</v>
      </c>
      <c r="J46">
        <v>10</v>
      </c>
      <c r="K46">
        <f t="shared" si="11"/>
        <v>2020</v>
      </c>
      <c r="L46" s="4">
        <f t="shared" si="12"/>
        <v>2020.75</v>
      </c>
      <c r="M46">
        <v>1098.69</v>
      </c>
      <c r="N46" s="25">
        <f t="shared" si="17"/>
        <v>1098.69</v>
      </c>
      <c r="O46" s="25">
        <f t="shared" si="18"/>
        <v>9.1557499999999994</v>
      </c>
      <c r="P46" s="25">
        <f t="shared" si="19"/>
        <v>109.869</v>
      </c>
      <c r="Q46" s="29">
        <f t="shared" si="13"/>
        <v>0</v>
      </c>
      <c r="R46" s="25">
        <f t="shared" si="14"/>
        <v>1098.69</v>
      </c>
      <c r="S46" s="29">
        <f t="shared" si="15"/>
        <v>1098.69</v>
      </c>
      <c r="T46" s="25">
        <f t="shared" si="16"/>
        <v>0</v>
      </c>
    </row>
    <row r="47" spans="3:20">
      <c r="C47" t="s">
        <v>579</v>
      </c>
      <c r="D47">
        <v>125074</v>
      </c>
      <c r="E47">
        <v>2015</v>
      </c>
      <c r="F47">
        <v>7</v>
      </c>
      <c r="G47" s="26">
        <v>0</v>
      </c>
      <c r="I47" t="s">
        <v>78</v>
      </c>
      <c r="J47">
        <v>10</v>
      </c>
      <c r="K47">
        <f t="shared" si="11"/>
        <v>2025</v>
      </c>
      <c r="L47" s="4">
        <f t="shared" si="12"/>
        <v>2025.5833333333333</v>
      </c>
      <c r="M47">
        <v>5978.5</v>
      </c>
      <c r="N47" s="25">
        <f t="shared" si="17"/>
        <v>5978.5</v>
      </c>
      <c r="O47" s="25">
        <f t="shared" si="18"/>
        <v>49.820833333333333</v>
      </c>
      <c r="P47" s="25">
        <f t="shared" si="19"/>
        <v>597.85</v>
      </c>
      <c r="Q47" s="29">
        <f t="shared" si="13"/>
        <v>597.85</v>
      </c>
      <c r="R47" s="25">
        <f t="shared" si="14"/>
        <v>4683.1583333334238</v>
      </c>
      <c r="S47" s="29">
        <f t="shared" si="15"/>
        <v>5281.0083333334242</v>
      </c>
      <c r="T47" s="25">
        <f t="shared" si="16"/>
        <v>697.49166666657584</v>
      </c>
    </row>
    <row r="48" spans="3:20">
      <c r="C48" t="s">
        <v>606</v>
      </c>
      <c r="D48">
        <v>169402</v>
      </c>
      <c r="E48">
        <v>2016</v>
      </c>
      <c r="F48">
        <v>8</v>
      </c>
      <c r="G48" s="26">
        <v>0</v>
      </c>
      <c r="I48" t="s">
        <v>78</v>
      </c>
      <c r="J48">
        <v>10</v>
      </c>
      <c r="K48">
        <f>E48+J48</f>
        <v>2026</v>
      </c>
      <c r="L48" s="4">
        <f t="shared" si="12"/>
        <v>2026.6666666666667</v>
      </c>
      <c r="M48">
        <v>27577.19</v>
      </c>
      <c r="N48" s="25">
        <f t="shared" si="17"/>
        <v>27577.19</v>
      </c>
      <c r="O48" s="25">
        <f t="shared" si="18"/>
        <v>229.80991666666668</v>
      </c>
      <c r="P48" s="25">
        <f t="shared" si="19"/>
        <v>2757.7190000000001</v>
      </c>
      <c r="Q48" s="29">
        <f t="shared" si="13"/>
        <v>2757.7190000000001</v>
      </c>
      <c r="R48" s="25">
        <f t="shared" si="14"/>
        <v>18614.60325</v>
      </c>
      <c r="S48" s="29">
        <f t="shared" si="15"/>
        <v>21372.322250000001</v>
      </c>
      <c r="T48" s="25">
        <f t="shared" si="16"/>
        <v>6204.8677499999976</v>
      </c>
    </row>
    <row r="49" spans="1:20">
      <c r="C49" t="s">
        <v>316</v>
      </c>
      <c r="G49" s="26"/>
    </row>
    <row r="50" spans="1:20">
      <c r="C50" s="2" t="s">
        <v>177</v>
      </c>
      <c r="G50" s="26"/>
      <c r="M50" s="89">
        <f t="shared" ref="M50:T50" si="20">SUM(M29:M49)</f>
        <v>2660769.8699999996</v>
      </c>
      <c r="N50" s="89">
        <f t="shared" si="20"/>
        <v>2660769.8699999996</v>
      </c>
      <c r="O50" s="89">
        <f t="shared" si="20"/>
        <v>13511.494262820514</v>
      </c>
      <c r="P50" s="89">
        <f t="shared" si="20"/>
        <v>162137.93115384618</v>
      </c>
      <c r="Q50" s="89">
        <f t="shared" si="20"/>
        <v>3875.9851538461539</v>
      </c>
      <c r="R50" s="89">
        <f t="shared" si="20"/>
        <v>2641630.1454294873</v>
      </c>
      <c r="S50" s="89">
        <f t="shared" si="20"/>
        <v>2645506.1305833333</v>
      </c>
      <c r="T50" s="89">
        <f t="shared" si="20"/>
        <v>15263.739416666527</v>
      </c>
    </row>
    <row r="51" spans="1:20">
      <c r="C51" t="s">
        <v>316</v>
      </c>
      <c r="G51" s="26"/>
    </row>
    <row r="52" spans="1:20">
      <c r="C52" t="s">
        <v>316</v>
      </c>
      <c r="G52" s="26"/>
    </row>
    <row r="53" spans="1:20">
      <c r="C53" s="2" t="s">
        <v>265</v>
      </c>
      <c r="G53" s="26"/>
    </row>
    <row r="54" spans="1:20">
      <c r="C54" t="s">
        <v>359</v>
      </c>
      <c r="E54">
        <v>1992</v>
      </c>
      <c r="F54">
        <v>1</v>
      </c>
      <c r="G54" s="26">
        <v>0</v>
      </c>
      <c r="I54" t="s">
        <v>78</v>
      </c>
      <c r="J54" t="s">
        <v>9</v>
      </c>
      <c r="K54">
        <f t="shared" ref="K54:K96" si="21">E54+J54</f>
        <v>2002</v>
      </c>
      <c r="L54" s="4">
        <f t="shared" ref="L54:L98" si="22">+K54+(F54/12)</f>
        <v>2002.0833333333333</v>
      </c>
      <c r="M54" s="25">
        <v>10411</v>
      </c>
      <c r="N54" s="25">
        <f>M54-M54*G54</f>
        <v>10411</v>
      </c>
      <c r="O54" s="25">
        <f>N54/J54/12</f>
        <v>86.758333333333326</v>
      </c>
      <c r="P54" s="25">
        <f>+O54*12</f>
        <v>1041.0999999999999</v>
      </c>
      <c r="Q54" s="29">
        <f t="shared" ref="Q54:Q101" si="23">IF(L54&lt;=$N$6,0,P54)</f>
        <v>0</v>
      </c>
      <c r="R54" s="25">
        <f t="shared" ref="R54:R101" si="24">+IF($L54&lt;=$N$7,$M54,IF(($E54+($F54/12))&gt;=$N$7,0,((($N54-((($L54-$N$7)*12)*$O54))))))</f>
        <v>10411</v>
      </c>
      <c r="S54" s="29">
        <f t="shared" ref="S54:S101" si="25">IF(Q54=0,N54,R54+Q54)</f>
        <v>10411</v>
      </c>
      <c r="T54" s="25">
        <f t="shared" ref="T54:T101" si="26">+M54-S54</f>
        <v>0</v>
      </c>
    </row>
    <row r="55" spans="1:20">
      <c r="C55" t="s">
        <v>113</v>
      </c>
      <c r="E55">
        <v>1992</v>
      </c>
      <c r="F55">
        <v>6</v>
      </c>
      <c r="G55" s="26">
        <v>0</v>
      </c>
      <c r="I55" t="s">
        <v>78</v>
      </c>
      <c r="J55">
        <v>5</v>
      </c>
      <c r="K55">
        <f t="shared" si="21"/>
        <v>1997</v>
      </c>
      <c r="L55" s="4">
        <f t="shared" si="22"/>
        <v>1997.5</v>
      </c>
      <c r="M55" s="25">
        <v>179873</v>
      </c>
      <c r="N55" s="25">
        <f t="shared" ref="N55:N98" si="27">M55-M55*G55</f>
        <v>179873</v>
      </c>
      <c r="O55" s="25">
        <f t="shared" ref="O55:O98" si="28">N55/J55/12</f>
        <v>2997.8833333333332</v>
      </c>
      <c r="P55" s="25">
        <f t="shared" ref="P55:P98" si="29">+O55*12</f>
        <v>35974.6</v>
      </c>
      <c r="Q55" s="29">
        <f t="shared" si="23"/>
        <v>0</v>
      </c>
      <c r="R55" s="25">
        <f t="shared" si="24"/>
        <v>179873</v>
      </c>
      <c r="S55" s="29">
        <f t="shared" si="25"/>
        <v>179873</v>
      </c>
      <c r="T55" s="25">
        <f t="shared" si="26"/>
        <v>0</v>
      </c>
    </row>
    <row r="56" spans="1:20">
      <c r="B56">
        <v>9243</v>
      </c>
      <c r="C56" t="s">
        <v>345</v>
      </c>
      <c r="E56">
        <v>1995</v>
      </c>
      <c r="F56">
        <v>8</v>
      </c>
      <c r="G56" s="26">
        <v>0</v>
      </c>
      <c r="I56" t="s">
        <v>78</v>
      </c>
      <c r="J56">
        <v>7</v>
      </c>
      <c r="K56">
        <f>E56+J56</f>
        <v>2002</v>
      </c>
      <c r="L56" s="4">
        <f t="shared" si="22"/>
        <v>2002.6666666666667</v>
      </c>
      <c r="M56" s="25">
        <f>'Orig OTHER EQUIP 2183'!P55</f>
        <v>8848</v>
      </c>
      <c r="N56" s="25">
        <f t="shared" si="27"/>
        <v>8848</v>
      </c>
      <c r="O56" s="25">
        <f t="shared" si="28"/>
        <v>105.33333333333333</v>
      </c>
      <c r="P56" s="25">
        <f t="shared" si="29"/>
        <v>1264</v>
      </c>
      <c r="Q56" s="29">
        <f t="shared" si="23"/>
        <v>0</v>
      </c>
      <c r="R56" s="25">
        <f t="shared" si="24"/>
        <v>8848</v>
      </c>
      <c r="S56" s="29">
        <f t="shared" si="25"/>
        <v>8848</v>
      </c>
      <c r="T56" s="25">
        <f t="shared" si="26"/>
        <v>0</v>
      </c>
    </row>
    <row r="57" spans="1:20" s="121" customFormat="1">
      <c r="A57" s="116"/>
      <c r="B57" s="116"/>
      <c r="C57" s="116" t="s">
        <v>703</v>
      </c>
      <c r="D57" s="116"/>
      <c r="E57" s="116">
        <v>2019</v>
      </c>
      <c r="F57" s="116">
        <v>8</v>
      </c>
      <c r="G57" s="118">
        <v>0</v>
      </c>
      <c r="H57" s="116"/>
      <c r="I57" s="116" t="s">
        <v>78</v>
      </c>
      <c r="J57" s="116">
        <v>3</v>
      </c>
      <c r="K57" s="116">
        <f>E57+J57</f>
        <v>2022</v>
      </c>
      <c r="L57" s="124">
        <f t="shared" si="22"/>
        <v>2022.6666666666667</v>
      </c>
      <c r="M57" s="125">
        <f>'Orig OTHER EQUIP 2183'!N55-'OTHER EQUIP 2183'!M56</f>
        <v>2212</v>
      </c>
      <c r="N57" s="125">
        <f t="shared" si="27"/>
        <v>2212</v>
      </c>
      <c r="O57" s="125">
        <f t="shared" si="28"/>
        <v>61.44444444444445</v>
      </c>
      <c r="P57" s="125">
        <f t="shared" si="29"/>
        <v>737.33333333333337</v>
      </c>
      <c r="Q57" s="29">
        <f t="shared" si="23"/>
        <v>0</v>
      </c>
      <c r="R57" s="125">
        <f t="shared" si="24"/>
        <v>2212</v>
      </c>
      <c r="S57" s="29">
        <f t="shared" si="25"/>
        <v>2212</v>
      </c>
      <c r="T57" s="125">
        <f t="shared" si="26"/>
        <v>0</v>
      </c>
    </row>
    <row r="58" spans="1:20">
      <c r="C58" t="s">
        <v>116</v>
      </c>
      <c r="E58">
        <v>1997</v>
      </c>
      <c r="F58">
        <v>10</v>
      </c>
      <c r="G58" s="26">
        <v>0</v>
      </c>
      <c r="I58" t="s">
        <v>78</v>
      </c>
      <c r="J58">
        <v>5</v>
      </c>
      <c r="K58">
        <f t="shared" si="21"/>
        <v>2002</v>
      </c>
      <c r="L58" s="4">
        <f t="shared" si="22"/>
        <v>2002.8333333333333</v>
      </c>
      <c r="M58" s="25">
        <v>4035.74</v>
      </c>
      <c r="N58" s="25">
        <f t="shared" si="27"/>
        <v>4035.74</v>
      </c>
      <c r="O58" s="25">
        <f t="shared" si="28"/>
        <v>67.262333333333331</v>
      </c>
      <c r="P58" s="25">
        <f t="shared" si="29"/>
        <v>807.14799999999991</v>
      </c>
      <c r="Q58" s="29">
        <f t="shared" si="23"/>
        <v>0</v>
      </c>
      <c r="R58" s="25">
        <f t="shared" si="24"/>
        <v>4035.74</v>
      </c>
      <c r="S58" s="29">
        <f t="shared" si="25"/>
        <v>4035.74</v>
      </c>
      <c r="T58" s="25">
        <f t="shared" si="26"/>
        <v>0</v>
      </c>
    </row>
    <row r="59" spans="1:20">
      <c r="C59" t="s">
        <v>357</v>
      </c>
      <c r="E59">
        <v>1998</v>
      </c>
      <c r="F59">
        <v>2</v>
      </c>
      <c r="G59" s="26">
        <v>0</v>
      </c>
      <c r="I59" t="s">
        <v>78</v>
      </c>
      <c r="J59">
        <v>5</v>
      </c>
      <c r="K59">
        <f t="shared" si="21"/>
        <v>2003</v>
      </c>
      <c r="L59" s="4">
        <f t="shared" si="22"/>
        <v>2003.1666666666667</v>
      </c>
      <c r="M59" s="25">
        <v>130000</v>
      </c>
      <c r="N59" s="25">
        <f t="shared" si="27"/>
        <v>130000</v>
      </c>
      <c r="O59" s="25">
        <f t="shared" si="28"/>
        <v>2166.6666666666665</v>
      </c>
      <c r="P59" s="25">
        <f t="shared" si="29"/>
        <v>26000</v>
      </c>
      <c r="Q59" s="29">
        <f t="shared" si="23"/>
        <v>0</v>
      </c>
      <c r="R59" s="25">
        <f t="shared" si="24"/>
        <v>130000</v>
      </c>
      <c r="S59" s="29">
        <f t="shared" si="25"/>
        <v>130000</v>
      </c>
      <c r="T59" s="25">
        <f t="shared" si="26"/>
        <v>0</v>
      </c>
    </row>
    <row r="60" spans="1:20">
      <c r="C60" t="s">
        <v>117</v>
      </c>
      <c r="E60">
        <v>1998</v>
      </c>
      <c r="F60">
        <v>2</v>
      </c>
      <c r="G60" s="26">
        <v>0</v>
      </c>
      <c r="I60" t="s">
        <v>78</v>
      </c>
      <c r="J60">
        <v>5</v>
      </c>
      <c r="K60">
        <f t="shared" si="21"/>
        <v>2003</v>
      </c>
      <c r="L60" s="4">
        <f t="shared" si="22"/>
        <v>2003.1666666666667</v>
      </c>
      <c r="M60" s="25">
        <v>85000</v>
      </c>
      <c r="N60" s="25">
        <f t="shared" si="27"/>
        <v>85000</v>
      </c>
      <c r="O60" s="25">
        <f t="shared" si="28"/>
        <v>1416.6666666666667</v>
      </c>
      <c r="P60" s="25">
        <f t="shared" si="29"/>
        <v>17000</v>
      </c>
      <c r="Q60" s="29">
        <f t="shared" si="23"/>
        <v>0</v>
      </c>
      <c r="R60" s="25">
        <f t="shared" si="24"/>
        <v>85000</v>
      </c>
      <c r="S60" s="29">
        <f t="shared" si="25"/>
        <v>85000</v>
      </c>
      <c r="T60" s="25">
        <f t="shared" si="26"/>
        <v>0</v>
      </c>
    </row>
    <row r="61" spans="1:20">
      <c r="C61" t="s">
        <v>118</v>
      </c>
      <c r="E61">
        <v>1998</v>
      </c>
      <c r="F61">
        <v>2</v>
      </c>
      <c r="G61" s="26">
        <v>0</v>
      </c>
      <c r="I61" t="s">
        <v>78</v>
      </c>
      <c r="J61">
        <v>5</v>
      </c>
      <c r="K61">
        <f t="shared" si="21"/>
        <v>2003</v>
      </c>
      <c r="L61" s="4">
        <f t="shared" si="22"/>
        <v>2003.1666666666667</v>
      </c>
      <c r="M61" s="25">
        <v>25000</v>
      </c>
      <c r="N61" s="25">
        <f t="shared" si="27"/>
        <v>25000</v>
      </c>
      <c r="O61" s="25">
        <f t="shared" si="28"/>
        <v>416.66666666666669</v>
      </c>
      <c r="P61" s="25">
        <f t="shared" si="29"/>
        <v>5000</v>
      </c>
      <c r="Q61" s="29">
        <f t="shared" si="23"/>
        <v>0</v>
      </c>
      <c r="R61" s="25">
        <f t="shared" si="24"/>
        <v>25000</v>
      </c>
      <c r="S61" s="29">
        <f t="shared" si="25"/>
        <v>25000</v>
      </c>
      <c r="T61" s="25">
        <f t="shared" si="26"/>
        <v>0</v>
      </c>
    </row>
    <row r="62" spans="1:20">
      <c r="B62">
        <v>9206</v>
      </c>
      <c r="C62" t="s">
        <v>364</v>
      </c>
      <c r="E62">
        <v>1999</v>
      </c>
      <c r="F62">
        <v>12</v>
      </c>
      <c r="G62" s="26">
        <v>0</v>
      </c>
      <c r="I62" t="s">
        <v>78</v>
      </c>
      <c r="J62">
        <v>5</v>
      </c>
      <c r="K62">
        <f t="shared" si="21"/>
        <v>2004</v>
      </c>
      <c r="L62" s="4">
        <f t="shared" si="22"/>
        <v>2005</v>
      </c>
      <c r="M62" s="25">
        <f>'Orig OTHER EQUIP 2183'!P63</f>
        <v>6150.6</v>
      </c>
      <c r="N62" s="25">
        <f t="shared" si="27"/>
        <v>6150.6</v>
      </c>
      <c r="O62" s="25">
        <f t="shared" si="28"/>
        <v>102.51</v>
      </c>
      <c r="P62" s="25">
        <f t="shared" si="29"/>
        <v>1230.1200000000001</v>
      </c>
      <c r="Q62" s="29">
        <f t="shared" si="23"/>
        <v>0</v>
      </c>
      <c r="R62" s="25">
        <f t="shared" si="24"/>
        <v>6150.6</v>
      </c>
      <c r="S62" s="29">
        <f t="shared" si="25"/>
        <v>6150.6</v>
      </c>
      <c r="T62" s="25">
        <f t="shared" si="26"/>
        <v>0</v>
      </c>
    </row>
    <row r="63" spans="1:20" s="121" customFormat="1">
      <c r="A63" s="116"/>
      <c r="B63" s="116"/>
      <c r="C63" s="116" t="s">
        <v>704</v>
      </c>
      <c r="D63" s="116"/>
      <c r="E63" s="116">
        <v>2019</v>
      </c>
      <c r="F63" s="116">
        <v>8</v>
      </c>
      <c r="G63" s="118">
        <v>0</v>
      </c>
      <c r="H63" s="116"/>
      <c r="I63" s="116" t="s">
        <v>78</v>
      </c>
      <c r="J63" s="116">
        <v>3</v>
      </c>
      <c r="K63" s="116">
        <f>E63+J63</f>
        <v>2022</v>
      </c>
      <c r="L63" s="124">
        <f t="shared" si="22"/>
        <v>2022.6666666666667</v>
      </c>
      <c r="M63" s="125">
        <f>'Orig OTHER EQUIP 2183'!N63-'OTHER EQUIP 2183'!M62</f>
        <v>3029.3999999999996</v>
      </c>
      <c r="N63" s="125">
        <f t="shared" si="27"/>
        <v>3029.3999999999996</v>
      </c>
      <c r="O63" s="125">
        <f t="shared" si="28"/>
        <v>84.149999999999991</v>
      </c>
      <c r="P63" s="125">
        <f t="shared" si="29"/>
        <v>1009.8</v>
      </c>
      <c r="Q63" s="29">
        <f t="shared" si="23"/>
        <v>0</v>
      </c>
      <c r="R63" s="125">
        <f t="shared" si="24"/>
        <v>3029.3999999999996</v>
      </c>
      <c r="S63" s="29">
        <f t="shared" si="25"/>
        <v>3029.3999999999996</v>
      </c>
      <c r="T63" s="125">
        <f t="shared" si="26"/>
        <v>0</v>
      </c>
    </row>
    <row r="64" spans="1:20">
      <c r="C64" t="s">
        <v>121</v>
      </c>
      <c r="E64">
        <v>2000</v>
      </c>
      <c r="F64">
        <v>7</v>
      </c>
      <c r="G64" s="26">
        <v>0</v>
      </c>
      <c r="I64" t="s">
        <v>78</v>
      </c>
      <c r="J64" t="s">
        <v>9</v>
      </c>
      <c r="K64">
        <f t="shared" si="21"/>
        <v>2010</v>
      </c>
      <c r="L64" s="4">
        <f t="shared" si="22"/>
        <v>2010.5833333333333</v>
      </c>
      <c r="M64" s="25">
        <v>412561.55</v>
      </c>
      <c r="N64" s="25">
        <f t="shared" si="27"/>
        <v>412561.55</v>
      </c>
      <c r="O64" s="25">
        <f t="shared" si="28"/>
        <v>3438.0129166666666</v>
      </c>
      <c r="P64" s="25">
        <f t="shared" si="29"/>
        <v>41256.154999999999</v>
      </c>
      <c r="Q64" s="29">
        <f t="shared" si="23"/>
        <v>0</v>
      </c>
      <c r="R64" s="25">
        <f t="shared" si="24"/>
        <v>412561.55</v>
      </c>
      <c r="S64" s="29">
        <f t="shared" si="25"/>
        <v>412561.55</v>
      </c>
      <c r="T64" s="25">
        <f t="shared" si="26"/>
        <v>0</v>
      </c>
    </row>
    <row r="65" spans="3:20">
      <c r="C65" t="s">
        <v>122</v>
      </c>
      <c r="E65">
        <v>2000</v>
      </c>
      <c r="F65">
        <v>7</v>
      </c>
      <c r="G65" s="26">
        <v>0</v>
      </c>
      <c r="I65" t="s">
        <v>78</v>
      </c>
      <c r="J65" t="s">
        <v>9</v>
      </c>
      <c r="K65">
        <f t="shared" si="21"/>
        <v>2010</v>
      </c>
      <c r="L65" s="4">
        <f t="shared" si="22"/>
        <v>2010.5833333333333</v>
      </c>
      <c r="M65" s="25">
        <v>36913.86</v>
      </c>
      <c r="N65" s="25">
        <f t="shared" si="27"/>
        <v>36913.86</v>
      </c>
      <c r="O65" s="25">
        <f t="shared" si="28"/>
        <v>307.6155</v>
      </c>
      <c r="P65" s="25">
        <f t="shared" si="29"/>
        <v>3691.386</v>
      </c>
      <c r="Q65" s="29">
        <f t="shared" si="23"/>
        <v>0</v>
      </c>
      <c r="R65" s="25">
        <f t="shared" si="24"/>
        <v>36913.86</v>
      </c>
      <c r="S65" s="29">
        <f t="shared" si="25"/>
        <v>36913.86</v>
      </c>
      <c r="T65" s="25">
        <f t="shared" si="26"/>
        <v>0</v>
      </c>
    </row>
    <row r="66" spans="3:20">
      <c r="C66" t="s">
        <v>123</v>
      </c>
      <c r="E66">
        <v>2000</v>
      </c>
      <c r="F66">
        <v>7</v>
      </c>
      <c r="G66" s="26">
        <v>0</v>
      </c>
      <c r="I66" t="s">
        <v>78</v>
      </c>
      <c r="J66" t="s">
        <v>9</v>
      </c>
      <c r="K66">
        <f t="shared" si="21"/>
        <v>2010</v>
      </c>
      <c r="L66" s="4">
        <f t="shared" si="22"/>
        <v>2010.5833333333333</v>
      </c>
      <c r="M66" s="25">
        <v>92093.69</v>
      </c>
      <c r="N66" s="25">
        <f t="shared" si="27"/>
        <v>92093.69</v>
      </c>
      <c r="O66" s="25">
        <f t="shared" si="28"/>
        <v>767.44741666666675</v>
      </c>
      <c r="P66" s="25">
        <f t="shared" si="29"/>
        <v>9209.3690000000006</v>
      </c>
      <c r="Q66" s="29">
        <f t="shared" si="23"/>
        <v>0</v>
      </c>
      <c r="R66" s="25">
        <f t="shared" si="24"/>
        <v>92093.69</v>
      </c>
      <c r="S66" s="29">
        <f t="shared" si="25"/>
        <v>92093.69</v>
      </c>
      <c r="T66" s="25">
        <f t="shared" si="26"/>
        <v>0</v>
      </c>
    </row>
    <row r="67" spans="3:20">
      <c r="C67" t="s">
        <v>112</v>
      </c>
      <c r="E67">
        <v>2000</v>
      </c>
      <c r="F67">
        <v>8</v>
      </c>
      <c r="G67" s="26">
        <v>0</v>
      </c>
      <c r="I67" t="s">
        <v>78</v>
      </c>
      <c r="J67">
        <v>5</v>
      </c>
      <c r="K67">
        <f t="shared" si="21"/>
        <v>2005</v>
      </c>
      <c r="L67" s="4">
        <f t="shared" si="22"/>
        <v>2005.6666666666667</v>
      </c>
      <c r="M67" s="25">
        <v>8228.75</v>
      </c>
      <c r="N67" s="25">
        <f t="shared" si="27"/>
        <v>8228.75</v>
      </c>
      <c r="O67" s="25">
        <f t="shared" si="28"/>
        <v>137.14583333333334</v>
      </c>
      <c r="P67" s="25">
        <f t="shared" si="29"/>
        <v>1645.75</v>
      </c>
      <c r="Q67" s="29">
        <f t="shared" si="23"/>
        <v>0</v>
      </c>
      <c r="R67" s="25">
        <f t="shared" si="24"/>
        <v>8228.75</v>
      </c>
      <c r="S67" s="29">
        <f t="shared" si="25"/>
        <v>8228.75</v>
      </c>
      <c r="T67" s="25">
        <f t="shared" si="26"/>
        <v>0</v>
      </c>
    </row>
    <row r="68" spans="3:20">
      <c r="C68" t="s">
        <v>125</v>
      </c>
      <c r="E68">
        <v>2001</v>
      </c>
      <c r="F68">
        <v>2</v>
      </c>
      <c r="G68" s="26">
        <v>0</v>
      </c>
      <c r="I68" t="s">
        <v>78</v>
      </c>
      <c r="J68" t="s">
        <v>11</v>
      </c>
      <c r="K68">
        <f t="shared" si="21"/>
        <v>2008</v>
      </c>
      <c r="L68" s="4">
        <f t="shared" si="22"/>
        <v>2008.1666666666667</v>
      </c>
      <c r="M68" s="25">
        <v>152358.79999999999</v>
      </c>
      <c r="N68" s="25">
        <f t="shared" si="27"/>
        <v>152358.79999999999</v>
      </c>
      <c r="O68" s="25">
        <f t="shared" si="28"/>
        <v>1813.7952380952381</v>
      </c>
      <c r="P68" s="25">
        <f t="shared" si="29"/>
        <v>21765.542857142857</v>
      </c>
      <c r="Q68" s="29">
        <f t="shared" si="23"/>
        <v>0</v>
      </c>
      <c r="R68" s="25">
        <f t="shared" si="24"/>
        <v>152358.79999999999</v>
      </c>
      <c r="S68" s="29">
        <f t="shared" si="25"/>
        <v>152358.79999999999</v>
      </c>
      <c r="T68" s="25">
        <f t="shared" si="26"/>
        <v>0</v>
      </c>
    </row>
    <row r="69" spans="3:20">
      <c r="C69" t="s">
        <v>127</v>
      </c>
      <c r="E69">
        <v>2001</v>
      </c>
      <c r="F69">
        <v>12</v>
      </c>
      <c r="G69" s="26">
        <v>0</v>
      </c>
      <c r="I69" t="s">
        <v>78</v>
      </c>
      <c r="J69">
        <v>5</v>
      </c>
      <c r="K69">
        <f t="shared" si="21"/>
        <v>2006</v>
      </c>
      <c r="L69" s="4">
        <f t="shared" si="22"/>
        <v>2007</v>
      </c>
      <c r="M69" s="25">
        <v>2246.4</v>
      </c>
      <c r="N69" s="25">
        <f t="shared" si="27"/>
        <v>2246.4</v>
      </c>
      <c r="O69" s="25">
        <f t="shared" si="28"/>
        <v>37.440000000000005</v>
      </c>
      <c r="P69" s="25">
        <f t="shared" si="29"/>
        <v>449.28000000000009</v>
      </c>
      <c r="Q69" s="29">
        <f t="shared" si="23"/>
        <v>0</v>
      </c>
      <c r="R69" s="25">
        <f t="shared" si="24"/>
        <v>2246.4</v>
      </c>
      <c r="S69" s="29">
        <f t="shared" si="25"/>
        <v>2246.4</v>
      </c>
      <c r="T69" s="25">
        <f t="shared" si="26"/>
        <v>0</v>
      </c>
    </row>
    <row r="70" spans="3:20">
      <c r="C70" t="s">
        <v>126</v>
      </c>
      <c r="E70">
        <v>2001</v>
      </c>
      <c r="F70">
        <v>12</v>
      </c>
      <c r="G70" s="26">
        <v>0</v>
      </c>
      <c r="I70" t="s">
        <v>78</v>
      </c>
      <c r="J70">
        <v>5</v>
      </c>
      <c r="K70">
        <f t="shared" si="21"/>
        <v>2006</v>
      </c>
      <c r="L70" s="4">
        <f t="shared" si="22"/>
        <v>2007</v>
      </c>
      <c r="M70" s="25">
        <v>1938.6</v>
      </c>
      <c r="N70" s="25">
        <f t="shared" si="27"/>
        <v>1938.6</v>
      </c>
      <c r="O70" s="25">
        <f t="shared" si="28"/>
        <v>32.309999999999995</v>
      </c>
      <c r="P70" s="25">
        <f t="shared" si="29"/>
        <v>387.71999999999991</v>
      </c>
      <c r="Q70" s="29">
        <f t="shared" si="23"/>
        <v>0</v>
      </c>
      <c r="R70" s="25">
        <f t="shared" si="24"/>
        <v>1938.6</v>
      </c>
      <c r="S70" s="29">
        <f t="shared" si="25"/>
        <v>1938.6</v>
      </c>
      <c r="T70" s="25">
        <f t="shared" si="26"/>
        <v>0</v>
      </c>
    </row>
    <row r="71" spans="3:20">
      <c r="C71" t="s">
        <v>124</v>
      </c>
      <c r="E71">
        <v>2001</v>
      </c>
      <c r="F71">
        <v>2</v>
      </c>
      <c r="G71" s="26">
        <v>0</v>
      </c>
      <c r="I71" t="s">
        <v>78</v>
      </c>
      <c r="J71">
        <v>5</v>
      </c>
      <c r="K71">
        <f t="shared" si="21"/>
        <v>2006</v>
      </c>
      <c r="L71" s="4">
        <f t="shared" si="22"/>
        <v>2006.1666666666667</v>
      </c>
      <c r="M71" s="25">
        <v>4266</v>
      </c>
      <c r="N71" s="25">
        <f t="shared" si="27"/>
        <v>4266</v>
      </c>
      <c r="O71" s="25">
        <f t="shared" si="28"/>
        <v>71.100000000000009</v>
      </c>
      <c r="P71" s="25">
        <f t="shared" si="29"/>
        <v>853.2</v>
      </c>
      <c r="Q71" s="29">
        <f t="shared" si="23"/>
        <v>0</v>
      </c>
      <c r="R71" s="25">
        <f t="shared" si="24"/>
        <v>4266</v>
      </c>
      <c r="S71" s="29">
        <f t="shared" si="25"/>
        <v>4266</v>
      </c>
      <c r="T71" s="25">
        <f t="shared" si="26"/>
        <v>0</v>
      </c>
    </row>
    <row r="72" spans="3:20">
      <c r="C72" t="s">
        <v>128</v>
      </c>
      <c r="E72">
        <v>2003</v>
      </c>
      <c r="F72">
        <v>1</v>
      </c>
      <c r="G72" s="26">
        <v>0</v>
      </c>
      <c r="I72" t="s">
        <v>78</v>
      </c>
      <c r="J72" t="s">
        <v>9</v>
      </c>
      <c r="K72">
        <f t="shared" si="21"/>
        <v>2013</v>
      </c>
      <c r="L72" s="4">
        <f t="shared" si="22"/>
        <v>2013.0833333333333</v>
      </c>
      <c r="M72" s="25">
        <v>96517.97</v>
      </c>
      <c r="N72" s="25">
        <f t="shared" si="27"/>
        <v>96517.97</v>
      </c>
      <c r="O72" s="25">
        <f t="shared" si="28"/>
        <v>804.31641666666667</v>
      </c>
      <c r="P72" s="25">
        <f t="shared" si="29"/>
        <v>9651.7970000000005</v>
      </c>
      <c r="Q72" s="29">
        <f t="shared" si="23"/>
        <v>0</v>
      </c>
      <c r="R72" s="25">
        <f t="shared" si="24"/>
        <v>96517.97</v>
      </c>
      <c r="S72" s="29">
        <f t="shared" si="25"/>
        <v>96517.97</v>
      </c>
      <c r="T72" s="25">
        <f t="shared" si="26"/>
        <v>0</v>
      </c>
    </row>
    <row r="73" spans="3:20">
      <c r="C73" t="s">
        <v>129</v>
      </c>
      <c r="E73">
        <v>2003</v>
      </c>
      <c r="F73">
        <v>2</v>
      </c>
      <c r="G73" s="26">
        <v>0</v>
      </c>
      <c r="I73" t="s">
        <v>78</v>
      </c>
      <c r="J73">
        <v>5</v>
      </c>
      <c r="K73">
        <f t="shared" si="21"/>
        <v>2008</v>
      </c>
      <c r="L73" s="4">
        <f t="shared" si="22"/>
        <v>2008.1666666666667</v>
      </c>
      <c r="M73" s="25">
        <v>3468.8</v>
      </c>
      <c r="N73" s="25">
        <f t="shared" si="27"/>
        <v>3468.8</v>
      </c>
      <c r="O73" s="25">
        <f t="shared" si="28"/>
        <v>57.813333333333333</v>
      </c>
      <c r="P73" s="25">
        <f t="shared" si="29"/>
        <v>693.76</v>
      </c>
      <c r="Q73" s="29">
        <f t="shared" si="23"/>
        <v>0</v>
      </c>
      <c r="R73" s="25">
        <f t="shared" si="24"/>
        <v>3468.8</v>
      </c>
      <c r="S73" s="29">
        <f t="shared" si="25"/>
        <v>3468.8</v>
      </c>
      <c r="T73" s="25">
        <f t="shared" si="26"/>
        <v>0</v>
      </c>
    </row>
    <row r="74" spans="3:20">
      <c r="C74" t="s">
        <v>20</v>
      </c>
      <c r="E74">
        <v>2004</v>
      </c>
      <c r="F74">
        <v>5</v>
      </c>
      <c r="G74" s="26">
        <v>0</v>
      </c>
      <c r="I74" t="s">
        <v>78</v>
      </c>
      <c r="J74">
        <v>5</v>
      </c>
      <c r="K74">
        <f t="shared" si="21"/>
        <v>2009</v>
      </c>
      <c r="L74" s="4">
        <f t="shared" si="22"/>
        <v>2009.4166666666667</v>
      </c>
      <c r="M74" s="25">
        <v>2174.9</v>
      </c>
      <c r="N74" s="25">
        <f t="shared" si="27"/>
        <v>2174.9</v>
      </c>
      <c r="O74" s="25">
        <f t="shared" si="28"/>
        <v>36.248333333333335</v>
      </c>
      <c r="P74" s="25">
        <f t="shared" si="29"/>
        <v>434.98</v>
      </c>
      <c r="Q74" s="29">
        <f t="shared" si="23"/>
        <v>0</v>
      </c>
      <c r="R74" s="25">
        <f t="shared" si="24"/>
        <v>2174.9</v>
      </c>
      <c r="S74" s="29">
        <f t="shared" si="25"/>
        <v>2174.9</v>
      </c>
      <c r="T74" s="25">
        <f t="shared" si="26"/>
        <v>0</v>
      </c>
    </row>
    <row r="75" spans="3:20">
      <c r="C75" t="s">
        <v>131</v>
      </c>
      <c r="E75">
        <v>2004</v>
      </c>
      <c r="F75">
        <v>3</v>
      </c>
      <c r="G75" s="26">
        <v>0</v>
      </c>
      <c r="I75" t="s">
        <v>78</v>
      </c>
      <c r="J75">
        <v>5</v>
      </c>
      <c r="K75">
        <f t="shared" si="21"/>
        <v>2009</v>
      </c>
      <c r="L75" s="4">
        <f t="shared" si="22"/>
        <v>2009.25</v>
      </c>
      <c r="M75" s="25">
        <v>7050.34</v>
      </c>
      <c r="N75" s="25">
        <f t="shared" si="27"/>
        <v>7050.34</v>
      </c>
      <c r="O75" s="25">
        <f t="shared" si="28"/>
        <v>117.50566666666667</v>
      </c>
      <c r="P75" s="25">
        <f t="shared" si="29"/>
        <v>1410.068</v>
      </c>
      <c r="Q75" s="29">
        <f t="shared" si="23"/>
        <v>0</v>
      </c>
      <c r="R75" s="25">
        <f t="shared" si="24"/>
        <v>7050.34</v>
      </c>
      <c r="S75" s="29">
        <f t="shared" si="25"/>
        <v>7050.34</v>
      </c>
      <c r="T75" s="25">
        <f t="shared" si="26"/>
        <v>0</v>
      </c>
    </row>
    <row r="76" spans="3:20">
      <c r="C76" t="s">
        <v>131</v>
      </c>
      <c r="E76">
        <v>2004</v>
      </c>
      <c r="F76">
        <v>2</v>
      </c>
      <c r="G76" s="26">
        <v>0</v>
      </c>
      <c r="I76" t="s">
        <v>78</v>
      </c>
      <c r="J76">
        <v>5</v>
      </c>
      <c r="K76">
        <f t="shared" si="21"/>
        <v>2009</v>
      </c>
      <c r="L76" s="4">
        <f t="shared" si="22"/>
        <v>2009.1666666666667</v>
      </c>
      <c r="M76" s="25">
        <v>2541.98</v>
      </c>
      <c r="N76" s="25">
        <f t="shared" si="27"/>
        <v>2541.98</v>
      </c>
      <c r="O76" s="25">
        <f t="shared" si="28"/>
        <v>42.366333333333337</v>
      </c>
      <c r="P76" s="25">
        <f t="shared" si="29"/>
        <v>508.39600000000007</v>
      </c>
      <c r="Q76" s="29">
        <f t="shared" si="23"/>
        <v>0</v>
      </c>
      <c r="R76" s="25">
        <f t="shared" si="24"/>
        <v>2541.98</v>
      </c>
      <c r="S76" s="29">
        <f t="shared" si="25"/>
        <v>2541.98</v>
      </c>
      <c r="T76" s="25">
        <f t="shared" si="26"/>
        <v>0</v>
      </c>
    </row>
    <row r="77" spans="3:20">
      <c r="C77" t="s">
        <v>105</v>
      </c>
      <c r="E77">
        <v>2006</v>
      </c>
      <c r="F77">
        <v>6</v>
      </c>
      <c r="G77" s="26">
        <v>0</v>
      </c>
      <c r="I77" t="s">
        <v>78</v>
      </c>
      <c r="J77">
        <v>5</v>
      </c>
      <c r="K77">
        <f t="shared" si="21"/>
        <v>2011</v>
      </c>
      <c r="L77" s="4">
        <f t="shared" si="22"/>
        <v>2011.5</v>
      </c>
      <c r="M77" s="25">
        <v>3059.68</v>
      </c>
      <c r="N77" s="25">
        <f t="shared" si="27"/>
        <v>3059.68</v>
      </c>
      <c r="O77" s="25">
        <f t="shared" si="28"/>
        <v>50.99466666666666</v>
      </c>
      <c r="P77" s="25">
        <f t="shared" si="29"/>
        <v>611.93599999999992</v>
      </c>
      <c r="Q77" s="29">
        <f t="shared" si="23"/>
        <v>0</v>
      </c>
      <c r="R77" s="25">
        <f t="shared" si="24"/>
        <v>3059.68</v>
      </c>
      <c r="S77" s="29">
        <f t="shared" si="25"/>
        <v>3059.68</v>
      </c>
      <c r="T77" s="25">
        <f t="shared" si="26"/>
        <v>0</v>
      </c>
    </row>
    <row r="78" spans="3:20">
      <c r="C78" t="s">
        <v>104</v>
      </c>
      <c r="E78">
        <v>2007</v>
      </c>
      <c r="F78">
        <v>5</v>
      </c>
      <c r="G78" s="26">
        <v>0</v>
      </c>
      <c r="I78" t="s">
        <v>78</v>
      </c>
      <c r="J78">
        <v>5</v>
      </c>
      <c r="K78">
        <f t="shared" si="21"/>
        <v>2012</v>
      </c>
      <c r="L78" s="4">
        <f t="shared" si="22"/>
        <v>2012.4166666666667</v>
      </c>
      <c r="M78" s="25">
        <v>9925.1</v>
      </c>
      <c r="N78" s="25">
        <f t="shared" si="27"/>
        <v>9925.1</v>
      </c>
      <c r="O78" s="25">
        <f t="shared" si="28"/>
        <v>165.41833333333332</v>
      </c>
      <c r="P78" s="25">
        <f t="shared" si="29"/>
        <v>1985.02</v>
      </c>
      <c r="Q78" s="29">
        <f t="shared" si="23"/>
        <v>0</v>
      </c>
      <c r="R78" s="25">
        <f t="shared" si="24"/>
        <v>9925.1</v>
      </c>
      <c r="S78" s="29">
        <f t="shared" si="25"/>
        <v>9925.1</v>
      </c>
      <c r="T78" s="25">
        <f t="shared" si="26"/>
        <v>0</v>
      </c>
    </row>
    <row r="79" spans="3:20">
      <c r="C79" t="s">
        <v>132</v>
      </c>
      <c r="E79">
        <v>2007</v>
      </c>
      <c r="F79">
        <v>4</v>
      </c>
      <c r="G79" s="26">
        <v>0</v>
      </c>
      <c r="I79" t="s">
        <v>78</v>
      </c>
      <c r="J79">
        <v>5</v>
      </c>
      <c r="K79">
        <f t="shared" si="21"/>
        <v>2012</v>
      </c>
      <c r="L79" s="4">
        <f t="shared" si="22"/>
        <v>2012.3333333333333</v>
      </c>
      <c r="M79" s="25">
        <v>2346.86</v>
      </c>
      <c r="N79" s="25">
        <f t="shared" si="27"/>
        <v>2346.86</v>
      </c>
      <c r="O79" s="25">
        <f t="shared" si="28"/>
        <v>39.114333333333335</v>
      </c>
      <c r="P79" s="25">
        <f t="shared" si="29"/>
        <v>469.37200000000001</v>
      </c>
      <c r="Q79" s="29">
        <f t="shared" si="23"/>
        <v>0</v>
      </c>
      <c r="R79" s="25">
        <f t="shared" si="24"/>
        <v>2346.86</v>
      </c>
      <c r="S79" s="29">
        <f t="shared" si="25"/>
        <v>2346.86</v>
      </c>
      <c r="T79" s="25">
        <f t="shared" si="26"/>
        <v>0</v>
      </c>
    </row>
    <row r="80" spans="3:20">
      <c r="C80" t="s">
        <v>107</v>
      </c>
      <c r="E80">
        <v>2007</v>
      </c>
      <c r="F80">
        <v>4</v>
      </c>
      <c r="G80" s="26">
        <v>0</v>
      </c>
      <c r="I80" t="s">
        <v>78</v>
      </c>
      <c r="J80">
        <v>5</v>
      </c>
      <c r="K80">
        <f t="shared" si="21"/>
        <v>2012</v>
      </c>
      <c r="L80" s="4">
        <f t="shared" si="22"/>
        <v>2012.3333333333333</v>
      </c>
      <c r="M80" s="25">
        <v>1699.29</v>
      </c>
      <c r="N80" s="25">
        <f t="shared" si="27"/>
        <v>1699.29</v>
      </c>
      <c r="O80" s="25">
        <f t="shared" si="28"/>
        <v>28.3215</v>
      </c>
      <c r="P80" s="25">
        <f t="shared" si="29"/>
        <v>339.858</v>
      </c>
      <c r="Q80" s="29">
        <f t="shared" si="23"/>
        <v>0</v>
      </c>
      <c r="R80" s="25">
        <f t="shared" si="24"/>
        <v>1699.29</v>
      </c>
      <c r="S80" s="29">
        <f t="shared" si="25"/>
        <v>1699.29</v>
      </c>
      <c r="T80" s="25">
        <f t="shared" si="26"/>
        <v>0</v>
      </c>
    </row>
    <row r="81" spans="1:20">
      <c r="C81" t="s">
        <v>108</v>
      </c>
      <c r="E81">
        <v>2007</v>
      </c>
      <c r="F81">
        <v>3</v>
      </c>
      <c r="G81" s="26">
        <v>0</v>
      </c>
      <c r="I81" t="s">
        <v>78</v>
      </c>
      <c r="J81">
        <v>5</v>
      </c>
      <c r="K81">
        <f t="shared" si="21"/>
        <v>2012</v>
      </c>
      <c r="L81" s="4">
        <f t="shared" si="22"/>
        <v>2012.25</v>
      </c>
      <c r="M81" s="25">
        <v>1078</v>
      </c>
      <c r="N81" s="25">
        <f t="shared" si="27"/>
        <v>1078</v>
      </c>
      <c r="O81" s="25">
        <f t="shared" si="28"/>
        <v>17.966666666666665</v>
      </c>
      <c r="P81" s="25">
        <f t="shared" si="29"/>
        <v>215.59999999999997</v>
      </c>
      <c r="Q81" s="29">
        <f t="shared" si="23"/>
        <v>0</v>
      </c>
      <c r="R81" s="25">
        <f t="shared" si="24"/>
        <v>1078</v>
      </c>
      <c r="S81" s="29">
        <f t="shared" si="25"/>
        <v>1078</v>
      </c>
      <c r="T81" s="25">
        <f t="shared" si="26"/>
        <v>0</v>
      </c>
    </row>
    <row r="82" spans="1:20">
      <c r="A82" t="s">
        <v>288</v>
      </c>
      <c r="B82">
        <v>6042</v>
      </c>
      <c r="C82" t="s">
        <v>449</v>
      </c>
      <c r="D82">
        <v>61091</v>
      </c>
      <c r="E82">
        <v>2008</v>
      </c>
      <c r="F82">
        <v>3</v>
      </c>
      <c r="G82" s="26">
        <v>0</v>
      </c>
      <c r="I82" t="s">
        <v>78</v>
      </c>
      <c r="J82">
        <v>5</v>
      </c>
      <c r="K82">
        <f>E82+J82</f>
        <v>2013</v>
      </c>
      <c r="L82" s="4">
        <f t="shared" si="22"/>
        <v>2013.25</v>
      </c>
      <c r="M82" s="25">
        <f>+'Orig OTHER EQUIP 2183'!P91</f>
        <v>10247.040300000001</v>
      </c>
      <c r="N82" s="25">
        <f t="shared" si="27"/>
        <v>10247.040300000001</v>
      </c>
      <c r="O82" s="25">
        <f t="shared" si="28"/>
        <v>170.78400500000001</v>
      </c>
      <c r="P82" s="25">
        <f t="shared" si="29"/>
        <v>2049.4080600000002</v>
      </c>
      <c r="Q82" s="29">
        <f t="shared" si="23"/>
        <v>0</v>
      </c>
      <c r="R82" s="25">
        <f t="shared" si="24"/>
        <v>10247.040300000001</v>
      </c>
      <c r="S82" s="29">
        <f t="shared" si="25"/>
        <v>10247.040300000001</v>
      </c>
      <c r="T82" s="25">
        <f t="shared" si="26"/>
        <v>0</v>
      </c>
    </row>
    <row r="83" spans="1:20" s="121" customFormat="1">
      <c r="A83" s="116"/>
      <c r="B83" s="116"/>
      <c r="C83" s="116" t="s">
        <v>705</v>
      </c>
      <c r="D83" s="116"/>
      <c r="E83" s="116">
        <v>2019</v>
      </c>
      <c r="F83" s="116">
        <v>8</v>
      </c>
      <c r="G83" s="118">
        <v>0</v>
      </c>
      <c r="H83" s="116"/>
      <c r="I83" s="116" t="s">
        <v>78</v>
      </c>
      <c r="J83" s="116">
        <v>3</v>
      </c>
      <c r="K83" s="116">
        <f>E83+J83</f>
        <v>2022</v>
      </c>
      <c r="L83" s="124">
        <f>+K83+(F83/12)</f>
        <v>2022.6666666666667</v>
      </c>
      <c r="M83" s="125">
        <f>+'Orig OTHER EQUIP 2183'!N91-M82</f>
        <v>5047.0496999999996</v>
      </c>
      <c r="N83" s="125">
        <f>M83-M83*G83</f>
        <v>5047.0496999999996</v>
      </c>
      <c r="O83" s="125">
        <f>N83/J83/12</f>
        <v>140.19582499999999</v>
      </c>
      <c r="P83" s="125">
        <f>+O83*12</f>
        <v>1682.3498999999997</v>
      </c>
      <c r="Q83" s="29">
        <f t="shared" si="23"/>
        <v>0</v>
      </c>
      <c r="R83" s="125">
        <f t="shared" si="24"/>
        <v>5047.0496999999996</v>
      </c>
      <c r="S83" s="29">
        <f t="shared" si="25"/>
        <v>5047.0496999999996</v>
      </c>
      <c r="T83" s="125">
        <f t="shared" si="26"/>
        <v>0</v>
      </c>
    </row>
    <row r="84" spans="1:20">
      <c r="B84">
        <v>6020</v>
      </c>
      <c r="C84" t="s">
        <v>433</v>
      </c>
      <c r="D84">
        <v>81814</v>
      </c>
      <c r="E84">
        <v>2008</v>
      </c>
      <c r="F84">
        <v>11</v>
      </c>
      <c r="G84" s="26">
        <v>0</v>
      </c>
      <c r="I84" t="s">
        <v>78</v>
      </c>
      <c r="J84">
        <v>5</v>
      </c>
      <c r="K84">
        <f>E84+J84</f>
        <v>2013</v>
      </c>
      <c r="L84" s="4">
        <f t="shared" si="22"/>
        <v>2013.9166666666667</v>
      </c>
      <c r="M84" s="25">
        <f>'Orig OTHER EQUIP 2183'!P92</f>
        <v>1675</v>
      </c>
      <c r="N84" s="25">
        <f t="shared" si="27"/>
        <v>1675</v>
      </c>
      <c r="O84" s="25">
        <f t="shared" si="28"/>
        <v>27.916666666666668</v>
      </c>
      <c r="P84" s="25">
        <f t="shared" si="29"/>
        <v>335</v>
      </c>
      <c r="Q84" s="29">
        <f t="shared" si="23"/>
        <v>0</v>
      </c>
      <c r="R84" s="25">
        <f t="shared" si="24"/>
        <v>1675</v>
      </c>
      <c r="S84" s="29">
        <f t="shared" si="25"/>
        <v>1675</v>
      </c>
      <c r="T84" s="25">
        <f t="shared" si="26"/>
        <v>0</v>
      </c>
    </row>
    <row r="85" spans="1:20" s="121" customFormat="1">
      <c r="A85" s="116"/>
      <c r="B85" s="116"/>
      <c r="C85" s="116" t="s">
        <v>705</v>
      </c>
      <c r="D85" s="116"/>
      <c r="E85" s="116">
        <v>2019</v>
      </c>
      <c r="F85" s="116">
        <v>8</v>
      </c>
      <c r="G85" s="118">
        <v>0</v>
      </c>
      <c r="H85" s="116"/>
      <c r="I85" s="116" t="s">
        <v>78</v>
      </c>
      <c r="J85" s="116">
        <v>3</v>
      </c>
      <c r="K85" s="116">
        <f>E85+J85</f>
        <v>2022</v>
      </c>
      <c r="L85" s="124">
        <f t="shared" si="22"/>
        <v>2022.6666666666667</v>
      </c>
      <c r="M85" s="125">
        <f>'Orig OTHER EQUIP 2183'!N92-'OTHER EQUIP 2183'!M84</f>
        <v>825</v>
      </c>
      <c r="N85" s="125">
        <f t="shared" si="27"/>
        <v>825</v>
      </c>
      <c r="O85" s="125">
        <f t="shared" si="28"/>
        <v>22.916666666666668</v>
      </c>
      <c r="P85" s="125">
        <f t="shared" si="29"/>
        <v>275</v>
      </c>
      <c r="Q85" s="29">
        <f t="shared" si="23"/>
        <v>0</v>
      </c>
      <c r="R85" s="125">
        <f t="shared" si="24"/>
        <v>825</v>
      </c>
      <c r="S85" s="29">
        <f t="shared" si="25"/>
        <v>825</v>
      </c>
      <c r="T85" s="125">
        <f t="shared" si="26"/>
        <v>0</v>
      </c>
    </row>
    <row r="86" spans="1:20">
      <c r="C86" t="s">
        <v>361</v>
      </c>
      <c r="E86">
        <v>2009</v>
      </c>
      <c r="F86">
        <v>7</v>
      </c>
      <c r="G86" s="26">
        <v>0</v>
      </c>
      <c r="I86" t="s">
        <v>78</v>
      </c>
      <c r="J86">
        <v>5</v>
      </c>
      <c r="K86">
        <f t="shared" si="21"/>
        <v>2014</v>
      </c>
      <c r="L86" s="4">
        <f t="shared" si="22"/>
        <v>2014.5833333333333</v>
      </c>
      <c r="M86" s="25">
        <v>2347.9299999999998</v>
      </c>
      <c r="N86" s="25">
        <f t="shared" si="27"/>
        <v>2347.9299999999998</v>
      </c>
      <c r="O86" s="25">
        <f t="shared" si="28"/>
        <v>39.132166666666663</v>
      </c>
      <c r="P86" s="25">
        <f t="shared" si="29"/>
        <v>469.58599999999996</v>
      </c>
      <c r="Q86" s="29">
        <f t="shared" si="23"/>
        <v>0</v>
      </c>
      <c r="R86" s="25">
        <f t="shared" si="24"/>
        <v>2347.9299999999998</v>
      </c>
      <c r="S86" s="29">
        <f t="shared" si="25"/>
        <v>2347.9299999999998</v>
      </c>
      <c r="T86" s="25">
        <f t="shared" si="26"/>
        <v>0</v>
      </c>
    </row>
    <row r="87" spans="1:20">
      <c r="C87" t="s">
        <v>362</v>
      </c>
      <c r="E87">
        <v>2009</v>
      </c>
      <c r="F87">
        <v>6</v>
      </c>
      <c r="G87" s="26">
        <v>0</v>
      </c>
      <c r="I87" t="s">
        <v>78</v>
      </c>
      <c r="J87">
        <v>5</v>
      </c>
      <c r="K87">
        <f t="shared" si="21"/>
        <v>2014</v>
      </c>
      <c r="L87" s="4">
        <f t="shared" si="22"/>
        <v>2014.5</v>
      </c>
      <c r="M87" s="25">
        <v>4147.3100000000004</v>
      </c>
      <c r="N87" s="25">
        <f t="shared" si="27"/>
        <v>4147.3100000000004</v>
      </c>
      <c r="O87" s="25">
        <f t="shared" si="28"/>
        <v>69.121833333333342</v>
      </c>
      <c r="P87" s="25">
        <f t="shared" si="29"/>
        <v>829.4620000000001</v>
      </c>
      <c r="Q87" s="29">
        <f t="shared" si="23"/>
        <v>0</v>
      </c>
      <c r="R87" s="25">
        <f t="shared" si="24"/>
        <v>4147.3100000000004</v>
      </c>
      <c r="S87" s="29">
        <f t="shared" si="25"/>
        <v>4147.3100000000004</v>
      </c>
      <c r="T87" s="25">
        <f t="shared" si="26"/>
        <v>0</v>
      </c>
    </row>
    <row r="88" spans="1:20">
      <c r="C88" t="s">
        <v>363</v>
      </c>
      <c r="E88">
        <v>2009</v>
      </c>
      <c r="F88">
        <v>1</v>
      </c>
      <c r="G88" s="26">
        <v>0</v>
      </c>
      <c r="I88" t="s">
        <v>78</v>
      </c>
      <c r="J88">
        <v>4.916666666666667</v>
      </c>
      <c r="K88">
        <f t="shared" si="21"/>
        <v>2013.9166666666667</v>
      </c>
      <c r="L88" s="4">
        <f t="shared" si="22"/>
        <v>2014</v>
      </c>
      <c r="M88" s="25">
        <v>2847</v>
      </c>
      <c r="N88" s="25">
        <f t="shared" si="27"/>
        <v>2847</v>
      </c>
      <c r="O88" s="25">
        <f t="shared" si="28"/>
        <v>48.254237288135592</v>
      </c>
      <c r="P88" s="25">
        <f t="shared" si="29"/>
        <v>579.05084745762713</v>
      </c>
      <c r="Q88" s="29">
        <f t="shared" si="23"/>
        <v>0</v>
      </c>
      <c r="R88" s="25">
        <f t="shared" si="24"/>
        <v>2847</v>
      </c>
      <c r="S88" s="29">
        <f t="shared" si="25"/>
        <v>2847</v>
      </c>
      <c r="T88" s="25">
        <f t="shared" si="26"/>
        <v>0</v>
      </c>
    </row>
    <row r="89" spans="1:20">
      <c r="C89" t="s">
        <v>420</v>
      </c>
      <c r="D89">
        <v>78790</v>
      </c>
      <c r="E89">
        <v>2010</v>
      </c>
      <c r="F89">
        <v>12</v>
      </c>
      <c r="G89" s="26">
        <v>0</v>
      </c>
      <c r="I89" t="s">
        <v>78</v>
      </c>
      <c r="J89">
        <v>5</v>
      </c>
      <c r="K89">
        <f t="shared" si="21"/>
        <v>2015</v>
      </c>
      <c r="L89" s="4">
        <f t="shared" si="22"/>
        <v>2016</v>
      </c>
      <c r="M89" s="25">
        <v>5900.24</v>
      </c>
      <c r="N89" s="25">
        <f t="shared" si="27"/>
        <v>5900.24</v>
      </c>
      <c r="O89" s="25">
        <f t="shared" si="28"/>
        <v>98.337333333333333</v>
      </c>
      <c r="P89" s="25">
        <f t="shared" si="29"/>
        <v>1180.048</v>
      </c>
      <c r="Q89" s="29">
        <f t="shared" si="23"/>
        <v>0</v>
      </c>
      <c r="R89" s="25">
        <f t="shared" si="24"/>
        <v>5900.24</v>
      </c>
      <c r="S89" s="29">
        <f t="shared" si="25"/>
        <v>5900.24</v>
      </c>
      <c r="T89" s="25">
        <f t="shared" si="26"/>
        <v>0</v>
      </c>
    </row>
    <row r="90" spans="1:20">
      <c r="C90" t="s">
        <v>469</v>
      </c>
      <c r="D90" t="s">
        <v>478</v>
      </c>
      <c r="E90">
        <v>2012</v>
      </c>
      <c r="F90">
        <v>10</v>
      </c>
      <c r="G90" s="26">
        <v>0</v>
      </c>
      <c r="I90" t="s">
        <v>78</v>
      </c>
      <c r="J90">
        <v>10</v>
      </c>
      <c r="K90">
        <f t="shared" si="21"/>
        <v>2022</v>
      </c>
      <c r="L90" s="4">
        <f t="shared" si="22"/>
        <v>2022.8333333333333</v>
      </c>
      <c r="M90" s="25">
        <f>9479+48345.38</f>
        <v>57824.38</v>
      </c>
      <c r="N90" s="25">
        <f t="shared" si="27"/>
        <v>57824.38</v>
      </c>
      <c r="O90" s="25">
        <f t="shared" si="28"/>
        <v>481.86983333333336</v>
      </c>
      <c r="P90" s="25">
        <f t="shared" si="29"/>
        <v>5782.4380000000001</v>
      </c>
      <c r="Q90" s="29">
        <f t="shared" si="23"/>
        <v>0</v>
      </c>
      <c r="R90" s="25">
        <f t="shared" si="24"/>
        <v>57824.38</v>
      </c>
      <c r="S90" s="29">
        <f t="shared" si="25"/>
        <v>57824.38</v>
      </c>
      <c r="T90" s="25">
        <f t="shared" si="26"/>
        <v>0</v>
      </c>
    </row>
    <row r="91" spans="1:20">
      <c r="C91" t="s">
        <v>481</v>
      </c>
      <c r="D91">
        <v>106016</v>
      </c>
      <c r="E91">
        <v>2013</v>
      </c>
      <c r="F91">
        <v>7</v>
      </c>
      <c r="G91" s="26">
        <v>0</v>
      </c>
      <c r="I91" t="s">
        <v>78</v>
      </c>
      <c r="J91">
        <v>5</v>
      </c>
      <c r="K91">
        <f t="shared" si="21"/>
        <v>2018</v>
      </c>
      <c r="L91" s="4">
        <f t="shared" si="22"/>
        <v>2018.5833333333333</v>
      </c>
      <c r="M91" s="25">
        <v>14451.45</v>
      </c>
      <c r="N91" s="25">
        <f t="shared" si="27"/>
        <v>14451.45</v>
      </c>
      <c r="O91" s="25">
        <f t="shared" si="28"/>
        <v>240.85749999999999</v>
      </c>
      <c r="P91" s="25">
        <f t="shared" si="29"/>
        <v>2890.29</v>
      </c>
      <c r="Q91" s="29">
        <f t="shared" si="23"/>
        <v>0</v>
      </c>
      <c r="R91" s="25">
        <f t="shared" si="24"/>
        <v>14451.45</v>
      </c>
      <c r="S91" s="29">
        <f t="shared" si="25"/>
        <v>14451.45</v>
      </c>
      <c r="T91" s="25">
        <f t="shared" si="26"/>
        <v>0</v>
      </c>
    </row>
    <row r="92" spans="1:20">
      <c r="B92">
        <v>9228</v>
      </c>
      <c r="C92" t="s">
        <v>501</v>
      </c>
      <c r="D92">
        <v>110576</v>
      </c>
      <c r="E92">
        <v>2014</v>
      </c>
      <c r="F92">
        <v>1</v>
      </c>
      <c r="G92" s="26">
        <v>0</v>
      </c>
      <c r="I92" t="s">
        <v>78</v>
      </c>
      <c r="J92">
        <v>10</v>
      </c>
      <c r="K92">
        <f t="shared" si="21"/>
        <v>2024</v>
      </c>
      <c r="L92" s="4">
        <f t="shared" si="22"/>
        <v>2024.0833333333333</v>
      </c>
      <c r="M92" s="25">
        <v>98824.34</v>
      </c>
      <c r="N92" s="25">
        <f t="shared" si="27"/>
        <v>98824.34</v>
      </c>
      <c r="O92" s="25">
        <f t="shared" si="28"/>
        <v>823.53616666666665</v>
      </c>
      <c r="P92" s="25">
        <f t="shared" si="29"/>
        <v>9882.4339999999993</v>
      </c>
      <c r="Q92" s="29">
        <f t="shared" si="23"/>
        <v>0</v>
      </c>
      <c r="R92" s="25">
        <f t="shared" si="24"/>
        <v>92236.050666668161</v>
      </c>
      <c r="S92" s="29">
        <f t="shared" si="25"/>
        <v>98824.34</v>
      </c>
      <c r="T92" s="25">
        <f t="shared" si="26"/>
        <v>0</v>
      </c>
    </row>
    <row r="93" spans="1:20">
      <c r="C93" t="s">
        <v>518</v>
      </c>
      <c r="D93">
        <v>116108</v>
      </c>
      <c r="E93">
        <v>2014</v>
      </c>
      <c r="F93">
        <v>8</v>
      </c>
      <c r="G93" s="26">
        <v>0</v>
      </c>
      <c r="I93" t="s">
        <v>78</v>
      </c>
      <c r="J93">
        <v>2</v>
      </c>
      <c r="K93">
        <f t="shared" si="21"/>
        <v>2016</v>
      </c>
      <c r="L93" s="4">
        <f t="shared" si="22"/>
        <v>2016.6666666666667</v>
      </c>
      <c r="M93" s="25">
        <v>1817.83</v>
      </c>
      <c r="N93" s="25">
        <f t="shared" si="27"/>
        <v>1817.83</v>
      </c>
      <c r="O93" s="25">
        <f t="shared" si="28"/>
        <v>75.742916666666659</v>
      </c>
      <c r="P93" s="25">
        <f t="shared" si="29"/>
        <v>908.91499999999996</v>
      </c>
      <c r="Q93" s="29">
        <f t="shared" si="23"/>
        <v>0</v>
      </c>
      <c r="R93" s="25">
        <f t="shared" si="24"/>
        <v>1817.83</v>
      </c>
      <c r="S93" s="29">
        <f t="shared" si="25"/>
        <v>1817.83</v>
      </c>
      <c r="T93" s="25">
        <f t="shared" si="26"/>
        <v>0</v>
      </c>
    </row>
    <row r="94" spans="1:20">
      <c r="C94" t="s">
        <v>519</v>
      </c>
      <c r="D94">
        <v>115427</v>
      </c>
      <c r="E94">
        <v>2014</v>
      </c>
      <c r="F94">
        <v>8</v>
      </c>
      <c r="G94" s="26">
        <v>0</v>
      </c>
      <c r="I94" t="s">
        <v>78</v>
      </c>
      <c r="J94">
        <v>3</v>
      </c>
      <c r="K94">
        <f t="shared" si="21"/>
        <v>2017</v>
      </c>
      <c r="L94" s="4">
        <f t="shared" si="22"/>
        <v>2017.6666666666667</v>
      </c>
      <c r="M94" s="25">
        <v>3198.54</v>
      </c>
      <c r="N94" s="25">
        <f t="shared" si="27"/>
        <v>3198.54</v>
      </c>
      <c r="O94" s="25">
        <f t="shared" si="28"/>
        <v>88.848333333333343</v>
      </c>
      <c r="P94" s="25">
        <f t="shared" si="29"/>
        <v>1066.18</v>
      </c>
      <c r="Q94" s="29">
        <f t="shared" si="23"/>
        <v>0</v>
      </c>
      <c r="R94" s="25">
        <f t="shared" si="24"/>
        <v>3198.54</v>
      </c>
      <c r="S94" s="29">
        <f t="shared" si="25"/>
        <v>3198.54</v>
      </c>
      <c r="T94" s="25">
        <f t="shared" si="26"/>
        <v>0</v>
      </c>
    </row>
    <row r="95" spans="1:20">
      <c r="C95" t="s">
        <v>523</v>
      </c>
      <c r="D95">
        <v>118278</v>
      </c>
      <c r="E95">
        <v>2014</v>
      </c>
      <c r="F95">
        <v>12</v>
      </c>
      <c r="G95" s="26">
        <v>0</v>
      </c>
      <c r="I95" t="s">
        <v>78</v>
      </c>
      <c r="J95">
        <v>10</v>
      </c>
      <c r="K95">
        <f t="shared" si="21"/>
        <v>2024</v>
      </c>
      <c r="L95" s="4">
        <f t="shared" si="22"/>
        <v>2025</v>
      </c>
      <c r="M95" s="25">
        <f>7879.66+2760.98</f>
        <v>10640.64</v>
      </c>
      <c r="N95" s="25">
        <f t="shared" si="27"/>
        <v>10640.64</v>
      </c>
      <c r="O95" s="25">
        <f t="shared" si="28"/>
        <v>88.671999999999983</v>
      </c>
      <c r="P95" s="25">
        <f t="shared" si="29"/>
        <v>1064.0639999999999</v>
      </c>
      <c r="Q95" s="29">
        <f t="shared" si="23"/>
        <v>1064.0639999999999</v>
      </c>
      <c r="R95" s="25">
        <f t="shared" si="24"/>
        <v>8955.8720000000794</v>
      </c>
      <c r="S95" s="29">
        <f t="shared" si="25"/>
        <v>10019.93600000008</v>
      </c>
      <c r="T95" s="25">
        <f t="shared" si="26"/>
        <v>620.70399999991969</v>
      </c>
    </row>
    <row r="96" spans="1:20">
      <c r="C96" t="s">
        <v>578</v>
      </c>
      <c r="D96" t="s">
        <v>577</v>
      </c>
      <c r="E96">
        <v>2015</v>
      </c>
      <c r="F96">
        <v>9</v>
      </c>
      <c r="G96" s="26">
        <v>0</v>
      </c>
      <c r="I96" t="s">
        <v>78</v>
      </c>
      <c r="J96">
        <v>5</v>
      </c>
      <c r="K96">
        <f t="shared" si="21"/>
        <v>2020</v>
      </c>
      <c r="L96" s="4">
        <f t="shared" si="22"/>
        <v>2020.75</v>
      </c>
      <c r="M96" s="25">
        <f>11499.37+1195.7</f>
        <v>12695.070000000002</v>
      </c>
      <c r="N96" s="25">
        <f t="shared" si="27"/>
        <v>12695.070000000002</v>
      </c>
      <c r="O96" s="25">
        <f t="shared" si="28"/>
        <v>211.58450000000002</v>
      </c>
      <c r="P96" s="25">
        <f t="shared" si="29"/>
        <v>2539.0140000000001</v>
      </c>
      <c r="Q96" s="29">
        <f t="shared" si="23"/>
        <v>0</v>
      </c>
      <c r="R96" s="25">
        <f t="shared" si="24"/>
        <v>12695.070000000002</v>
      </c>
      <c r="S96" s="29">
        <f t="shared" si="25"/>
        <v>12695.070000000002</v>
      </c>
      <c r="T96" s="25">
        <f t="shared" si="26"/>
        <v>0</v>
      </c>
    </row>
    <row r="97" spans="1:20">
      <c r="C97" t="s">
        <v>605</v>
      </c>
      <c r="D97">
        <v>170171</v>
      </c>
      <c r="E97">
        <v>2016</v>
      </c>
      <c r="F97">
        <v>11</v>
      </c>
      <c r="G97" s="26">
        <v>0</v>
      </c>
      <c r="I97" t="s">
        <v>78</v>
      </c>
      <c r="J97">
        <v>5</v>
      </c>
      <c r="K97">
        <f>E97+J97</f>
        <v>2021</v>
      </c>
      <c r="L97" s="4">
        <f t="shared" si="22"/>
        <v>2021.9166666666667</v>
      </c>
      <c r="M97" s="25">
        <v>44611.57</v>
      </c>
      <c r="N97" s="25">
        <f t="shared" si="27"/>
        <v>44611.57</v>
      </c>
      <c r="O97" s="25">
        <f t="shared" si="28"/>
        <v>743.52616666666665</v>
      </c>
      <c r="P97" s="25">
        <f t="shared" si="29"/>
        <v>8922.3140000000003</v>
      </c>
      <c r="Q97" s="29">
        <f t="shared" si="23"/>
        <v>0</v>
      </c>
      <c r="R97" s="25">
        <f t="shared" si="24"/>
        <v>44611.57</v>
      </c>
      <c r="S97" s="29">
        <f t="shared" si="25"/>
        <v>44611.57</v>
      </c>
      <c r="T97" s="25">
        <f t="shared" si="26"/>
        <v>0</v>
      </c>
    </row>
    <row r="98" spans="1:20">
      <c r="C98" t="s">
        <v>632</v>
      </c>
      <c r="D98">
        <v>185550</v>
      </c>
      <c r="E98">
        <v>2017</v>
      </c>
      <c r="F98">
        <v>8</v>
      </c>
      <c r="G98" s="26">
        <v>0</v>
      </c>
      <c r="I98" t="s">
        <v>78</v>
      </c>
      <c r="J98">
        <v>1</v>
      </c>
      <c r="K98">
        <f>E98+J98</f>
        <v>2018</v>
      </c>
      <c r="L98" s="4">
        <f t="shared" si="22"/>
        <v>2018.6666666666667</v>
      </c>
      <c r="M98" s="25">
        <v>1244.8</v>
      </c>
      <c r="N98" s="25">
        <f t="shared" si="27"/>
        <v>1244.8</v>
      </c>
      <c r="O98" s="25">
        <f t="shared" si="28"/>
        <v>103.73333333333333</v>
      </c>
      <c r="P98" s="25">
        <f t="shared" si="29"/>
        <v>1244.8</v>
      </c>
      <c r="Q98" s="29">
        <f t="shared" si="23"/>
        <v>0</v>
      </c>
      <c r="R98" s="25">
        <f t="shared" si="24"/>
        <v>1244.8</v>
      </c>
      <c r="S98" s="29">
        <f t="shared" si="25"/>
        <v>1244.8</v>
      </c>
      <c r="T98" s="25">
        <f t="shared" si="26"/>
        <v>0</v>
      </c>
    </row>
    <row r="99" spans="1:20" s="47" customFormat="1" ht="15">
      <c r="C99" s="30" t="s">
        <v>793</v>
      </c>
      <c r="D99" s="31">
        <v>198061</v>
      </c>
      <c r="E99" s="47">
        <v>1992</v>
      </c>
      <c r="F99" s="47">
        <v>3</v>
      </c>
      <c r="G99" s="32">
        <v>0</v>
      </c>
      <c r="I99" s="47" t="s">
        <v>78</v>
      </c>
      <c r="J99" s="47">
        <v>15</v>
      </c>
      <c r="K99" s="47">
        <f>E99+J99</f>
        <v>2007</v>
      </c>
      <c r="L99" s="33">
        <f>+K99+(F99/12)</f>
        <v>2007.25</v>
      </c>
      <c r="M99" s="34">
        <v>7710</v>
      </c>
      <c r="N99" s="35">
        <f>M99-M99*G99</f>
        <v>7710</v>
      </c>
      <c r="O99" s="35">
        <f>N99/J99/12</f>
        <v>42.833333333333336</v>
      </c>
      <c r="P99" s="35">
        <f>+O99*12</f>
        <v>514</v>
      </c>
      <c r="Q99" s="29">
        <f t="shared" si="23"/>
        <v>0</v>
      </c>
      <c r="R99" s="35">
        <f t="shared" si="24"/>
        <v>7710</v>
      </c>
      <c r="S99" s="29">
        <f t="shared" si="25"/>
        <v>7710</v>
      </c>
      <c r="T99" s="35">
        <f t="shared" si="26"/>
        <v>0</v>
      </c>
    </row>
    <row r="100" spans="1:20" s="47" customFormat="1" ht="15">
      <c r="C100" s="30" t="s">
        <v>794</v>
      </c>
      <c r="D100" s="31">
        <v>198060</v>
      </c>
      <c r="E100" s="47">
        <v>1988</v>
      </c>
      <c r="F100" s="47">
        <v>2</v>
      </c>
      <c r="G100" s="32">
        <v>0</v>
      </c>
      <c r="I100" s="47" t="s">
        <v>78</v>
      </c>
      <c r="J100" s="47">
        <v>15</v>
      </c>
      <c r="K100" s="47">
        <f>E100+J100</f>
        <v>2003</v>
      </c>
      <c r="L100" s="33">
        <f>+K100+(F100/12)</f>
        <v>2003.1666666666667</v>
      </c>
      <c r="M100" s="34">
        <v>22692</v>
      </c>
      <c r="N100" s="35">
        <f>M100-M100*G100</f>
        <v>22692</v>
      </c>
      <c r="O100" s="35">
        <f>N100/J100/12</f>
        <v>126.06666666666666</v>
      </c>
      <c r="P100" s="35">
        <f>+O100*12</f>
        <v>1512.8</v>
      </c>
      <c r="Q100" s="29">
        <f t="shared" si="23"/>
        <v>0</v>
      </c>
      <c r="R100" s="35">
        <f t="shared" si="24"/>
        <v>22692</v>
      </c>
      <c r="S100" s="29">
        <f t="shared" si="25"/>
        <v>22692</v>
      </c>
      <c r="T100" s="35">
        <f t="shared" si="26"/>
        <v>0</v>
      </c>
    </row>
    <row r="101" spans="1:20" s="47" customFormat="1" ht="15">
      <c r="C101" s="30" t="s">
        <v>798</v>
      </c>
      <c r="D101" s="31" t="s">
        <v>836</v>
      </c>
      <c r="E101" s="47">
        <v>2019</v>
      </c>
      <c r="F101" s="47">
        <v>1</v>
      </c>
      <c r="G101" s="32">
        <v>0</v>
      </c>
      <c r="I101" s="47" t="s">
        <v>78</v>
      </c>
      <c r="J101" s="47">
        <v>3</v>
      </c>
      <c r="K101" s="47">
        <f>E101+J101</f>
        <v>2022</v>
      </c>
      <c r="L101" s="33">
        <f>+K101+(F101/12)</f>
        <v>2022.0833333333333</v>
      </c>
      <c r="M101" s="34">
        <f>1555.07+983.7+1311.6</f>
        <v>3850.37</v>
      </c>
      <c r="N101" s="35">
        <f>M101-M101*G101</f>
        <v>3850.37</v>
      </c>
      <c r="O101" s="35">
        <f>N101/J101/12</f>
        <v>106.95472222222223</v>
      </c>
      <c r="P101" s="35">
        <f>+O101*12</f>
        <v>1283.4566666666667</v>
      </c>
      <c r="Q101" s="29">
        <f t="shared" si="23"/>
        <v>0</v>
      </c>
      <c r="R101" s="35">
        <f t="shared" si="24"/>
        <v>3850.37</v>
      </c>
      <c r="S101" s="29">
        <f t="shared" si="25"/>
        <v>3850.37</v>
      </c>
      <c r="T101" s="35">
        <f t="shared" si="26"/>
        <v>0</v>
      </c>
    </row>
    <row r="102" spans="1:20">
      <c r="G102" s="26"/>
    </row>
    <row r="103" spans="1:20">
      <c r="C103" s="2" t="s">
        <v>266</v>
      </c>
      <c r="G103" s="26"/>
      <c r="M103" s="89">
        <f t="shared" ref="M103:T103" si="30">SUM(M54:M102)</f>
        <v>1607627.8700000006</v>
      </c>
      <c r="N103" s="89">
        <f t="shared" si="30"/>
        <v>1607627.8700000006</v>
      </c>
      <c r="O103" s="89">
        <f t="shared" si="30"/>
        <v>19221.158472050029</v>
      </c>
      <c r="P103" s="89">
        <f t="shared" si="30"/>
        <v>230653.90166460053</v>
      </c>
      <c r="Q103" s="89">
        <f t="shared" si="30"/>
        <v>1064.0639999999999</v>
      </c>
      <c r="R103" s="89">
        <f t="shared" si="30"/>
        <v>1599354.8126666688</v>
      </c>
      <c r="S103" s="89">
        <f t="shared" si="30"/>
        <v>1607007.1660000007</v>
      </c>
      <c r="T103" s="89">
        <f t="shared" si="30"/>
        <v>620.70399999991969</v>
      </c>
    </row>
    <row r="104" spans="1:20">
      <c r="C104" t="s">
        <v>316</v>
      </c>
      <c r="G104" s="26"/>
    </row>
    <row r="105" spans="1:20">
      <c r="C105" t="s">
        <v>316</v>
      </c>
      <c r="G105" s="26"/>
    </row>
    <row r="106" spans="1:20">
      <c r="C106" s="2" t="s">
        <v>278</v>
      </c>
      <c r="G106" s="26"/>
    </row>
    <row r="107" spans="1:20">
      <c r="B107">
        <v>6050</v>
      </c>
      <c r="C107" t="s">
        <v>454</v>
      </c>
      <c r="D107">
        <v>75671</v>
      </c>
      <c r="E107">
        <v>2010</v>
      </c>
      <c r="F107">
        <v>7</v>
      </c>
      <c r="G107" s="26">
        <v>0</v>
      </c>
      <c r="I107" t="s">
        <v>78</v>
      </c>
      <c r="J107">
        <v>5</v>
      </c>
      <c r="K107">
        <f t="shared" ref="K107:K114" si="31">E107+J107</f>
        <v>2015</v>
      </c>
      <c r="L107" s="4">
        <f t="shared" ref="L107:L114" si="32">+K107+(F107/12)</f>
        <v>2015.5833333333333</v>
      </c>
      <c r="M107" s="25">
        <f>'Orig OTHER EQUIP 2183'!P113</f>
        <v>10050</v>
      </c>
      <c r="N107" s="25">
        <f t="shared" ref="N107:N114" si="33">M107-M107*G107</f>
        <v>10050</v>
      </c>
      <c r="O107" s="25">
        <f t="shared" ref="O107:O114" si="34">N107/J107/12</f>
        <v>167.5</v>
      </c>
      <c r="P107" s="25">
        <f t="shared" ref="P107:P114" si="35">+O107*12</f>
        <v>2010</v>
      </c>
      <c r="Q107" s="29">
        <f t="shared" ref="Q107:Q123" si="36">IF(L107&lt;=$N$6,0,P107)</f>
        <v>0</v>
      </c>
      <c r="R107" s="25">
        <f t="shared" ref="R107:R123" si="37">+IF($L107&lt;=$N$7,$M107,IF(($E107+($F107/12))&gt;=$N$7,0,((($N107-((($L107-$N$7)*12)*$O107))))))</f>
        <v>10050</v>
      </c>
      <c r="S107" s="29">
        <f t="shared" ref="S107:S123" si="38">IF(Q107=0,N107,R107+Q107)</f>
        <v>10050</v>
      </c>
      <c r="T107" s="25">
        <f t="shared" ref="T107:T123" si="39">+M107-S107</f>
        <v>0</v>
      </c>
    </row>
    <row r="108" spans="1:20" s="121" customFormat="1">
      <c r="A108" s="116"/>
      <c r="B108" s="116"/>
      <c r="C108" s="116" t="s">
        <v>707</v>
      </c>
      <c r="D108" s="116"/>
      <c r="E108" s="116">
        <v>2019</v>
      </c>
      <c r="F108" s="116">
        <v>8</v>
      </c>
      <c r="G108" s="118">
        <v>0</v>
      </c>
      <c r="H108" s="116"/>
      <c r="I108" s="116" t="s">
        <v>78</v>
      </c>
      <c r="J108" s="116">
        <v>3</v>
      </c>
      <c r="K108" s="116">
        <f>E108+J108</f>
        <v>2022</v>
      </c>
      <c r="L108" s="124">
        <f t="shared" si="32"/>
        <v>2022.6666666666667</v>
      </c>
      <c r="M108" s="125">
        <f>'Orig OTHER EQUIP 2183'!N113-'OTHER EQUIP 2183'!M107</f>
        <v>4950</v>
      </c>
      <c r="N108" s="125">
        <f t="shared" si="33"/>
        <v>4950</v>
      </c>
      <c r="O108" s="125">
        <f t="shared" si="34"/>
        <v>137.5</v>
      </c>
      <c r="P108" s="125">
        <f t="shared" si="35"/>
        <v>1650</v>
      </c>
      <c r="Q108" s="29">
        <f t="shared" si="36"/>
        <v>0</v>
      </c>
      <c r="R108" s="125">
        <f t="shared" si="37"/>
        <v>4950</v>
      </c>
      <c r="S108" s="29">
        <f t="shared" si="38"/>
        <v>4950</v>
      </c>
      <c r="T108" s="125">
        <f t="shared" si="39"/>
        <v>0</v>
      </c>
    </row>
    <row r="109" spans="1:20">
      <c r="C109" t="s">
        <v>421</v>
      </c>
      <c r="D109">
        <v>79336</v>
      </c>
      <c r="E109">
        <v>2010</v>
      </c>
      <c r="F109">
        <v>12</v>
      </c>
      <c r="G109" s="26">
        <v>0</v>
      </c>
      <c r="I109" t="s">
        <v>78</v>
      </c>
      <c r="J109">
        <v>5</v>
      </c>
      <c r="K109">
        <f t="shared" si="31"/>
        <v>2015</v>
      </c>
      <c r="L109" s="4">
        <f t="shared" si="32"/>
        <v>2016</v>
      </c>
      <c r="M109" s="25">
        <f>'Orig OTHER EQUIP 2183'!P114</f>
        <v>26323.898000000001</v>
      </c>
      <c r="N109" s="25">
        <f t="shared" si="33"/>
        <v>26323.898000000001</v>
      </c>
      <c r="O109" s="25">
        <f t="shared" si="34"/>
        <v>438.73163333333332</v>
      </c>
      <c r="P109" s="25">
        <f t="shared" si="35"/>
        <v>5264.7795999999998</v>
      </c>
      <c r="Q109" s="29">
        <f t="shared" si="36"/>
        <v>0</v>
      </c>
      <c r="R109" s="25">
        <f t="shared" si="37"/>
        <v>26323.898000000001</v>
      </c>
      <c r="S109" s="29">
        <f t="shared" si="38"/>
        <v>26323.898000000001</v>
      </c>
      <c r="T109" s="25">
        <f t="shared" si="39"/>
        <v>0</v>
      </c>
    </row>
    <row r="110" spans="1:20" s="121" customFormat="1">
      <c r="A110" s="116"/>
      <c r="B110" s="116"/>
      <c r="C110" s="116" t="s">
        <v>708</v>
      </c>
      <c r="D110" s="116"/>
      <c r="E110" s="116">
        <v>2019</v>
      </c>
      <c r="F110" s="116">
        <v>8</v>
      </c>
      <c r="G110" s="118">
        <v>0</v>
      </c>
      <c r="H110" s="116"/>
      <c r="I110" s="116" t="s">
        <v>78</v>
      </c>
      <c r="J110" s="116">
        <v>3</v>
      </c>
      <c r="K110" s="116">
        <f>E110+J110</f>
        <v>2022</v>
      </c>
      <c r="L110" s="124">
        <f t="shared" si="32"/>
        <v>2022.6666666666667</v>
      </c>
      <c r="M110" s="125">
        <f>'Orig OTHER EQUIP 2183'!N114-'OTHER EQUIP 2183'!M109</f>
        <v>12965.502</v>
      </c>
      <c r="N110" s="125">
        <f t="shared" si="33"/>
        <v>12965.502</v>
      </c>
      <c r="O110" s="125">
        <f t="shared" si="34"/>
        <v>360.15283333333332</v>
      </c>
      <c r="P110" s="125">
        <f t="shared" si="35"/>
        <v>4321.8339999999998</v>
      </c>
      <c r="Q110" s="29">
        <f t="shared" si="36"/>
        <v>0</v>
      </c>
      <c r="R110" s="125">
        <f t="shared" si="37"/>
        <v>12965.502</v>
      </c>
      <c r="S110" s="29">
        <f t="shared" si="38"/>
        <v>12965.502</v>
      </c>
      <c r="T110" s="125">
        <f t="shared" si="39"/>
        <v>0</v>
      </c>
    </row>
    <row r="111" spans="1:20">
      <c r="A111" t="s">
        <v>556</v>
      </c>
      <c r="B111">
        <v>6047</v>
      </c>
      <c r="C111" t="s">
        <v>555</v>
      </c>
      <c r="D111">
        <v>114290</v>
      </c>
      <c r="E111">
        <v>2011</v>
      </c>
      <c r="F111">
        <v>5</v>
      </c>
      <c r="G111" s="26">
        <v>0</v>
      </c>
      <c r="I111" t="s">
        <v>78</v>
      </c>
      <c r="J111">
        <v>5</v>
      </c>
      <c r="K111">
        <f t="shared" si="31"/>
        <v>2016</v>
      </c>
      <c r="L111" s="4">
        <f t="shared" si="32"/>
        <v>2016.4166666666667</v>
      </c>
      <c r="M111" s="25">
        <f>'Orig OTHER EQUIP 2183'!P115</f>
        <v>14948.4303</v>
      </c>
      <c r="N111" s="25">
        <f t="shared" si="33"/>
        <v>14948.4303</v>
      </c>
      <c r="O111" s="25">
        <f t="shared" si="34"/>
        <v>249.14050499999999</v>
      </c>
      <c r="P111" s="25">
        <f t="shared" si="35"/>
        <v>2989.68606</v>
      </c>
      <c r="Q111" s="29">
        <f t="shared" si="36"/>
        <v>0</v>
      </c>
      <c r="R111" s="25">
        <f t="shared" si="37"/>
        <v>14948.4303</v>
      </c>
      <c r="S111" s="29">
        <f t="shared" si="38"/>
        <v>14948.4303</v>
      </c>
      <c r="T111" s="25">
        <f t="shared" si="39"/>
        <v>0</v>
      </c>
    </row>
    <row r="112" spans="1:20" s="121" customFormat="1">
      <c r="A112" s="116"/>
      <c r="B112" s="116"/>
      <c r="C112" s="116" t="s">
        <v>709</v>
      </c>
      <c r="D112" s="116"/>
      <c r="E112" s="116">
        <v>2019</v>
      </c>
      <c r="F112" s="116">
        <v>8</v>
      </c>
      <c r="G112" s="118">
        <v>0</v>
      </c>
      <c r="H112" s="116"/>
      <c r="I112" s="116" t="s">
        <v>78</v>
      </c>
      <c r="J112" s="116">
        <v>3</v>
      </c>
      <c r="K112" s="116">
        <f>E112+J112</f>
        <v>2022</v>
      </c>
      <c r="L112" s="124">
        <f t="shared" si="32"/>
        <v>2022.6666666666667</v>
      </c>
      <c r="M112" s="125">
        <f>'Orig OTHER EQUIP 2183'!N115-'OTHER EQUIP 2183'!M111</f>
        <v>7362.6597000000002</v>
      </c>
      <c r="N112" s="125">
        <f t="shared" si="33"/>
        <v>7362.6597000000002</v>
      </c>
      <c r="O112" s="125">
        <f t="shared" si="34"/>
        <v>204.518325</v>
      </c>
      <c r="P112" s="125">
        <f t="shared" si="35"/>
        <v>2454.2199000000001</v>
      </c>
      <c r="Q112" s="29">
        <f t="shared" si="36"/>
        <v>0</v>
      </c>
      <c r="R112" s="125">
        <f t="shared" si="37"/>
        <v>7362.6597000000002</v>
      </c>
      <c r="S112" s="29">
        <f t="shared" si="38"/>
        <v>7362.6597000000002</v>
      </c>
      <c r="T112" s="125">
        <f t="shared" si="39"/>
        <v>0</v>
      </c>
    </row>
    <row r="113" spans="2:20">
      <c r="B113">
        <v>7699</v>
      </c>
      <c r="C113" t="s">
        <v>582</v>
      </c>
      <c r="D113">
        <v>128432</v>
      </c>
      <c r="E113">
        <v>2015</v>
      </c>
      <c r="F113">
        <v>12</v>
      </c>
      <c r="G113" s="26">
        <v>0</v>
      </c>
      <c r="I113" t="s">
        <v>78</v>
      </c>
      <c r="J113">
        <v>9</v>
      </c>
      <c r="K113">
        <f t="shared" si="31"/>
        <v>2024</v>
      </c>
      <c r="L113" s="4">
        <f t="shared" si="32"/>
        <v>2025</v>
      </c>
      <c r="M113" s="25">
        <v>11848.3</v>
      </c>
      <c r="N113" s="25">
        <f t="shared" si="33"/>
        <v>11848.3</v>
      </c>
      <c r="O113" s="25">
        <f t="shared" si="34"/>
        <v>109.70648148148148</v>
      </c>
      <c r="P113" s="25">
        <f t="shared" si="35"/>
        <v>1316.4777777777776</v>
      </c>
      <c r="Q113" s="29">
        <f t="shared" si="36"/>
        <v>1316.4777777777776</v>
      </c>
      <c r="R113" s="25">
        <f t="shared" si="37"/>
        <v>9763.8768518519501</v>
      </c>
      <c r="S113" s="29">
        <f t="shared" si="38"/>
        <v>11080.354629629728</v>
      </c>
      <c r="T113" s="25">
        <f t="shared" si="39"/>
        <v>767.94537037027112</v>
      </c>
    </row>
    <row r="114" spans="2:20">
      <c r="B114">
        <v>6056</v>
      </c>
      <c r="C114" t="s">
        <v>603</v>
      </c>
      <c r="D114" t="s">
        <v>604</v>
      </c>
      <c r="E114">
        <v>2016</v>
      </c>
      <c r="F114">
        <v>9</v>
      </c>
      <c r="G114" s="26">
        <v>0</v>
      </c>
      <c r="I114" t="s">
        <v>78</v>
      </c>
      <c r="J114">
        <v>4</v>
      </c>
      <c r="K114">
        <f t="shared" si="31"/>
        <v>2020</v>
      </c>
      <c r="L114" s="4">
        <f t="shared" si="32"/>
        <v>2020.75</v>
      </c>
      <c r="M114" s="25">
        <f>29202.25+2673.24</f>
        <v>31875.489999999998</v>
      </c>
      <c r="N114" s="25">
        <f t="shared" si="33"/>
        <v>31875.489999999998</v>
      </c>
      <c r="O114" s="25">
        <f t="shared" si="34"/>
        <v>664.07270833333325</v>
      </c>
      <c r="P114" s="25">
        <f t="shared" si="35"/>
        <v>7968.8724999999995</v>
      </c>
      <c r="Q114" s="29">
        <f t="shared" si="36"/>
        <v>0</v>
      </c>
      <c r="R114" s="25">
        <f t="shared" si="37"/>
        <v>31875.489999999998</v>
      </c>
      <c r="S114" s="29">
        <f t="shared" si="38"/>
        <v>31875.489999999998</v>
      </c>
      <c r="T114" s="25">
        <f t="shared" si="39"/>
        <v>0</v>
      </c>
    </row>
    <row r="115" spans="2:20">
      <c r="B115">
        <v>6058</v>
      </c>
      <c r="C115" t="s">
        <v>734</v>
      </c>
      <c r="D115" t="s">
        <v>787</v>
      </c>
      <c r="E115">
        <v>2018</v>
      </c>
      <c r="F115">
        <v>10</v>
      </c>
      <c r="G115" s="26">
        <v>0</v>
      </c>
      <c r="I115" t="s">
        <v>78</v>
      </c>
      <c r="J115">
        <v>5</v>
      </c>
      <c r="K115">
        <f t="shared" ref="K115:K121" si="40">E115+J115</f>
        <v>2023</v>
      </c>
      <c r="L115" s="4">
        <f t="shared" ref="L115:L121" si="41">+K115+(F115/12)</f>
        <v>2023.8333333333333</v>
      </c>
      <c r="M115" s="25">
        <f>30633.03+2798.55</f>
        <v>33431.58</v>
      </c>
      <c r="N115" s="25">
        <f t="shared" ref="N115:N120" si="42">M115-M115*G115</f>
        <v>33431.58</v>
      </c>
      <c r="O115" s="25">
        <f t="shared" ref="O115:O120" si="43">N115/J115/12</f>
        <v>557.1930000000001</v>
      </c>
      <c r="P115" s="25">
        <f t="shared" ref="P115:P120" si="44">+O115*12</f>
        <v>6686.3160000000007</v>
      </c>
      <c r="Q115" s="29">
        <f t="shared" si="36"/>
        <v>0</v>
      </c>
      <c r="R115" s="25">
        <f t="shared" si="37"/>
        <v>30645.615000001017</v>
      </c>
      <c r="S115" s="29">
        <f t="shared" si="38"/>
        <v>33431.58</v>
      </c>
      <c r="T115" s="25">
        <f t="shared" si="39"/>
        <v>0</v>
      </c>
    </row>
    <row r="116" spans="2:20">
      <c r="C116" t="s">
        <v>788</v>
      </c>
      <c r="D116">
        <v>204941</v>
      </c>
      <c r="E116">
        <v>2018</v>
      </c>
      <c r="F116">
        <v>10</v>
      </c>
      <c r="G116" s="26">
        <v>0</v>
      </c>
      <c r="I116" t="s">
        <v>78</v>
      </c>
      <c r="J116">
        <v>5</v>
      </c>
      <c r="K116">
        <f t="shared" si="40"/>
        <v>2023</v>
      </c>
      <c r="L116" s="4">
        <f t="shared" si="41"/>
        <v>2023.8333333333333</v>
      </c>
      <c r="M116" s="25">
        <v>519.47</v>
      </c>
      <c r="N116" s="25">
        <f t="shared" si="42"/>
        <v>519.47</v>
      </c>
      <c r="O116" s="25">
        <f t="shared" si="43"/>
        <v>8.6578333333333344</v>
      </c>
      <c r="P116" s="25">
        <f t="shared" si="44"/>
        <v>103.89400000000001</v>
      </c>
      <c r="Q116" s="29">
        <f t="shared" si="36"/>
        <v>0</v>
      </c>
      <c r="R116" s="25">
        <f t="shared" si="37"/>
        <v>476.18083333334909</v>
      </c>
      <c r="S116" s="29">
        <f t="shared" si="38"/>
        <v>519.47</v>
      </c>
      <c r="T116" s="25">
        <f t="shared" si="39"/>
        <v>0</v>
      </c>
    </row>
    <row r="117" spans="2:20">
      <c r="C117" t="s">
        <v>731</v>
      </c>
      <c r="D117">
        <v>205639</v>
      </c>
      <c r="E117">
        <v>2018</v>
      </c>
      <c r="F117">
        <v>11</v>
      </c>
      <c r="G117" s="26">
        <v>0</v>
      </c>
      <c r="I117" t="s">
        <v>78</v>
      </c>
      <c r="J117">
        <v>5</v>
      </c>
      <c r="K117">
        <f t="shared" si="40"/>
        <v>2023</v>
      </c>
      <c r="L117" s="4">
        <f t="shared" si="41"/>
        <v>2023.9166666666667</v>
      </c>
      <c r="M117" s="25">
        <v>796.28</v>
      </c>
      <c r="N117" s="25">
        <f t="shared" si="42"/>
        <v>796.28</v>
      </c>
      <c r="O117" s="25">
        <f t="shared" si="43"/>
        <v>13.271333333333333</v>
      </c>
      <c r="P117" s="25">
        <f t="shared" si="44"/>
        <v>159.256</v>
      </c>
      <c r="Q117" s="29">
        <f t="shared" si="36"/>
        <v>0</v>
      </c>
      <c r="R117" s="25">
        <f t="shared" si="37"/>
        <v>716.65199999999993</v>
      </c>
      <c r="S117" s="29">
        <f t="shared" si="38"/>
        <v>796.28</v>
      </c>
      <c r="T117" s="25">
        <f t="shared" si="39"/>
        <v>0</v>
      </c>
    </row>
    <row r="118" spans="2:20" s="47" customFormat="1" ht="15">
      <c r="C118" s="36" t="s">
        <v>792</v>
      </c>
      <c r="D118" s="37">
        <v>193628</v>
      </c>
      <c r="E118" s="47">
        <v>2018</v>
      </c>
      <c r="F118" s="47">
        <v>11</v>
      </c>
      <c r="G118" s="32">
        <v>0</v>
      </c>
      <c r="I118" s="47" t="s">
        <v>78</v>
      </c>
      <c r="J118" s="47">
        <v>3</v>
      </c>
      <c r="K118" s="47">
        <f t="shared" si="40"/>
        <v>2021</v>
      </c>
      <c r="L118" s="33">
        <f t="shared" si="41"/>
        <v>2021.9166666666667</v>
      </c>
      <c r="M118" s="34">
        <v>5500</v>
      </c>
      <c r="N118" s="35">
        <f t="shared" si="42"/>
        <v>5500</v>
      </c>
      <c r="O118" s="35">
        <f t="shared" si="43"/>
        <v>152.77777777777777</v>
      </c>
      <c r="P118" s="35">
        <f t="shared" si="44"/>
        <v>1833.3333333333333</v>
      </c>
      <c r="Q118" s="29">
        <f t="shared" si="36"/>
        <v>0</v>
      </c>
      <c r="R118" s="35">
        <f t="shared" si="37"/>
        <v>5500</v>
      </c>
      <c r="S118" s="29">
        <f t="shared" si="38"/>
        <v>5500</v>
      </c>
      <c r="T118" s="35">
        <f t="shared" si="39"/>
        <v>0</v>
      </c>
    </row>
    <row r="119" spans="2:20" s="47" customFormat="1" ht="15">
      <c r="B119" s="47">
        <v>6060</v>
      </c>
      <c r="C119" s="61" t="s">
        <v>830</v>
      </c>
      <c r="D119" s="37" t="s">
        <v>831</v>
      </c>
      <c r="E119" s="47">
        <v>2019</v>
      </c>
      <c r="F119" s="47">
        <v>9</v>
      </c>
      <c r="G119" s="32">
        <v>0</v>
      </c>
      <c r="I119" s="47" t="s">
        <v>78</v>
      </c>
      <c r="J119" s="47">
        <v>5</v>
      </c>
      <c r="K119" s="47">
        <f t="shared" si="40"/>
        <v>2024</v>
      </c>
      <c r="L119" s="33">
        <f t="shared" si="41"/>
        <v>2024.75</v>
      </c>
      <c r="M119" s="34">
        <f>24177.57+2471.54</f>
        <v>26649.11</v>
      </c>
      <c r="N119" s="35">
        <f t="shared" si="42"/>
        <v>26649.11</v>
      </c>
      <c r="O119" s="35">
        <f t="shared" si="43"/>
        <v>444.15183333333334</v>
      </c>
      <c r="P119" s="35">
        <f t="shared" si="44"/>
        <v>5329.8220000000001</v>
      </c>
      <c r="Q119" s="29">
        <f t="shared" si="36"/>
        <v>5329.8220000000001</v>
      </c>
      <c r="R119" s="35">
        <f t="shared" si="37"/>
        <v>19542.680666667071</v>
      </c>
      <c r="S119" s="29">
        <f t="shared" si="38"/>
        <v>24872.502666667071</v>
      </c>
      <c r="T119" s="35">
        <f t="shared" si="39"/>
        <v>1776.6073333329296</v>
      </c>
    </row>
    <row r="120" spans="2:20" s="47" customFormat="1" ht="15">
      <c r="B120" s="47">
        <v>6063</v>
      </c>
      <c r="C120" s="36" t="s">
        <v>845</v>
      </c>
      <c r="D120" s="47" t="s">
        <v>846</v>
      </c>
      <c r="E120" s="47">
        <v>2020</v>
      </c>
      <c r="F120" s="47">
        <v>5</v>
      </c>
      <c r="G120" s="32">
        <v>0</v>
      </c>
      <c r="I120" s="47" t="s">
        <v>78</v>
      </c>
      <c r="J120" s="47">
        <v>5</v>
      </c>
      <c r="K120" s="47">
        <f t="shared" si="40"/>
        <v>2025</v>
      </c>
      <c r="L120" s="33">
        <f t="shared" si="41"/>
        <v>2025.4166666666667</v>
      </c>
      <c r="M120" s="35">
        <f>2570.7+24681.4</f>
        <v>27252.100000000002</v>
      </c>
      <c r="N120" s="35">
        <f t="shared" si="42"/>
        <v>27252.100000000002</v>
      </c>
      <c r="O120" s="35">
        <f t="shared" si="43"/>
        <v>454.20166666666665</v>
      </c>
      <c r="P120" s="35">
        <f t="shared" si="44"/>
        <v>5450.42</v>
      </c>
      <c r="Q120" s="29">
        <f t="shared" si="36"/>
        <v>5450.42</v>
      </c>
      <c r="R120" s="35">
        <f t="shared" si="37"/>
        <v>16351.260000000002</v>
      </c>
      <c r="S120" s="29">
        <f t="shared" si="38"/>
        <v>21801.68</v>
      </c>
      <c r="T120" s="35">
        <f t="shared" si="39"/>
        <v>5450.4200000000019</v>
      </c>
    </row>
    <row r="121" spans="2:20" s="47" customFormat="1" ht="15">
      <c r="C121" s="36" t="s">
        <v>869</v>
      </c>
      <c r="D121" s="47">
        <v>240613</v>
      </c>
      <c r="E121" s="47">
        <v>2020</v>
      </c>
      <c r="F121" s="47">
        <v>10</v>
      </c>
      <c r="G121" s="32">
        <v>0</v>
      </c>
      <c r="I121" s="47" t="s">
        <v>78</v>
      </c>
      <c r="J121" s="47">
        <v>5</v>
      </c>
      <c r="K121" s="47">
        <f t="shared" si="40"/>
        <v>2025</v>
      </c>
      <c r="L121" s="33">
        <f t="shared" si="41"/>
        <v>2025.8333333333333</v>
      </c>
      <c r="M121" s="35">
        <v>99074.29</v>
      </c>
      <c r="N121" s="35">
        <f>M121-M121*G121</f>
        <v>99074.29</v>
      </c>
      <c r="O121" s="35">
        <f>N121/J121/12</f>
        <v>1651.2381666666668</v>
      </c>
      <c r="P121" s="35">
        <f>+O121*12</f>
        <v>19814.858</v>
      </c>
      <c r="Q121" s="29">
        <f t="shared" si="36"/>
        <v>19814.858</v>
      </c>
      <c r="R121" s="35">
        <f t="shared" si="37"/>
        <v>51188.383166669664</v>
      </c>
      <c r="S121" s="29">
        <f t="shared" si="38"/>
        <v>71003.241166669672</v>
      </c>
      <c r="T121" s="35">
        <f t="shared" si="39"/>
        <v>28071.048833330322</v>
      </c>
    </row>
    <row r="122" spans="2:20" s="47" customFormat="1" ht="15">
      <c r="C122" s="36" t="s">
        <v>870</v>
      </c>
      <c r="D122" s="47" t="s">
        <v>871</v>
      </c>
      <c r="E122" s="47">
        <v>2020</v>
      </c>
      <c r="F122" s="47">
        <v>10</v>
      </c>
      <c r="G122" s="32">
        <v>0</v>
      </c>
      <c r="I122" s="47" t="s">
        <v>78</v>
      </c>
      <c r="J122" s="47">
        <v>5</v>
      </c>
      <c r="K122" s="47">
        <f>E122+J122</f>
        <v>2025</v>
      </c>
      <c r="L122" s="33">
        <f>+K122+(F122/12)</f>
        <v>2025.8333333333333</v>
      </c>
      <c r="M122" s="35">
        <v>1148.7</v>
      </c>
      <c r="N122" s="35">
        <f>M122-M122*G122</f>
        <v>1148.7</v>
      </c>
      <c r="O122" s="35">
        <f>N122/J122/12</f>
        <v>19.145</v>
      </c>
      <c r="P122" s="35">
        <f>+O122*12</f>
        <v>229.74</v>
      </c>
      <c r="Q122" s="29">
        <f t="shared" si="36"/>
        <v>229.74</v>
      </c>
      <c r="R122" s="35">
        <f t="shared" si="37"/>
        <v>593.49500000003491</v>
      </c>
      <c r="S122" s="29">
        <f t="shared" si="38"/>
        <v>823.23500000003492</v>
      </c>
      <c r="T122" s="35">
        <f t="shared" si="39"/>
        <v>325.46499999996513</v>
      </c>
    </row>
    <row r="123" spans="2:20" s="47" customFormat="1" ht="15">
      <c r="C123" s="36" t="s">
        <v>872</v>
      </c>
      <c r="D123" s="47">
        <v>244706</v>
      </c>
      <c r="E123" s="47">
        <v>2020</v>
      </c>
      <c r="F123" s="47">
        <v>12</v>
      </c>
      <c r="G123" s="32">
        <v>0</v>
      </c>
      <c r="I123" s="47" t="s">
        <v>78</v>
      </c>
      <c r="J123" s="47">
        <v>5</v>
      </c>
      <c r="K123" s="47">
        <f>E123+J123</f>
        <v>2025</v>
      </c>
      <c r="L123" s="33">
        <f>+K123+(F123/12)</f>
        <v>2026</v>
      </c>
      <c r="M123" s="35">
        <v>675.01</v>
      </c>
      <c r="N123" s="35">
        <f>M123-M123*G123</f>
        <v>675.01</v>
      </c>
      <c r="O123" s="35">
        <f>N123/J123/12</f>
        <v>11.250166666666667</v>
      </c>
      <c r="P123" s="35">
        <f>+O123*12</f>
        <v>135.00200000000001</v>
      </c>
      <c r="Q123" s="29">
        <f t="shared" si="36"/>
        <v>135.00200000000001</v>
      </c>
      <c r="R123" s="35">
        <f t="shared" si="37"/>
        <v>326.25483333334353</v>
      </c>
      <c r="S123" s="29">
        <f t="shared" si="38"/>
        <v>461.25683333334354</v>
      </c>
      <c r="T123" s="35">
        <f t="shared" si="39"/>
        <v>213.75316666665645</v>
      </c>
    </row>
    <row r="124" spans="2:20" ht="15">
      <c r="C124" s="50"/>
      <c r="E124" s="47"/>
      <c r="F124" s="47"/>
      <c r="G124" s="26"/>
      <c r="H124" s="47"/>
      <c r="I124" s="47"/>
      <c r="J124" s="47"/>
      <c r="K124" s="47"/>
      <c r="L124" s="33"/>
      <c r="M124" s="25"/>
      <c r="N124" s="35"/>
      <c r="O124" s="35"/>
      <c r="P124" s="35"/>
      <c r="Q124" s="35"/>
      <c r="R124" s="35"/>
      <c r="S124" s="35"/>
      <c r="T124" s="35"/>
    </row>
    <row r="125" spans="2:20">
      <c r="C125" s="2" t="s">
        <v>2</v>
      </c>
      <c r="G125" s="26"/>
      <c r="M125" s="89">
        <f t="shared" ref="M125:T125" si="45">SUM(M107:M124)</f>
        <v>315370.82</v>
      </c>
      <c r="N125" s="89">
        <f t="shared" si="45"/>
        <v>315370.82</v>
      </c>
      <c r="O125" s="89">
        <f t="shared" si="45"/>
        <v>5643.2092642592597</v>
      </c>
      <c r="P125" s="89">
        <f t="shared" si="45"/>
        <v>67718.511171111109</v>
      </c>
      <c r="Q125" s="89">
        <f t="shared" si="45"/>
        <v>32276.319777777779</v>
      </c>
      <c r="R125" s="89">
        <f t="shared" si="45"/>
        <v>243580.3783518564</v>
      </c>
      <c r="S125" s="89">
        <f t="shared" si="45"/>
        <v>278765.58029629989</v>
      </c>
      <c r="T125" s="89">
        <f t="shared" si="45"/>
        <v>36605.239703700143</v>
      </c>
    </row>
    <row r="126" spans="2:20">
      <c r="C126" t="s">
        <v>316</v>
      </c>
      <c r="G126" s="26"/>
    </row>
    <row r="127" spans="2:20">
      <c r="C127" t="s">
        <v>316</v>
      </c>
      <c r="G127" s="26"/>
    </row>
    <row r="128" spans="2:20">
      <c r="C128" s="2" t="s">
        <v>409</v>
      </c>
      <c r="G128" s="26"/>
    </row>
    <row r="129" spans="2:21">
      <c r="C129" t="s">
        <v>418</v>
      </c>
      <c r="D129">
        <v>78978</v>
      </c>
      <c r="E129">
        <v>2010</v>
      </c>
      <c r="F129">
        <v>12</v>
      </c>
      <c r="G129" s="26">
        <v>0</v>
      </c>
      <c r="I129" t="s">
        <v>78</v>
      </c>
      <c r="J129">
        <v>5</v>
      </c>
      <c r="K129">
        <f t="shared" ref="K129:K141" si="46">E129+J129</f>
        <v>2015</v>
      </c>
      <c r="L129" s="4">
        <f t="shared" ref="L129:L151" si="47">+K129+(F129/12)</f>
        <v>2016</v>
      </c>
      <c r="M129" s="25">
        <v>92323.91</v>
      </c>
      <c r="N129" s="25">
        <f t="shared" ref="N129:N151" si="48">M129-M129*G129</f>
        <v>92323.91</v>
      </c>
      <c r="O129" s="25">
        <f t="shared" ref="O129:O151" si="49">N129/J129/12</f>
        <v>1538.7318333333333</v>
      </c>
      <c r="P129" s="25">
        <f t="shared" ref="P129:P151" si="50">+O129*12</f>
        <v>18464.781999999999</v>
      </c>
      <c r="Q129" s="29">
        <f t="shared" ref="Q129:Q151" si="51">IF(L129&lt;=$N$6,0,P129)</f>
        <v>0</v>
      </c>
      <c r="R129" s="25">
        <f t="shared" ref="R129:R151" si="52">+IF($L129&lt;=$N$7,$M129,IF(($E129+($F129/12))&gt;=$N$7,0,((($N129-((($L129-$N$7)*12)*$O129))))))</f>
        <v>92323.91</v>
      </c>
      <c r="S129" s="29">
        <f t="shared" ref="S129:S151" si="53">IF(Q129=0,N129,R129+Q129)</f>
        <v>92323.91</v>
      </c>
      <c r="T129" s="25">
        <f t="shared" ref="T129:T151" si="54">+M129-S129</f>
        <v>0</v>
      </c>
    </row>
    <row r="130" spans="2:21">
      <c r="B130">
        <v>26</v>
      </c>
      <c r="C130" t="s">
        <v>419</v>
      </c>
      <c r="D130">
        <v>79676</v>
      </c>
      <c r="E130">
        <v>2010</v>
      </c>
      <c r="F130">
        <v>12</v>
      </c>
      <c r="G130" s="26">
        <v>0</v>
      </c>
      <c r="I130" t="s">
        <v>78</v>
      </c>
      <c r="J130">
        <v>5</v>
      </c>
      <c r="K130">
        <f t="shared" si="46"/>
        <v>2015</v>
      </c>
      <c r="L130" s="4">
        <f t="shared" si="47"/>
        <v>2016</v>
      </c>
      <c r="M130" s="25">
        <v>6347.25</v>
      </c>
      <c r="N130" s="25">
        <f t="shared" si="48"/>
        <v>6347.25</v>
      </c>
      <c r="O130" s="25">
        <f t="shared" si="49"/>
        <v>105.78750000000001</v>
      </c>
      <c r="P130" s="25">
        <f t="shared" si="50"/>
        <v>1269.45</v>
      </c>
      <c r="Q130" s="29">
        <f t="shared" si="51"/>
        <v>0</v>
      </c>
      <c r="R130" s="25">
        <f t="shared" si="52"/>
        <v>6347.25</v>
      </c>
      <c r="S130" s="29">
        <f t="shared" si="53"/>
        <v>6347.25</v>
      </c>
      <c r="T130" s="25">
        <f t="shared" si="54"/>
        <v>0</v>
      </c>
    </row>
    <row r="131" spans="2:21">
      <c r="C131" t="s">
        <v>422</v>
      </c>
      <c r="D131">
        <v>77561</v>
      </c>
      <c r="E131">
        <v>2010</v>
      </c>
      <c r="F131">
        <v>10</v>
      </c>
      <c r="G131" s="26">
        <v>0</v>
      </c>
      <c r="I131" t="s">
        <v>78</v>
      </c>
      <c r="J131">
        <v>5</v>
      </c>
      <c r="K131">
        <f t="shared" si="46"/>
        <v>2015</v>
      </c>
      <c r="L131" s="4">
        <f t="shared" si="47"/>
        <v>2015.8333333333333</v>
      </c>
      <c r="M131" s="25">
        <v>20775</v>
      </c>
      <c r="N131" s="25">
        <f t="shared" si="48"/>
        <v>20775</v>
      </c>
      <c r="O131" s="25">
        <f t="shared" si="49"/>
        <v>346.25</v>
      </c>
      <c r="P131" s="25">
        <f t="shared" si="50"/>
        <v>4155</v>
      </c>
      <c r="Q131" s="29">
        <f t="shared" si="51"/>
        <v>0</v>
      </c>
      <c r="R131" s="25">
        <f t="shared" si="52"/>
        <v>20775</v>
      </c>
      <c r="S131" s="29">
        <f t="shared" si="53"/>
        <v>20775</v>
      </c>
      <c r="T131" s="25">
        <f t="shared" si="54"/>
        <v>0</v>
      </c>
    </row>
    <row r="132" spans="2:21">
      <c r="B132">
        <v>3</v>
      </c>
      <c r="C132" t="s">
        <v>427</v>
      </c>
      <c r="D132">
        <v>80385</v>
      </c>
      <c r="E132">
        <v>2011</v>
      </c>
      <c r="F132">
        <v>3</v>
      </c>
      <c r="G132" s="26">
        <v>0</v>
      </c>
      <c r="I132" t="s">
        <v>78</v>
      </c>
      <c r="J132">
        <v>5</v>
      </c>
      <c r="K132">
        <f t="shared" si="46"/>
        <v>2016</v>
      </c>
      <c r="L132" s="4">
        <f t="shared" si="47"/>
        <v>2016.25</v>
      </c>
      <c r="M132" s="25">
        <v>2625</v>
      </c>
      <c r="N132" s="25">
        <f t="shared" si="48"/>
        <v>2625</v>
      </c>
      <c r="O132" s="25">
        <f t="shared" si="49"/>
        <v>43.75</v>
      </c>
      <c r="P132" s="25">
        <f t="shared" si="50"/>
        <v>525</v>
      </c>
      <c r="Q132" s="29">
        <f t="shared" si="51"/>
        <v>0</v>
      </c>
      <c r="R132" s="25">
        <f t="shared" si="52"/>
        <v>2625</v>
      </c>
      <c r="S132" s="29">
        <f t="shared" si="53"/>
        <v>2625</v>
      </c>
      <c r="T132" s="25">
        <f t="shared" si="54"/>
        <v>0</v>
      </c>
    </row>
    <row r="133" spans="2:21">
      <c r="B133">
        <v>2</v>
      </c>
      <c r="C133" t="s">
        <v>427</v>
      </c>
      <c r="D133">
        <v>85655</v>
      </c>
      <c r="E133">
        <v>2011</v>
      </c>
      <c r="F133">
        <v>8</v>
      </c>
      <c r="G133" s="7">
        <v>0</v>
      </c>
      <c r="I133" t="s">
        <v>78</v>
      </c>
      <c r="J133">
        <v>5</v>
      </c>
      <c r="K133">
        <f t="shared" si="46"/>
        <v>2016</v>
      </c>
      <c r="L133" s="4">
        <f t="shared" si="47"/>
        <v>2016.6666666666667</v>
      </c>
      <c r="M133" s="1">
        <v>1750</v>
      </c>
      <c r="N133" s="1">
        <f t="shared" si="48"/>
        <v>1750</v>
      </c>
      <c r="O133" s="1">
        <f t="shared" si="49"/>
        <v>29.166666666666668</v>
      </c>
      <c r="P133" s="1">
        <f t="shared" si="50"/>
        <v>350</v>
      </c>
      <c r="Q133" s="29">
        <f t="shared" si="51"/>
        <v>0</v>
      </c>
      <c r="R133" s="1">
        <f t="shared" si="52"/>
        <v>1750</v>
      </c>
      <c r="S133" s="29">
        <f t="shared" si="53"/>
        <v>1750</v>
      </c>
      <c r="T133" s="1">
        <f t="shared" si="54"/>
        <v>0</v>
      </c>
    </row>
    <row r="134" spans="2:21">
      <c r="B134">
        <v>3</v>
      </c>
      <c r="C134" t="s">
        <v>427</v>
      </c>
      <c r="D134">
        <v>88651</v>
      </c>
      <c r="E134">
        <v>2011</v>
      </c>
      <c r="F134">
        <v>12</v>
      </c>
      <c r="G134" s="7">
        <v>0</v>
      </c>
      <c r="I134" t="s">
        <v>78</v>
      </c>
      <c r="J134">
        <v>5</v>
      </c>
      <c r="K134">
        <f>E134+J134</f>
        <v>2016</v>
      </c>
      <c r="L134" s="4">
        <f t="shared" si="47"/>
        <v>2017</v>
      </c>
      <c r="M134" s="1">
        <v>2625</v>
      </c>
      <c r="N134" s="1">
        <f t="shared" si="48"/>
        <v>2625</v>
      </c>
      <c r="O134" s="1">
        <f t="shared" si="49"/>
        <v>43.75</v>
      </c>
      <c r="P134" s="1">
        <f t="shared" si="50"/>
        <v>525</v>
      </c>
      <c r="Q134" s="29">
        <f t="shared" si="51"/>
        <v>0</v>
      </c>
      <c r="R134" s="1">
        <f t="shared" si="52"/>
        <v>2625</v>
      </c>
      <c r="S134" s="29">
        <f t="shared" si="53"/>
        <v>2625</v>
      </c>
      <c r="T134" s="1">
        <f t="shared" si="54"/>
        <v>0</v>
      </c>
    </row>
    <row r="135" spans="2:21">
      <c r="B135">
        <v>12</v>
      </c>
      <c r="C135" t="s">
        <v>434</v>
      </c>
      <c r="D135" t="s">
        <v>435</v>
      </c>
      <c r="E135">
        <v>2011</v>
      </c>
      <c r="F135">
        <v>12</v>
      </c>
      <c r="G135" s="7">
        <v>0</v>
      </c>
      <c r="I135" t="s">
        <v>78</v>
      </c>
      <c r="J135">
        <v>5</v>
      </c>
      <c r="K135">
        <f t="shared" si="46"/>
        <v>2016</v>
      </c>
      <c r="L135" s="4">
        <f t="shared" si="47"/>
        <v>2017</v>
      </c>
      <c r="M135" s="1">
        <f>(487.65*12)+61493.04</f>
        <v>67344.84</v>
      </c>
      <c r="N135" s="1">
        <f t="shared" si="48"/>
        <v>67344.84</v>
      </c>
      <c r="O135" s="1">
        <f t="shared" si="49"/>
        <v>1122.414</v>
      </c>
      <c r="P135" s="1">
        <f t="shared" si="50"/>
        <v>13468.968000000001</v>
      </c>
      <c r="Q135" s="29">
        <f t="shared" si="51"/>
        <v>0</v>
      </c>
      <c r="R135" s="1">
        <f t="shared" si="52"/>
        <v>67344.84</v>
      </c>
      <c r="S135" s="29">
        <f t="shared" si="53"/>
        <v>67344.84</v>
      </c>
      <c r="T135" s="1">
        <f t="shared" si="54"/>
        <v>0</v>
      </c>
    </row>
    <row r="136" spans="2:21">
      <c r="C136" t="s">
        <v>442</v>
      </c>
      <c r="D136">
        <v>90470</v>
      </c>
      <c r="E136">
        <v>2012</v>
      </c>
      <c r="F136">
        <v>1</v>
      </c>
      <c r="G136" s="7">
        <v>0</v>
      </c>
      <c r="I136" t="s">
        <v>78</v>
      </c>
      <c r="J136">
        <v>5</v>
      </c>
      <c r="K136">
        <f t="shared" si="46"/>
        <v>2017</v>
      </c>
      <c r="L136" s="4">
        <f t="shared" si="47"/>
        <v>2017.0833333333333</v>
      </c>
      <c r="M136" s="1">
        <v>561.34</v>
      </c>
      <c r="N136" s="1">
        <f t="shared" si="48"/>
        <v>561.34</v>
      </c>
      <c r="O136" s="1">
        <f t="shared" si="49"/>
        <v>9.3556666666666661</v>
      </c>
      <c r="P136" s="1">
        <f t="shared" si="50"/>
        <v>112.268</v>
      </c>
      <c r="Q136" s="29">
        <f t="shared" si="51"/>
        <v>0</v>
      </c>
      <c r="R136" s="1">
        <f t="shared" si="52"/>
        <v>561.34</v>
      </c>
      <c r="S136" s="29">
        <f t="shared" si="53"/>
        <v>561.34</v>
      </c>
      <c r="T136" s="1">
        <f t="shared" si="54"/>
        <v>0</v>
      </c>
    </row>
    <row r="137" spans="2:21">
      <c r="B137">
        <v>3</v>
      </c>
      <c r="C137" t="s">
        <v>471</v>
      </c>
      <c r="D137">
        <v>98282</v>
      </c>
      <c r="E137">
        <v>2012</v>
      </c>
      <c r="F137">
        <v>10</v>
      </c>
      <c r="G137" s="7">
        <v>0</v>
      </c>
      <c r="I137" t="s">
        <v>78</v>
      </c>
      <c r="J137">
        <v>3</v>
      </c>
      <c r="K137">
        <f t="shared" si="46"/>
        <v>2015</v>
      </c>
      <c r="L137" s="4">
        <f t="shared" si="47"/>
        <v>2015.8333333333333</v>
      </c>
      <c r="M137" s="1">
        <v>2625</v>
      </c>
      <c r="N137" s="1">
        <f t="shared" si="48"/>
        <v>2625</v>
      </c>
      <c r="O137" s="1">
        <f t="shared" si="49"/>
        <v>72.916666666666671</v>
      </c>
      <c r="P137" s="1">
        <f t="shared" si="50"/>
        <v>875</v>
      </c>
      <c r="Q137" s="29">
        <f t="shared" si="51"/>
        <v>0</v>
      </c>
      <c r="R137" s="1">
        <f t="shared" si="52"/>
        <v>2625</v>
      </c>
      <c r="S137" s="29">
        <f t="shared" si="53"/>
        <v>2625</v>
      </c>
      <c r="T137" s="1">
        <f t="shared" si="54"/>
        <v>0</v>
      </c>
    </row>
    <row r="138" spans="2:21">
      <c r="C138" t="s">
        <v>472</v>
      </c>
      <c r="D138">
        <v>99673</v>
      </c>
      <c r="E138">
        <v>2012</v>
      </c>
      <c r="F138">
        <v>12</v>
      </c>
      <c r="G138" s="7">
        <v>0</v>
      </c>
      <c r="I138" t="s">
        <v>78</v>
      </c>
      <c r="J138">
        <v>10</v>
      </c>
      <c r="K138">
        <f t="shared" si="46"/>
        <v>2022</v>
      </c>
      <c r="L138" s="4">
        <f t="shared" si="47"/>
        <v>2023</v>
      </c>
      <c r="M138" s="1">
        <v>9416</v>
      </c>
      <c r="N138" s="1">
        <f t="shared" si="48"/>
        <v>9416</v>
      </c>
      <c r="O138" s="1">
        <f t="shared" si="49"/>
        <v>78.466666666666669</v>
      </c>
      <c r="P138" s="1">
        <f t="shared" si="50"/>
        <v>941.6</v>
      </c>
      <c r="Q138" s="29">
        <f t="shared" si="51"/>
        <v>0</v>
      </c>
      <c r="R138" s="1">
        <f t="shared" si="52"/>
        <v>9416</v>
      </c>
      <c r="S138" s="29">
        <f t="shared" si="53"/>
        <v>9416</v>
      </c>
      <c r="T138" s="1">
        <f t="shared" si="54"/>
        <v>0</v>
      </c>
      <c r="U138" s="87"/>
    </row>
    <row r="139" spans="2:21">
      <c r="C139" t="s">
        <v>486</v>
      </c>
      <c r="D139">
        <v>108250</v>
      </c>
      <c r="E139">
        <v>2013</v>
      </c>
      <c r="F139">
        <v>10</v>
      </c>
      <c r="G139" s="7">
        <v>0</v>
      </c>
      <c r="I139" t="s">
        <v>78</v>
      </c>
      <c r="J139">
        <v>3</v>
      </c>
      <c r="K139">
        <f t="shared" si="46"/>
        <v>2016</v>
      </c>
      <c r="L139" s="4">
        <f t="shared" si="47"/>
        <v>2016.8333333333333</v>
      </c>
      <c r="M139" s="1">
        <v>743.47</v>
      </c>
      <c r="N139" s="1">
        <f t="shared" si="48"/>
        <v>743.47</v>
      </c>
      <c r="O139" s="1">
        <f t="shared" si="49"/>
        <v>20.651944444444446</v>
      </c>
      <c r="P139" s="1">
        <f t="shared" si="50"/>
        <v>247.82333333333335</v>
      </c>
      <c r="Q139" s="29">
        <f t="shared" si="51"/>
        <v>0</v>
      </c>
      <c r="R139" s="1">
        <f t="shared" si="52"/>
        <v>743.47</v>
      </c>
      <c r="S139" s="29">
        <f t="shared" si="53"/>
        <v>743.47</v>
      </c>
      <c r="T139" s="1">
        <f t="shared" si="54"/>
        <v>0</v>
      </c>
    </row>
    <row r="140" spans="2:21">
      <c r="B140">
        <v>3</v>
      </c>
      <c r="C140" t="s">
        <v>489</v>
      </c>
      <c r="D140">
        <v>109582</v>
      </c>
      <c r="E140">
        <v>2013</v>
      </c>
      <c r="F140">
        <v>12</v>
      </c>
      <c r="G140" s="7">
        <v>0</v>
      </c>
      <c r="I140" t="s">
        <v>78</v>
      </c>
      <c r="J140">
        <v>3</v>
      </c>
      <c r="K140">
        <f t="shared" si="46"/>
        <v>2016</v>
      </c>
      <c r="L140" s="4">
        <f t="shared" si="47"/>
        <v>2017</v>
      </c>
      <c r="M140" s="1">
        <v>134875</v>
      </c>
      <c r="N140" s="1">
        <f t="shared" si="48"/>
        <v>134875</v>
      </c>
      <c r="O140" s="1">
        <f t="shared" si="49"/>
        <v>3746.5277777777778</v>
      </c>
      <c r="P140" s="1">
        <f t="shared" si="50"/>
        <v>44958.333333333336</v>
      </c>
      <c r="Q140" s="29">
        <f t="shared" si="51"/>
        <v>0</v>
      </c>
      <c r="R140" s="1">
        <f t="shared" si="52"/>
        <v>134875</v>
      </c>
      <c r="S140" s="29">
        <f t="shared" si="53"/>
        <v>134875</v>
      </c>
      <c r="T140" s="1">
        <f t="shared" si="54"/>
        <v>0</v>
      </c>
    </row>
    <row r="141" spans="2:21">
      <c r="C141" t="s">
        <v>502</v>
      </c>
      <c r="D141">
        <v>113272</v>
      </c>
      <c r="E141">
        <v>2014</v>
      </c>
      <c r="F141">
        <v>4</v>
      </c>
      <c r="G141" s="7">
        <v>0</v>
      </c>
      <c r="I141" t="s">
        <v>78</v>
      </c>
      <c r="J141">
        <v>3</v>
      </c>
      <c r="K141">
        <f t="shared" si="46"/>
        <v>2017</v>
      </c>
      <c r="L141" s="4">
        <f t="shared" si="47"/>
        <v>2017.3333333333333</v>
      </c>
      <c r="M141" s="1">
        <v>656.58</v>
      </c>
      <c r="N141" s="1">
        <f t="shared" si="48"/>
        <v>656.58</v>
      </c>
      <c r="O141" s="1">
        <f t="shared" si="49"/>
        <v>18.238333333333333</v>
      </c>
      <c r="P141" s="1">
        <f t="shared" si="50"/>
        <v>218.86</v>
      </c>
      <c r="Q141" s="29">
        <f t="shared" si="51"/>
        <v>0</v>
      </c>
      <c r="R141" s="1">
        <f t="shared" si="52"/>
        <v>656.58</v>
      </c>
      <c r="S141" s="29">
        <f t="shared" si="53"/>
        <v>656.58</v>
      </c>
      <c r="T141" s="1">
        <f t="shared" si="54"/>
        <v>0</v>
      </c>
    </row>
    <row r="142" spans="2:21">
      <c r="C142" t="s">
        <v>572</v>
      </c>
      <c r="D142">
        <v>121103</v>
      </c>
      <c r="E142">
        <v>2015</v>
      </c>
      <c r="F142">
        <v>3</v>
      </c>
      <c r="G142" s="7">
        <v>0</v>
      </c>
      <c r="I142" t="s">
        <v>78</v>
      </c>
      <c r="J142">
        <v>3</v>
      </c>
      <c r="K142">
        <f t="shared" ref="K142:K151" si="55">E142+J142</f>
        <v>2018</v>
      </c>
      <c r="L142" s="4">
        <f t="shared" si="47"/>
        <v>2018.25</v>
      </c>
      <c r="M142" s="1">
        <v>1077.07</v>
      </c>
      <c r="N142" s="1">
        <f t="shared" si="48"/>
        <v>1077.07</v>
      </c>
      <c r="O142" s="1">
        <f t="shared" si="49"/>
        <v>29.918611111111108</v>
      </c>
      <c r="P142" s="1">
        <f t="shared" si="50"/>
        <v>359.02333333333331</v>
      </c>
      <c r="Q142" s="29">
        <f t="shared" si="51"/>
        <v>0</v>
      </c>
      <c r="R142" s="1">
        <f t="shared" si="52"/>
        <v>1077.07</v>
      </c>
      <c r="S142" s="29">
        <f t="shared" si="53"/>
        <v>1077.07</v>
      </c>
      <c r="T142" s="1">
        <f t="shared" si="54"/>
        <v>0</v>
      </c>
    </row>
    <row r="143" spans="2:21">
      <c r="C143" t="s">
        <v>573</v>
      </c>
      <c r="D143">
        <v>121057</v>
      </c>
      <c r="E143">
        <v>2015</v>
      </c>
      <c r="F143">
        <v>3</v>
      </c>
      <c r="G143" s="7">
        <v>0</v>
      </c>
      <c r="I143" t="s">
        <v>78</v>
      </c>
      <c r="J143">
        <v>3</v>
      </c>
      <c r="K143">
        <f t="shared" si="55"/>
        <v>2018</v>
      </c>
      <c r="L143" s="4">
        <f t="shared" si="47"/>
        <v>2018.25</v>
      </c>
      <c r="M143" s="1">
        <v>1088.46</v>
      </c>
      <c r="N143" s="1">
        <f t="shared" si="48"/>
        <v>1088.46</v>
      </c>
      <c r="O143" s="1">
        <f t="shared" si="49"/>
        <v>30.234999999999999</v>
      </c>
      <c r="P143" s="1">
        <f t="shared" si="50"/>
        <v>362.82</v>
      </c>
      <c r="Q143" s="29">
        <f t="shared" si="51"/>
        <v>0</v>
      </c>
      <c r="R143" s="1">
        <f t="shared" si="52"/>
        <v>1088.46</v>
      </c>
      <c r="S143" s="29">
        <f t="shared" si="53"/>
        <v>1088.46</v>
      </c>
      <c r="T143" s="1">
        <f t="shared" si="54"/>
        <v>0</v>
      </c>
    </row>
    <row r="144" spans="2:21">
      <c r="C144" t="s">
        <v>574</v>
      </c>
      <c r="D144">
        <v>121056</v>
      </c>
      <c r="E144">
        <v>2015</v>
      </c>
      <c r="F144">
        <v>3</v>
      </c>
      <c r="G144" s="7">
        <v>0</v>
      </c>
      <c r="I144" t="s">
        <v>78</v>
      </c>
      <c r="J144">
        <v>3</v>
      </c>
      <c r="K144">
        <f t="shared" si="55"/>
        <v>2018</v>
      </c>
      <c r="L144" s="4">
        <f t="shared" si="47"/>
        <v>2018.25</v>
      </c>
      <c r="M144" s="1">
        <v>2903.73</v>
      </c>
      <c r="N144" s="1">
        <f t="shared" si="48"/>
        <v>2903.73</v>
      </c>
      <c r="O144" s="1">
        <f t="shared" si="49"/>
        <v>80.659166666666664</v>
      </c>
      <c r="P144" s="1">
        <f t="shared" si="50"/>
        <v>967.91</v>
      </c>
      <c r="Q144" s="29">
        <f t="shared" si="51"/>
        <v>0</v>
      </c>
      <c r="R144" s="1">
        <f t="shared" si="52"/>
        <v>2903.73</v>
      </c>
      <c r="S144" s="29">
        <f t="shared" si="53"/>
        <v>2903.73</v>
      </c>
      <c r="T144" s="1">
        <f t="shared" si="54"/>
        <v>0</v>
      </c>
    </row>
    <row r="145" spans="2:20">
      <c r="B145">
        <v>17</v>
      </c>
      <c r="C145" t="s">
        <v>575</v>
      </c>
      <c r="D145">
        <v>121055</v>
      </c>
      <c r="E145">
        <v>2015</v>
      </c>
      <c r="F145">
        <v>3</v>
      </c>
      <c r="G145" s="7">
        <v>0</v>
      </c>
      <c r="I145" t="s">
        <v>78</v>
      </c>
      <c r="J145">
        <v>3</v>
      </c>
      <c r="K145">
        <f t="shared" si="55"/>
        <v>2018</v>
      </c>
      <c r="L145" s="4">
        <f t="shared" si="47"/>
        <v>2018.25</v>
      </c>
      <c r="M145" s="1">
        <v>6120.34</v>
      </c>
      <c r="N145" s="1">
        <f t="shared" si="48"/>
        <v>6120.34</v>
      </c>
      <c r="O145" s="1">
        <f t="shared" si="49"/>
        <v>170.00944444444445</v>
      </c>
      <c r="P145" s="1">
        <f t="shared" si="50"/>
        <v>2040.1133333333335</v>
      </c>
      <c r="Q145" s="29">
        <f t="shared" si="51"/>
        <v>0</v>
      </c>
      <c r="R145" s="1">
        <f t="shared" si="52"/>
        <v>6120.34</v>
      </c>
      <c r="S145" s="29">
        <f t="shared" si="53"/>
        <v>6120.34</v>
      </c>
      <c r="T145" s="1">
        <f t="shared" si="54"/>
        <v>0</v>
      </c>
    </row>
    <row r="146" spans="2:20">
      <c r="C146" t="s">
        <v>576</v>
      </c>
      <c r="D146">
        <v>120388</v>
      </c>
      <c r="E146">
        <v>2015</v>
      </c>
      <c r="F146">
        <v>2</v>
      </c>
      <c r="G146" s="7">
        <v>0</v>
      </c>
      <c r="I146" t="s">
        <v>78</v>
      </c>
      <c r="J146">
        <v>3</v>
      </c>
      <c r="K146">
        <f t="shared" si="55"/>
        <v>2018</v>
      </c>
      <c r="L146" s="4">
        <f t="shared" si="47"/>
        <v>2018.1666666666667</v>
      </c>
      <c r="M146" s="1">
        <v>1090.0999999999999</v>
      </c>
      <c r="N146" s="1">
        <f t="shared" si="48"/>
        <v>1090.0999999999999</v>
      </c>
      <c r="O146" s="1">
        <f t="shared" si="49"/>
        <v>30.280555555555551</v>
      </c>
      <c r="P146" s="1">
        <f t="shared" si="50"/>
        <v>363.36666666666662</v>
      </c>
      <c r="Q146" s="29">
        <f t="shared" si="51"/>
        <v>0</v>
      </c>
      <c r="R146" s="1">
        <f t="shared" si="52"/>
        <v>1090.0999999999999</v>
      </c>
      <c r="S146" s="29">
        <f t="shared" si="53"/>
        <v>1090.0999999999999</v>
      </c>
      <c r="T146" s="1">
        <f t="shared" si="54"/>
        <v>0</v>
      </c>
    </row>
    <row r="147" spans="2:20">
      <c r="C147" t="s">
        <v>585</v>
      </c>
      <c r="D147">
        <v>128910</v>
      </c>
      <c r="E147">
        <v>2015</v>
      </c>
      <c r="F147">
        <v>12</v>
      </c>
      <c r="G147" s="7">
        <v>0</v>
      </c>
      <c r="I147" t="s">
        <v>78</v>
      </c>
      <c r="J147">
        <v>3</v>
      </c>
      <c r="K147">
        <f t="shared" si="55"/>
        <v>2018</v>
      </c>
      <c r="L147" s="4">
        <f t="shared" si="47"/>
        <v>2019</v>
      </c>
      <c r="M147" s="1">
        <v>1087.92</v>
      </c>
      <c r="N147" s="1">
        <f t="shared" si="48"/>
        <v>1087.92</v>
      </c>
      <c r="O147" s="1">
        <f t="shared" si="49"/>
        <v>30.220000000000002</v>
      </c>
      <c r="P147" s="1">
        <f t="shared" si="50"/>
        <v>362.64000000000004</v>
      </c>
      <c r="Q147" s="29">
        <f t="shared" si="51"/>
        <v>0</v>
      </c>
      <c r="R147" s="1">
        <f t="shared" si="52"/>
        <v>1087.92</v>
      </c>
      <c r="S147" s="29">
        <f t="shared" si="53"/>
        <v>1087.92</v>
      </c>
      <c r="T147" s="1">
        <f t="shared" si="54"/>
        <v>0</v>
      </c>
    </row>
    <row r="148" spans="2:20">
      <c r="C148" t="s">
        <v>594</v>
      </c>
      <c r="D148">
        <v>133138</v>
      </c>
      <c r="E148">
        <v>2016</v>
      </c>
      <c r="F148">
        <v>2</v>
      </c>
      <c r="G148" s="7">
        <v>0</v>
      </c>
      <c r="I148" t="s">
        <v>78</v>
      </c>
      <c r="J148">
        <v>3</v>
      </c>
      <c r="K148">
        <f t="shared" si="55"/>
        <v>2019</v>
      </c>
      <c r="L148" s="4">
        <f t="shared" si="47"/>
        <v>2019.1666666666667</v>
      </c>
      <c r="M148" s="1">
        <v>1045.18</v>
      </c>
      <c r="N148" s="1">
        <f t="shared" si="48"/>
        <v>1045.18</v>
      </c>
      <c r="O148" s="1">
        <f t="shared" si="49"/>
        <v>29.032777777777781</v>
      </c>
      <c r="P148" s="1">
        <f t="shared" si="50"/>
        <v>348.39333333333337</v>
      </c>
      <c r="Q148" s="29">
        <f t="shared" si="51"/>
        <v>0</v>
      </c>
      <c r="R148" s="1">
        <f t="shared" si="52"/>
        <v>1045.18</v>
      </c>
      <c r="S148" s="29">
        <f t="shared" si="53"/>
        <v>1045.18</v>
      </c>
      <c r="T148" s="1">
        <f t="shared" si="54"/>
        <v>0</v>
      </c>
    </row>
    <row r="149" spans="2:20">
      <c r="B149">
        <v>1</v>
      </c>
      <c r="C149" t="s">
        <v>646</v>
      </c>
      <c r="D149">
        <v>191901</v>
      </c>
      <c r="E149">
        <v>2018</v>
      </c>
      <c r="F149">
        <v>1</v>
      </c>
      <c r="G149" s="7">
        <v>0</v>
      </c>
      <c r="I149" t="s">
        <v>78</v>
      </c>
      <c r="J149">
        <v>3</v>
      </c>
      <c r="K149">
        <f t="shared" si="55"/>
        <v>2021</v>
      </c>
      <c r="L149" s="4">
        <f t="shared" si="47"/>
        <v>2021.0833333333333</v>
      </c>
      <c r="M149" s="1">
        <v>1306.96</v>
      </c>
      <c r="N149" s="1">
        <f t="shared" si="48"/>
        <v>1306.96</v>
      </c>
      <c r="O149" s="1">
        <f t="shared" si="49"/>
        <v>36.304444444444449</v>
      </c>
      <c r="P149" s="1">
        <f t="shared" si="50"/>
        <v>435.65333333333342</v>
      </c>
      <c r="Q149" s="29">
        <f t="shared" si="51"/>
        <v>0</v>
      </c>
      <c r="R149" s="1">
        <f t="shared" si="52"/>
        <v>1306.96</v>
      </c>
      <c r="S149" s="29">
        <f t="shared" si="53"/>
        <v>1306.96</v>
      </c>
      <c r="T149" s="1">
        <f t="shared" si="54"/>
        <v>0</v>
      </c>
    </row>
    <row r="150" spans="2:20">
      <c r="C150" s="47" t="s">
        <v>797</v>
      </c>
      <c r="D150">
        <v>211617</v>
      </c>
      <c r="E150">
        <v>2019</v>
      </c>
      <c r="F150">
        <v>2</v>
      </c>
      <c r="G150" s="26">
        <v>0</v>
      </c>
      <c r="I150" s="47" t="s">
        <v>78</v>
      </c>
      <c r="J150" s="47">
        <v>3</v>
      </c>
      <c r="K150">
        <f t="shared" si="55"/>
        <v>2022</v>
      </c>
      <c r="L150" s="4">
        <f t="shared" si="47"/>
        <v>2022.1666666666667</v>
      </c>
      <c r="M150" s="25">
        <v>1365.69</v>
      </c>
      <c r="N150" s="25">
        <f t="shared" si="48"/>
        <v>1365.69</v>
      </c>
      <c r="O150" s="25">
        <f t="shared" si="49"/>
        <v>37.935833333333335</v>
      </c>
      <c r="P150" s="25">
        <f t="shared" si="50"/>
        <v>455.23</v>
      </c>
      <c r="Q150" s="29">
        <f t="shared" si="51"/>
        <v>0</v>
      </c>
      <c r="R150" s="25">
        <f t="shared" si="52"/>
        <v>1365.69</v>
      </c>
      <c r="S150" s="29">
        <f t="shared" si="53"/>
        <v>1365.69</v>
      </c>
      <c r="T150" s="25">
        <f t="shared" si="54"/>
        <v>0</v>
      </c>
    </row>
    <row r="151" spans="2:20">
      <c r="C151" s="47" t="s">
        <v>868</v>
      </c>
      <c r="D151">
        <v>229180</v>
      </c>
      <c r="E151">
        <v>2020</v>
      </c>
      <c r="F151">
        <v>2</v>
      </c>
      <c r="G151" s="26">
        <v>0</v>
      </c>
      <c r="I151" s="47" t="s">
        <v>78</v>
      </c>
      <c r="J151" s="47">
        <v>3</v>
      </c>
      <c r="K151">
        <f t="shared" si="55"/>
        <v>2023</v>
      </c>
      <c r="L151" s="4">
        <f t="shared" si="47"/>
        <v>2023.1666666666667</v>
      </c>
      <c r="M151" s="25">
        <v>893.55</v>
      </c>
      <c r="N151" s="25">
        <f t="shared" si="48"/>
        <v>893.55</v>
      </c>
      <c r="O151" s="25">
        <f t="shared" si="49"/>
        <v>24.820833333333329</v>
      </c>
      <c r="P151" s="25">
        <f t="shared" si="50"/>
        <v>297.84999999999997</v>
      </c>
      <c r="Q151" s="29">
        <f t="shared" si="51"/>
        <v>0</v>
      </c>
      <c r="R151" s="25">
        <f t="shared" si="52"/>
        <v>893.55</v>
      </c>
      <c r="S151" s="29">
        <f t="shared" si="53"/>
        <v>893.55</v>
      </c>
      <c r="T151" s="25">
        <f t="shared" si="54"/>
        <v>0</v>
      </c>
    </row>
    <row r="153" spans="2:20">
      <c r="C153" s="2" t="s">
        <v>410</v>
      </c>
      <c r="M153" s="6">
        <f t="shared" ref="M153:T153" si="56">SUM(M129:M152)</f>
        <v>360647.39</v>
      </c>
      <c r="N153" s="6">
        <f t="shared" si="56"/>
        <v>360647.39</v>
      </c>
      <c r="O153" s="6">
        <f t="shared" si="56"/>
        <v>7675.42372222222</v>
      </c>
      <c r="P153" s="6">
        <f t="shared" si="56"/>
        <v>92105.084666666662</v>
      </c>
      <c r="Q153" s="6">
        <f t="shared" si="56"/>
        <v>0</v>
      </c>
      <c r="R153" s="6">
        <f t="shared" si="56"/>
        <v>360647.39</v>
      </c>
      <c r="S153" s="6">
        <f t="shared" si="56"/>
        <v>360647.39</v>
      </c>
      <c r="T153" s="6">
        <f t="shared" si="56"/>
        <v>0</v>
      </c>
    </row>
    <row r="154" spans="2:20">
      <c r="C154" s="2"/>
      <c r="M154" s="20"/>
      <c r="N154" s="20"/>
      <c r="O154" s="20"/>
      <c r="P154" s="20"/>
      <c r="Q154" s="20"/>
      <c r="R154" s="20"/>
      <c r="S154" s="20"/>
      <c r="T154" s="20"/>
    </row>
    <row r="155" spans="2:20">
      <c r="C155" s="2" t="s">
        <v>803</v>
      </c>
      <c r="M155" s="20"/>
      <c r="N155" s="20"/>
      <c r="O155" s="20"/>
      <c r="P155" s="20"/>
      <c r="Q155" s="20"/>
      <c r="R155" s="20"/>
      <c r="S155" s="20"/>
      <c r="T155" s="20"/>
    </row>
    <row r="156" spans="2:20">
      <c r="C156" t="s">
        <v>19</v>
      </c>
      <c r="E156">
        <v>2000</v>
      </c>
      <c r="F156">
        <v>7</v>
      </c>
      <c r="G156" s="7">
        <v>0</v>
      </c>
      <c r="I156" t="s">
        <v>78</v>
      </c>
      <c r="J156" t="s">
        <v>10</v>
      </c>
      <c r="K156">
        <f>E156+J156</f>
        <v>2039</v>
      </c>
      <c r="L156" s="4">
        <f>+K156+(F156/12)</f>
        <v>2039.5833333333333</v>
      </c>
      <c r="M156" s="1">
        <v>1278030.99</v>
      </c>
      <c r="N156" s="1">
        <f>M156-M156*G156</f>
        <v>1278030.99</v>
      </c>
      <c r="O156" s="1">
        <f>N156/J156/12</f>
        <v>2730.835448717949</v>
      </c>
      <c r="P156" s="1">
        <f>+O156*12</f>
        <v>32770.025384615386</v>
      </c>
      <c r="Q156" s="29">
        <f t="shared" ref="Q156:Q157" si="57">IF(L156&lt;=$N$6,0,P156)</f>
        <v>32770.025384615386</v>
      </c>
      <c r="R156" s="1">
        <f t="shared" ref="R156:R157" si="58">+IF($L156&lt;=$N$7,$M156,IF(($E156+($F156/12))&gt;=$N$7,0,((($N156-((($L156-$N$7)*12)*$O156))))))</f>
        <v>748248.91294872283</v>
      </c>
      <c r="S156" s="29">
        <f t="shared" ref="S156:S157" si="59">IF(Q156=0,N156,R156+Q156)</f>
        <v>781018.93833333824</v>
      </c>
      <c r="T156" s="1">
        <f t="shared" ref="T156:T157" si="60">+M156-S156</f>
        <v>497012.05166666175</v>
      </c>
    </row>
    <row r="157" spans="2:20">
      <c r="C157" t="s">
        <v>14</v>
      </c>
      <c r="E157">
        <v>2004</v>
      </c>
      <c r="F157">
        <v>7</v>
      </c>
      <c r="G157" s="7">
        <v>0</v>
      </c>
      <c r="I157" t="s">
        <v>78</v>
      </c>
      <c r="J157" t="s">
        <v>102</v>
      </c>
      <c r="K157">
        <f>E157+J157</f>
        <v>2019</v>
      </c>
      <c r="L157" s="4">
        <f>+K157+(F157/12)</f>
        <v>2019.5833333333333</v>
      </c>
      <c r="M157" s="1">
        <v>4936.42</v>
      </c>
      <c r="N157" s="1">
        <f>M157-M157*G157</f>
        <v>4936.42</v>
      </c>
      <c r="O157" s="1">
        <f>N157/J157/12</f>
        <v>27.424555555555557</v>
      </c>
      <c r="P157" s="1">
        <f>+O157*12</f>
        <v>329.09466666666668</v>
      </c>
      <c r="Q157" s="29">
        <f t="shared" si="57"/>
        <v>0</v>
      </c>
      <c r="R157" s="1">
        <f t="shared" si="58"/>
        <v>4936.42</v>
      </c>
      <c r="S157" s="29">
        <f t="shared" si="59"/>
        <v>4936.42</v>
      </c>
      <c r="T157" s="1">
        <f t="shared" si="60"/>
        <v>0</v>
      </c>
    </row>
    <row r="158" spans="2:20">
      <c r="C158" s="2"/>
      <c r="M158" s="20"/>
      <c r="N158" s="20"/>
      <c r="O158" s="20"/>
      <c r="P158" s="20"/>
      <c r="Q158" s="20"/>
      <c r="R158" s="20"/>
      <c r="S158" s="20"/>
      <c r="T158" s="20"/>
    </row>
    <row r="159" spans="2:20">
      <c r="C159" s="2" t="s">
        <v>804</v>
      </c>
      <c r="M159" s="6">
        <f t="shared" ref="M159:T159" si="61">+SUM(M156:M158)</f>
        <v>1282967.4099999999</v>
      </c>
      <c r="N159" s="6">
        <f t="shared" si="61"/>
        <v>1282967.4099999999</v>
      </c>
      <c r="O159" s="6">
        <f t="shared" si="61"/>
        <v>2758.2600042735044</v>
      </c>
      <c r="P159" s="6">
        <f t="shared" si="61"/>
        <v>33099.120051282051</v>
      </c>
      <c r="Q159" s="6">
        <f t="shared" si="61"/>
        <v>32770.025384615386</v>
      </c>
      <c r="R159" s="6">
        <f t="shared" si="61"/>
        <v>753185.33294872288</v>
      </c>
      <c r="S159" s="6">
        <f t="shared" si="61"/>
        <v>785955.35833333828</v>
      </c>
      <c r="T159" s="6">
        <f t="shared" si="61"/>
        <v>497012.05166666175</v>
      </c>
    </row>
    <row r="161" spans="1:20" ht="13.5" thickBot="1">
      <c r="C161" s="2" t="s">
        <v>83</v>
      </c>
      <c r="M161" s="3">
        <f t="shared" ref="M161:T161" si="62">SUM(M153,M125,M103,M50,M25,M159,M15)</f>
        <v>7224554.2800000003</v>
      </c>
      <c r="N161" s="3">
        <f t="shared" si="62"/>
        <v>7224554.2800000003</v>
      </c>
      <c r="O161" s="3">
        <f t="shared" si="62"/>
        <v>50962.488717078522</v>
      </c>
      <c r="P161" s="3">
        <f t="shared" si="62"/>
        <v>611549.8646049425</v>
      </c>
      <c r="Q161" s="3">
        <f t="shared" si="62"/>
        <v>95388.110213675216</v>
      </c>
      <c r="R161" s="3">
        <f t="shared" si="62"/>
        <v>6175961.8101659706</v>
      </c>
      <c r="S161" s="3">
        <f t="shared" si="62"/>
        <v>6280847.0918796426</v>
      </c>
      <c r="T161" s="3">
        <f t="shared" si="62"/>
        <v>943707.18812035793</v>
      </c>
    </row>
    <row r="162" spans="1:20" ht="13.5" thickTop="1"/>
    <row r="164" spans="1:20">
      <c r="C164" s="82" t="s">
        <v>911</v>
      </c>
    </row>
    <row r="165" spans="1:20" s="92" customFormat="1">
      <c r="B165" s="92">
        <v>6029</v>
      </c>
      <c r="C165" s="92" t="s">
        <v>493</v>
      </c>
      <c r="D165" s="92">
        <v>105497</v>
      </c>
      <c r="E165" s="92">
        <v>2003</v>
      </c>
      <c r="F165" s="92">
        <v>3</v>
      </c>
      <c r="G165" s="94">
        <v>0</v>
      </c>
      <c r="I165" s="92" t="s">
        <v>78</v>
      </c>
      <c r="J165" s="92">
        <v>5</v>
      </c>
      <c r="K165" s="92">
        <f>E165+J165</f>
        <v>2008</v>
      </c>
      <c r="L165" s="112">
        <f>+K165+(F165/12)</f>
        <v>2008.25</v>
      </c>
      <c r="M165" s="113">
        <f>'Orig OTHER EQUIP 2183'!P112</f>
        <v>12886.896000000001</v>
      </c>
      <c r="N165" s="113">
        <f>M165-M165*G165</f>
        <v>12886.896000000001</v>
      </c>
      <c r="O165" s="113">
        <f>N165/J165/12</f>
        <v>214.78160000000003</v>
      </c>
      <c r="P165" s="113">
        <f>+O165*12</f>
        <v>2577.3792000000003</v>
      </c>
      <c r="Q165" s="113">
        <f>+IF(L165&lt;=$N$5,0,IF(K165&gt;$N$4,P165,(O165*F165)))</f>
        <v>0</v>
      </c>
      <c r="R165" s="113">
        <f>+IF(Q165=0,N165,IF($N$3-E165&lt;1,0,(($N$3-E165)*Q165)))</f>
        <v>12886.896000000001</v>
      </c>
      <c r="S165" s="113">
        <f>+IF(Q165=0,R165,R165+Q165)</f>
        <v>12886.896000000001</v>
      </c>
      <c r="T165" s="113">
        <f>+M165-S165</f>
        <v>0</v>
      </c>
    </row>
    <row r="166" spans="1:20" s="92" customFormat="1">
      <c r="A166" s="97"/>
      <c r="B166" s="97"/>
      <c r="C166" s="97" t="s">
        <v>706</v>
      </c>
      <c r="D166" s="97"/>
      <c r="E166" s="97">
        <v>2019</v>
      </c>
      <c r="F166" s="97">
        <v>8</v>
      </c>
      <c r="G166" s="99">
        <v>0</v>
      </c>
      <c r="H166" s="97"/>
      <c r="I166" s="97" t="s">
        <v>78</v>
      </c>
      <c r="J166" s="97">
        <f>+IF(J165-$N$4&gt;=3,J165-$N$4,3)</f>
        <v>3</v>
      </c>
      <c r="K166" s="97">
        <f>E166+J166</f>
        <v>2022</v>
      </c>
      <c r="L166" s="114">
        <f>+K166+(F166/12)</f>
        <v>2022.6666666666667</v>
      </c>
      <c r="M166" s="115">
        <f>'Orig OTHER EQUIP 2183'!N112-'OTHER EQUIP 2183'!M165</f>
        <v>3221.7240000000002</v>
      </c>
      <c r="N166" s="115">
        <f>M166-M166*G166</f>
        <v>3221.7240000000002</v>
      </c>
      <c r="O166" s="115">
        <f>N166/J166/12</f>
        <v>89.492333333333349</v>
      </c>
      <c r="P166" s="115">
        <f>+O166*12</f>
        <v>1073.9080000000001</v>
      </c>
      <c r="Q166" s="115">
        <f>+IF(L166&lt;=$N$5,0,IF(K166&gt;$N$4,P166,(O166*F166)))</f>
        <v>0</v>
      </c>
      <c r="R166" s="115">
        <f>+IF(Q166=0,N166,IF($N$3-E166&lt;1,0,(($N$3-E166)*Q166)))</f>
        <v>3221.7240000000002</v>
      </c>
      <c r="S166" s="115">
        <f>+IF(Q166=0,R166,R166+Q166)</f>
        <v>3221.7240000000002</v>
      </c>
      <c r="T166" s="115">
        <f>+M166-S166</f>
        <v>0</v>
      </c>
    </row>
  </sheetData>
  <phoneticPr fontId="17" type="noConversion"/>
  <pageMargins left="0" right="0" top="0" bottom="0" header="0.5" footer="0.5"/>
  <pageSetup scale="55" fitToHeight="2" orientation="landscape" horizontalDpi="300" verticalDpi="300" r:id="rId1"/>
  <headerFooter alignWithMargins="0"/>
  <rowBreaks count="1" manualBreakCount="1">
    <brk id="86" max="19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>
    <pageSetUpPr fitToPage="1"/>
  </sheetPr>
  <dimension ref="A1:CB277"/>
  <sheetViews>
    <sheetView tabSelected="1" workbookViewId="0">
      <selection activeCell="R41" sqref="R41"/>
    </sheetView>
  </sheetViews>
  <sheetFormatPr defaultColWidth="12.5703125" defaultRowHeight="12.75"/>
  <cols>
    <col min="1" max="2" width="8.42578125" customWidth="1"/>
    <col min="3" max="3" width="7.42578125" bestFit="1" customWidth="1"/>
    <col min="4" max="4" width="36.85546875" customWidth="1"/>
    <col min="5" max="5" width="11" bestFit="1" customWidth="1"/>
    <col min="6" max="6" width="4.28515625" bestFit="1" customWidth="1"/>
    <col min="7" max="7" width="8.140625" bestFit="1" customWidth="1"/>
    <col min="8" max="8" width="2.140625" bestFit="1" customWidth="1"/>
    <col min="9" max="9" width="8" bestFit="1" customWidth="1"/>
    <col min="10" max="10" width="6.42578125" bestFit="1" customWidth="1"/>
    <col min="11" max="11" width="6" bestFit="1" customWidth="1"/>
    <col min="12" max="12" width="6.5703125" customWidth="1"/>
    <col min="13" max="13" width="5.28515625" customWidth="1"/>
    <col min="14" max="14" width="12" bestFit="1" customWidth="1"/>
    <col min="15" max="15" width="9" customWidth="1"/>
    <col min="16" max="16" width="10.85546875" bestFit="1" customWidth="1"/>
    <col min="17" max="17" width="10.85546875" customWidth="1"/>
    <col min="18" max="18" width="9.42578125" bestFit="1" customWidth="1"/>
    <col min="19" max="19" width="9" customWidth="1"/>
    <col min="20" max="20" width="7.85546875" customWidth="1"/>
    <col min="21" max="21" width="5.5703125" customWidth="1"/>
    <col min="22" max="22" width="9.7109375" bestFit="1" customWidth="1"/>
    <col min="23" max="23" width="2.28515625" customWidth="1"/>
    <col min="24" max="25" width="12.5703125" customWidth="1"/>
    <col min="26" max="26" width="7.5703125" customWidth="1"/>
    <col min="27" max="27" width="10.5703125" bestFit="1" customWidth="1"/>
    <col min="28" max="29" width="10.85546875" bestFit="1" customWidth="1"/>
    <col min="30" max="31" width="7.85546875" bestFit="1" customWidth="1"/>
    <col min="32" max="32" width="16" bestFit="1" customWidth="1"/>
    <col min="33" max="34" width="7.85546875" bestFit="1" customWidth="1"/>
    <col min="35" max="35" width="12.5703125" customWidth="1"/>
    <col min="36" max="36" width="13.42578125" bestFit="1" customWidth="1"/>
    <col min="37" max="37" width="3.42578125" customWidth="1"/>
    <col min="38" max="38" width="17.5703125" bestFit="1" customWidth="1"/>
    <col min="39" max="39" width="3.5703125" customWidth="1"/>
    <col min="40" max="40" width="16.28515625" bestFit="1" customWidth="1"/>
    <col min="41" max="41" width="2.85546875" customWidth="1"/>
    <col min="42" max="42" width="18.28515625" bestFit="1" customWidth="1"/>
    <col min="43" max="43" width="3.5703125" customWidth="1"/>
    <col min="44" max="44" width="13.42578125" bestFit="1" customWidth="1"/>
  </cols>
  <sheetData>
    <row r="1" spans="1:80">
      <c r="D1" t="s">
        <v>342</v>
      </c>
    </row>
    <row r="2" spans="1:80">
      <c r="D2" t="s">
        <v>26</v>
      </c>
      <c r="P2">
        <v>11</v>
      </c>
      <c r="Q2" t="s">
        <v>27</v>
      </c>
      <c r="BX2" t="s">
        <v>245</v>
      </c>
    </row>
    <row r="3" spans="1:80">
      <c r="D3" s="228">
        <f>'Summary 2183'!H8</f>
        <v>45412</v>
      </c>
      <c r="P3">
        <v>1</v>
      </c>
      <c r="Q3" t="s">
        <v>28</v>
      </c>
      <c r="AE3" t="s">
        <v>29</v>
      </c>
      <c r="AF3" t="s">
        <v>30</v>
      </c>
    </row>
    <row r="4" spans="1:80">
      <c r="P4">
        <v>2017</v>
      </c>
      <c r="Q4" t="s">
        <v>31</v>
      </c>
      <c r="AE4" t="s">
        <v>32</v>
      </c>
      <c r="AF4" t="s">
        <v>33</v>
      </c>
      <c r="BW4">
        <v>1</v>
      </c>
      <c r="BX4" t="s">
        <v>246</v>
      </c>
      <c r="CA4">
        <v>12</v>
      </c>
      <c r="CB4" t="s">
        <v>247</v>
      </c>
    </row>
    <row r="5" spans="1:80">
      <c r="P5">
        <v>2018</v>
      </c>
      <c r="Q5" t="s">
        <v>34</v>
      </c>
      <c r="AE5" t="s">
        <v>35</v>
      </c>
      <c r="AF5" t="s">
        <v>36</v>
      </c>
      <c r="AJ5" s="226" t="s">
        <v>633</v>
      </c>
      <c r="AK5" s="226"/>
      <c r="AL5" s="226"/>
      <c r="AM5" s="226"/>
      <c r="AN5" s="226"/>
      <c r="AO5" s="226"/>
      <c r="AP5" s="226"/>
      <c r="AQ5" s="226"/>
      <c r="AR5" s="226"/>
      <c r="BX5">
        <v>1993</v>
      </c>
      <c r="CA5">
        <v>0</v>
      </c>
      <c r="CB5" t="s">
        <v>248</v>
      </c>
    </row>
    <row r="6" spans="1:80">
      <c r="AE6" t="s">
        <v>37</v>
      </c>
      <c r="AF6" t="s">
        <v>38</v>
      </c>
      <c r="AJ6" s="226"/>
      <c r="AK6" s="226"/>
      <c r="AL6" s="226"/>
      <c r="AM6" s="226"/>
      <c r="AN6" s="226"/>
      <c r="AO6" s="226"/>
      <c r="AP6" s="226"/>
      <c r="AQ6" s="226"/>
      <c r="AR6" s="226"/>
      <c r="CA6">
        <v>93</v>
      </c>
      <c r="CB6" t="s">
        <v>31</v>
      </c>
    </row>
    <row r="7" spans="1:80">
      <c r="AE7" t="s">
        <v>39</v>
      </c>
      <c r="AF7" t="s">
        <v>40</v>
      </c>
      <c r="CA7">
        <v>94</v>
      </c>
      <c r="CB7" t="s">
        <v>249</v>
      </c>
    </row>
    <row r="8" spans="1:80">
      <c r="S8" t="s">
        <v>41</v>
      </c>
      <c r="V8" t="s">
        <v>42</v>
      </c>
      <c r="X8" t="s">
        <v>188</v>
      </c>
      <c r="Y8" t="s">
        <v>44</v>
      </c>
      <c r="AA8" t="s">
        <v>188</v>
      </c>
      <c r="AB8" t="s">
        <v>43</v>
      </c>
      <c r="AN8" t="s">
        <v>634</v>
      </c>
      <c r="AP8" t="s">
        <v>634</v>
      </c>
    </row>
    <row r="9" spans="1:80">
      <c r="C9" t="s">
        <v>45</v>
      </c>
      <c r="E9" t="s">
        <v>46</v>
      </c>
      <c r="G9" t="s">
        <v>47</v>
      </c>
      <c r="I9" t="s">
        <v>45</v>
      </c>
      <c r="K9" t="s">
        <v>48</v>
      </c>
      <c r="L9" t="s">
        <v>45</v>
      </c>
      <c r="N9" t="s">
        <v>45</v>
      </c>
      <c r="O9" t="s">
        <v>49</v>
      </c>
      <c r="P9" t="s">
        <v>45</v>
      </c>
      <c r="R9" t="s">
        <v>50</v>
      </c>
      <c r="S9" t="s">
        <v>48</v>
      </c>
      <c r="T9" t="s">
        <v>42</v>
      </c>
      <c r="U9" t="s">
        <v>51</v>
      </c>
      <c r="V9" t="s">
        <v>44</v>
      </c>
      <c r="X9" t="s">
        <v>251</v>
      </c>
      <c r="Y9" t="s">
        <v>251</v>
      </c>
      <c r="Z9" t="s">
        <v>53</v>
      </c>
      <c r="AA9" t="s">
        <v>54</v>
      </c>
      <c r="AB9" t="s">
        <v>54</v>
      </c>
      <c r="AC9" t="s">
        <v>55</v>
      </c>
      <c r="AJ9" t="s">
        <v>635</v>
      </c>
      <c r="AL9" t="s">
        <v>636</v>
      </c>
      <c r="AN9" t="s">
        <v>637</v>
      </c>
      <c r="AP9" t="s">
        <v>637</v>
      </c>
      <c r="AR9" t="s">
        <v>638</v>
      </c>
    </row>
    <row r="10" spans="1:80">
      <c r="C10" t="s">
        <v>143</v>
      </c>
      <c r="E10" t="s">
        <v>57</v>
      </c>
      <c r="G10" t="s">
        <v>58</v>
      </c>
      <c r="I10" t="s">
        <v>100</v>
      </c>
      <c r="J10" t="s">
        <v>59</v>
      </c>
      <c r="K10" t="s">
        <v>60</v>
      </c>
      <c r="L10" t="s">
        <v>49</v>
      </c>
      <c r="M10" t="s">
        <v>61</v>
      </c>
      <c r="N10" t="s">
        <v>49</v>
      </c>
      <c r="O10" t="s">
        <v>41</v>
      </c>
      <c r="P10" t="s">
        <v>62</v>
      </c>
      <c r="Q10" t="s">
        <v>63</v>
      </c>
      <c r="R10" t="s">
        <v>48</v>
      </c>
      <c r="S10" t="s">
        <v>64</v>
      </c>
      <c r="T10" t="s">
        <v>65</v>
      </c>
      <c r="U10" t="s">
        <v>66</v>
      </c>
      <c r="V10" t="s">
        <v>67</v>
      </c>
      <c r="X10" t="s">
        <v>252</v>
      </c>
      <c r="Y10" t="s">
        <v>252</v>
      </c>
      <c r="Z10" t="s">
        <v>66</v>
      </c>
      <c r="AA10" t="s">
        <v>68</v>
      </c>
      <c r="AB10" t="s">
        <v>68</v>
      </c>
      <c r="AC10" t="s">
        <v>6</v>
      </c>
      <c r="AD10" t="s">
        <v>29</v>
      </c>
      <c r="AE10" t="s">
        <v>69</v>
      </c>
      <c r="AF10" t="s">
        <v>70</v>
      </c>
      <c r="AG10" t="s">
        <v>37</v>
      </c>
      <c r="AH10" t="s">
        <v>39</v>
      </c>
      <c r="AJ10" t="s">
        <v>639</v>
      </c>
      <c r="AL10" t="s">
        <v>640</v>
      </c>
      <c r="AN10" t="s">
        <v>641</v>
      </c>
      <c r="AP10" t="s">
        <v>642</v>
      </c>
      <c r="AR10" t="s">
        <v>6</v>
      </c>
      <c r="BW10">
        <v>2</v>
      </c>
      <c r="BX10" t="s">
        <v>253</v>
      </c>
    </row>
    <row r="11" spans="1:80">
      <c r="A11" t="s">
        <v>71</v>
      </c>
      <c r="B11" t="s">
        <v>384</v>
      </c>
      <c r="C11" t="s">
        <v>72</v>
      </c>
      <c r="D11" t="s">
        <v>254</v>
      </c>
      <c r="E11" t="s">
        <v>48</v>
      </c>
      <c r="F11" t="s">
        <v>74</v>
      </c>
      <c r="G11" t="s">
        <v>51</v>
      </c>
      <c r="H11" t="s">
        <v>99</v>
      </c>
      <c r="I11" t="s">
        <v>75</v>
      </c>
      <c r="J11" t="s">
        <v>76</v>
      </c>
      <c r="K11" t="s">
        <v>62</v>
      </c>
      <c r="L11" t="s">
        <v>173</v>
      </c>
      <c r="M11" t="s">
        <v>99</v>
      </c>
      <c r="N11" t="s">
        <v>173</v>
      </c>
      <c r="O11" t="s">
        <v>99</v>
      </c>
      <c r="P11" t="s">
        <v>173</v>
      </c>
      <c r="Q11" t="s">
        <v>62</v>
      </c>
      <c r="R11" t="s">
        <v>62</v>
      </c>
      <c r="S11" t="s">
        <v>99</v>
      </c>
      <c r="T11" t="s">
        <v>77</v>
      </c>
      <c r="U11" t="s">
        <v>99</v>
      </c>
      <c r="V11" t="s">
        <v>68</v>
      </c>
      <c r="X11">
        <f>'Summary 2183'!F8</f>
        <v>45047</v>
      </c>
      <c r="Y11">
        <f>+D3</f>
        <v>45412</v>
      </c>
      <c r="Z11" t="s">
        <v>51</v>
      </c>
      <c r="AA11">
        <f>+X11</f>
        <v>45047</v>
      </c>
      <c r="AB11">
        <f>+D3</f>
        <v>45412</v>
      </c>
      <c r="AC11">
        <f>AB11</f>
        <v>45412</v>
      </c>
    </row>
    <row r="12" spans="1:80">
      <c r="D12" t="s">
        <v>250</v>
      </c>
    </row>
    <row r="14" spans="1:80">
      <c r="A14" t="s">
        <v>288</v>
      </c>
      <c r="C14">
        <v>5001</v>
      </c>
      <c r="D14" t="s">
        <v>303</v>
      </c>
      <c r="E14">
        <v>1996</v>
      </c>
      <c r="F14">
        <v>1</v>
      </c>
      <c r="G14">
        <v>0.33</v>
      </c>
      <c r="I14" t="s">
        <v>78</v>
      </c>
      <c r="J14">
        <v>5</v>
      </c>
      <c r="K14">
        <f t="shared" ref="K14:K73" si="0">E14+J14</f>
        <v>2001</v>
      </c>
      <c r="N14">
        <v>31208</v>
      </c>
      <c r="P14">
        <f t="shared" ref="P14:P45" si="1">N14-N14*G14</f>
        <v>20909.36</v>
      </c>
      <c r="Q14">
        <f t="shared" ref="Q14:Q45" si="2">P14/J14/12</f>
        <v>348.48933333333338</v>
      </c>
      <c r="R14">
        <f t="shared" ref="R14:R70" si="3">IF(O14&gt;0,0,IF(OR(AD14&gt;AE14,AF14&lt;AG14),0,IF(AND(AF14&gt;=AG14,AF14&lt;=AE14),Q14*((AF14-AG14)*12),IF(AND(AG14&lt;=AD14,AE14&gt;=AD14),((AE14-AD14)*12)*Q14,IF(AF14&gt;AE14,12*Q14,0)))))</f>
        <v>0</v>
      </c>
      <c r="S14">
        <f t="shared" ref="S14:S70" si="4">IF(O14=0,0,IF(AND(AH14&gt;=AG14,AH14&lt;=AF14),((AH14-AG14)*12)*Q14,0))</f>
        <v>0</v>
      </c>
      <c r="T14">
        <f t="shared" ref="T14:T70" si="5">IF(S14&gt;0,S14,R14)</f>
        <v>0</v>
      </c>
      <c r="U14">
        <v>1</v>
      </c>
      <c r="V14">
        <f t="shared" ref="V14:V70" si="6">U14*SUM(R14:S14)</f>
        <v>0</v>
      </c>
      <c r="X14">
        <f t="shared" ref="X14:X70" si="7">IF(AD14&gt;AE14,0,IF(AF14&lt;AG14,P14,IF(AND(AF14&gt;=AG14,AF14&lt;=AE14),(P14-T14),IF(AND(AG14&lt;=AD14,AE14&gt;=AD14),0,IF(AF14&gt;AE14,((AG14-AD14)*12)*Q14,0)))))</f>
        <v>20909.36</v>
      </c>
      <c r="Y14">
        <f t="shared" ref="Y14:Y70" si="8">X14*U14</f>
        <v>20909.36</v>
      </c>
      <c r="Z14">
        <v>1</v>
      </c>
      <c r="AA14">
        <f t="shared" ref="AA14:AA70" si="9">Y14*Z14</f>
        <v>20909.36</v>
      </c>
      <c r="AB14">
        <f t="shared" ref="AB14:AB70" si="10">IF(O14&gt;0,0,AA14+V14*Z14)*Z14</f>
        <v>20909.36</v>
      </c>
      <c r="AC14">
        <f t="shared" ref="AC14:AC70" si="11">IF(O14&gt;0,(N14-AA14)/2,IF(AD14&gt;=AG14,(((N14*U14)*Z14)-AB14)/2,((((N14*U14)*Z14)-AA14)+(((N14*U14)*Z14)-AB14))/2))</f>
        <v>10298.64</v>
      </c>
      <c r="AD14">
        <f t="shared" ref="AD14:AD75" si="12">$E14+(($F14-1)/12)</f>
        <v>1996</v>
      </c>
      <c r="AE14">
        <f t="shared" ref="AE14:AE75" si="13">($P$5+1)-($P$2/12)</f>
        <v>2018.0833333333333</v>
      </c>
      <c r="AF14">
        <f t="shared" ref="AF14:AF75" si="14">$K14+(($F14-1)/12)</f>
        <v>2001</v>
      </c>
      <c r="AG14">
        <f t="shared" ref="AG14:AG75" si="15">$P$4+($P$3/12)</f>
        <v>2017.0833333333333</v>
      </c>
      <c r="AH14">
        <f t="shared" ref="AH14:AH45" si="16">$L14+(($M14-1)/12)</f>
        <v>-8.3333333333333329E-2</v>
      </c>
      <c r="AJ14">
        <f>+IF((AF14-AG14)&gt;3,((N14-P14)/(AF14-AG14)),(N14-P14)/3)</f>
        <v>3432.8799999999997</v>
      </c>
      <c r="AL14">
        <f>+AJ14+V14</f>
        <v>3432.8799999999997</v>
      </c>
      <c r="AN14">
        <f>+IF(AF14&lt;AG14,-AC14,0)</f>
        <v>-10298.64</v>
      </c>
      <c r="AP14">
        <f>IF(AF14&gt;AG14,IF(AJ14&gt;0,IF(O14&gt;0,(N14-AA14)/2,IF(AD14&gt;=AG14,(((N14*U14)*Z14)-(AB14+AJ14))/2,((((N14*U14)*Z14)-AA14)+(((N14*U14)*Z14)-(AB14+AJ14)))/2)),0),0)</f>
        <v>0</v>
      </c>
      <c r="AR14">
        <f>+AC14+AN14+(IF(AP14&gt;0,(AP14-AC14),0))</f>
        <v>0</v>
      </c>
    </row>
    <row r="15" spans="1:80">
      <c r="A15" t="s">
        <v>288</v>
      </c>
      <c r="C15">
        <v>5001</v>
      </c>
      <c r="D15" t="s">
        <v>313</v>
      </c>
      <c r="E15">
        <v>1996</v>
      </c>
      <c r="F15">
        <v>5</v>
      </c>
      <c r="G15">
        <v>0.2</v>
      </c>
      <c r="I15" t="s">
        <v>78</v>
      </c>
      <c r="J15">
        <v>7</v>
      </c>
      <c r="K15">
        <f t="shared" si="0"/>
        <v>2003</v>
      </c>
      <c r="N15">
        <v>1073</v>
      </c>
      <c r="P15">
        <f t="shared" si="1"/>
        <v>858.4</v>
      </c>
      <c r="Q15">
        <f t="shared" si="2"/>
        <v>10.219047619047618</v>
      </c>
      <c r="R15">
        <f t="shared" si="3"/>
        <v>0</v>
      </c>
      <c r="S15">
        <f t="shared" si="4"/>
        <v>0</v>
      </c>
      <c r="T15">
        <f t="shared" si="5"/>
        <v>0</v>
      </c>
      <c r="U15">
        <v>1</v>
      </c>
      <c r="V15">
        <f t="shared" si="6"/>
        <v>0</v>
      </c>
      <c r="X15">
        <f t="shared" si="7"/>
        <v>858.4</v>
      </c>
      <c r="Y15">
        <f t="shared" si="8"/>
        <v>858.4</v>
      </c>
      <c r="Z15">
        <v>1</v>
      </c>
      <c r="AA15">
        <f t="shared" si="9"/>
        <v>858.4</v>
      </c>
      <c r="AB15">
        <f t="shared" si="10"/>
        <v>858.4</v>
      </c>
      <c r="AC15">
        <f t="shared" si="11"/>
        <v>214.60000000000002</v>
      </c>
      <c r="AD15">
        <f t="shared" si="12"/>
        <v>1996.3333333333333</v>
      </c>
      <c r="AE15">
        <f t="shared" si="13"/>
        <v>2018.0833333333333</v>
      </c>
      <c r="AF15">
        <f t="shared" si="14"/>
        <v>2003.3333333333333</v>
      </c>
      <c r="AG15">
        <f t="shared" si="15"/>
        <v>2017.0833333333333</v>
      </c>
      <c r="AH15">
        <f t="shared" si="16"/>
        <v>-8.3333333333333329E-2</v>
      </c>
      <c r="AJ15">
        <f t="shared" ref="AJ15:AJ75" si="17">+IF((AF15-AG15)&gt;3,((N15-P15)/(AF15-AG15)),(N15-P15)/3)</f>
        <v>71.533333333333346</v>
      </c>
      <c r="AL15">
        <f t="shared" ref="AL15:AL75" si="18">+AJ15+V15</f>
        <v>71.533333333333346</v>
      </c>
      <c r="AN15">
        <f t="shared" ref="AN15:AN75" si="19">+IF(AF15&lt;AG15,-AC15,0)</f>
        <v>-214.60000000000002</v>
      </c>
      <c r="AP15">
        <f t="shared" ref="AP15:AP75" si="20">IF(AF15&gt;AG15,IF(AJ15&gt;0,IF(O15&gt;0,(N15-AA15)/2,IF(AD15&gt;=AG15,(((N15*U15)*Z15)-(AB15+AJ15))/2,((((N15*U15)*Z15)-AA15)+(((N15*U15)*Z15)-(AB15+AJ15)))/2)),0),0)</f>
        <v>0</v>
      </c>
      <c r="AR15">
        <f t="shared" ref="AR15:AR75" si="21">+AC15+AN15+(IF(AP15&gt;0,(AP15-AC15),0))</f>
        <v>0</v>
      </c>
    </row>
    <row r="16" spans="1:80">
      <c r="A16" t="s">
        <v>288</v>
      </c>
      <c r="C16">
        <v>4510</v>
      </c>
      <c r="D16" t="s">
        <v>180</v>
      </c>
      <c r="E16">
        <v>1996</v>
      </c>
      <c r="F16">
        <v>11</v>
      </c>
      <c r="G16">
        <v>0.2</v>
      </c>
      <c r="I16" t="s">
        <v>78</v>
      </c>
      <c r="J16">
        <v>7</v>
      </c>
      <c r="K16">
        <f t="shared" si="0"/>
        <v>2003</v>
      </c>
      <c r="N16">
        <v>41217</v>
      </c>
      <c r="P16">
        <f t="shared" si="1"/>
        <v>32973.599999999999</v>
      </c>
      <c r="Q16">
        <f t="shared" si="2"/>
        <v>392.54285714285714</v>
      </c>
      <c r="R16">
        <f t="shared" si="3"/>
        <v>0</v>
      </c>
      <c r="S16">
        <f t="shared" si="4"/>
        <v>0</v>
      </c>
      <c r="T16">
        <f t="shared" si="5"/>
        <v>0</v>
      </c>
      <c r="U16">
        <v>1</v>
      </c>
      <c r="V16">
        <f t="shared" si="6"/>
        <v>0</v>
      </c>
      <c r="X16">
        <f t="shared" si="7"/>
        <v>32973.599999999999</v>
      </c>
      <c r="Y16">
        <f t="shared" si="8"/>
        <v>32973.599999999999</v>
      </c>
      <c r="Z16">
        <v>1</v>
      </c>
      <c r="AA16">
        <f t="shared" si="9"/>
        <v>32973.599999999999</v>
      </c>
      <c r="AB16">
        <f t="shared" si="10"/>
        <v>32973.599999999999</v>
      </c>
      <c r="AC16">
        <f t="shared" si="11"/>
        <v>8243.4000000000015</v>
      </c>
      <c r="AD16">
        <f t="shared" si="12"/>
        <v>1996.8333333333333</v>
      </c>
      <c r="AE16">
        <f t="shared" si="13"/>
        <v>2018.0833333333333</v>
      </c>
      <c r="AF16">
        <f t="shared" si="14"/>
        <v>2003.8333333333333</v>
      </c>
      <c r="AG16">
        <f t="shared" si="15"/>
        <v>2017.0833333333333</v>
      </c>
      <c r="AH16">
        <f t="shared" si="16"/>
        <v>-8.3333333333333329E-2</v>
      </c>
      <c r="AJ16">
        <f t="shared" si="17"/>
        <v>2747.8000000000006</v>
      </c>
      <c r="AL16">
        <f t="shared" si="18"/>
        <v>2747.8000000000006</v>
      </c>
      <c r="AN16">
        <f t="shared" si="19"/>
        <v>-8243.4000000000015</v>
      </c>
      <c r="AP16">
        <f t="shared" si="20"/>
        <v>0</v>
      </c>
      <c r="AR16">
        <f t="shared" si="21"/>
        <v>0</v>
      </c>
    </row>
    <row r="17" spans="1:76">
      <c r="A17" t="s">
        <v>288</v>
      </c>
      <c r="C17">
        <v>4510</v>
      </c>
      <c r="D17" t="s">
        <v>181</v>
      </c>
      <c r="E17">
        <v>1996</v>
      </c>
      <c r="F17">
        <v>11</v>
      </c>
      <c r="G17">
        <v>0.2</v>
      </c>
      <c r="I17" t="s">
        <v>78</v>
      </c>
      <c r="J17">
        <v>7</v>
      </c>
      <c r="K17">
        <f t="shared" si="0"/>
        <v>2003</v>
      </c>
      <c r="N17">
        <v>437</v>
      </c>
      <c r="P17">
        <f t="shared" si="1"/>
        <v>349.6</v>
      </c>
      <c r="Q17">
        <f t="shared" si="2"/>
        <v>4.1619047619047622</v>
      </c>
      <c r="R17">
        <f t="shared" si="3"/>
        <v>0</v>
      </c>
      <c r="S17">
        <f t="shared" si="4"/>
        <v>0</v>
      </c>
      <c r="T17">
        <f t="shared" si="5"/>
        <v>0</v>
      </c>
      <c r="U17">
        <v>1</v>
      </c>
      <c r="V17">
        <f t="shared" si="6"/>
        <v>0</v>
      </c>
      <c r="X17">
        <f t="shared" si="7"/>
        <v>349.6</v>
      </c>
      <c r="Y17">
        <f t="shared" si="8"/>
        <v>349.6</v>
      </c>
      <c r="Z17">
        <v>1</v>
      </c>
      <c r="AA17">
        <f t="shared" si="9"/>
        <v>349.6</v>
      </c>
      <c r="AB17">
        <f t="shared" si="10"/>
        <v>349.6</v>
      </c>
      <c r="AC17">
        <f t="shared" si="11"/>
        <v>87.399999999999977</v>
      </c>
      <c r="AD17">
        <f t="shared" si="12"/>
        <v>1996.8333333333333</v>
      </c>
      <c r="AE17">
        <f t="shared" si="13"/>
        <v>2018.0833333333333</v>
      </c>
      <c r="AF17">
        <f t="shared" si="14"/>
        <v>2003.8333333333333</v>
      </c>
      <c r="AG17">
        <f t="shared" si="15"/>
        <v>2017.0833333333333</v>
      </c>
      <c r="AH17">
        <f t="shared" si="16"/>
        <v>-8.3333333333333329E-2</v>
      </c>
      <c r="AJ17">
        <f t="shared" si="17"/>
        <v>29.133333333333326</v>
      </c>
      <c r="AL17">
        <f t="shared" si="18"/>
        <v>29.133333333333326</v>
      </c>
      <c r="AN17">
        <f t="shared" si="19"/>
        <v>-87.399999999999977</v>
      </c>
      <c r="AP17">
        <f t="shared" si="20"/>
        <v>0</v>
      </c>
      <c r="AR17">
        <f t="shared" si="21"/>
        <v>0</v>
      </c>
    </row>
    <row r="18" spans="1:76">
      <c r="A18" t="s">
        <v>288</v>
      </c>
      <c r="C18">
        <v>4511</v>
      </c>
      <c r="D18" t="s">
        <v>182</v>
      </c>
      <c r="E18">
        <v>1996</v>
      </c>
      <c r="F18">
        <v>11</v>
      </c>
      <c r="G18">
        <v>0.2</v>
      </c>
      <c r="I18" t="s">
        <v>78</v>
      </c>
      <c r="J18">
        <v>7</v>
      </c>
      <c r="K18">
        <f t="shared" si="0"/>
        <v>2003</v>
      </c>
      <c r="N18">
        <v>11245</v>
      </c>
      <c r="P18">
        <f t="shared" si="1"/>
        <v>8996</v>
      </c>
      <c r="Q18">
        <f t="shared" si="2"/>
        <v>107.09523809523809</v>
      </c>
      <c r="R18">
        <f t="shared" si="3"/>
        <v>0</v>
      </c>
      <c r="S18">
        <f t="shared" si="4"/>
        <v>0</v>
      </c>
      <c r="T18">
        <f t="shared" si="5"/>
        <v>0</v>
      </c>
      <c r="U18">
        <v>1</v>
      </c>
      <c r="V18">
        <f t="shared" si="6"/>
        <v>0</v>
      </c>
      <c r="X18">
        <f t="shared" si="7"/>
        <v>8996</v>
      </c>
      <c r="Y18">
        <f t="shared" si="8"/>
        <v>8996</v>
      </c>
      <c r="Z18">
        <v>1</v>
      </c>
      <c r="AA18">
        <f t="shared" si="9"/>
        <v>8996</v>
      </c>
      <c r="AB18">
        <f t="shared" si="10"/>
        <v>8996</v>
      </c>
      <c r="AC18">
        <f t="shared" si="11"/>
        <v>2249</v>
      </c>
      <c r="AD18">
        <f t="shared" si="12"/>
        <v>1996.8333333333333</v>
      </c>
      <c r="AE18">
        <f t="shared" si="13"/>
        <v>2018.0833333333333</v>
      </c>
      <c r="AF18">
        <f t="shared" si="14"/>
        <v>2003.8333333333333</v>
      </c>
      <c r="AG18">
        <f t="shared" si="15"/>
        <v>2017.0833333333333</v>
      </c>
      <c r="AH18">
        <f t="shared" si="16"/>
        <v>-8.3333333333333329E-2</v>
      </c>
      <c r="AJ18">
        <f t="shared" si="17"/>
        <v>749.66666666666663</v>
      </c>
      <c r="AL18">
        <f t="shared" si="18"/>
        <v>749.66666666666663</v>
      </c>
      <c r="AN18">
        <f t="shared" si="19"/>
        <v>-2249</v>
      </c>
      <c r="AP18">
        <f t="shared" si="20"/>
        <v>0</v>
      </c>
      <c r="AR18">
        <f t="shared" si="21"/>
        <v>0</v>
      </c>
    </row>
    <row r="19" spans="1:76">
      <c r="A19" t="s">
        <v>155</v>
      </c>
      <c r="B19">
        <v>61074</v>
      </c>
      <c r="C19">
        <v>3561</v>
      </c>
      <c r="D19" t="s">
        <v>373</v>
      </c>
      <c r="E19">
        <v>2001</v>
      </c>
      <c r="F19">
        <v>4</v>
      </c>
      <c r="G19">
        <v>0.2</v>
      </c>
      <c r="I19" t="s">
        <v>78</v>
      </c>
      <c r="J19">
        <v>7</v>
      </c>
      <c r="K19">
        <f t="shared" si="0"/>
        <v>2008</v>
      </c>
      <c r="N19">
        <v>156107.07</v>
      </c>
      <c r="P19">
        <f t="shared" si="1"/>
        <v>124885.656</v>
      </c>
      <c r="Q19">
        <f t="shared" si="2"/>
        <v>1486.7340000000002</v>
      </c>
      <c r="R19">
        <f t="shared" si="3"/>
        <v>0</v>
      </c>
      <c r="S19">
        <f t="shared" si="4"/>
        <v>0</v>
      </c>
      <c r="T19">
        <f t="shared" si="5"/>
        <v>0</v>
      </c>
      <c r="U19">
        <v>1</v>
      </c>
      <c r="V19">
        <f t="shared" si="6"/>
        <v>0</v>
      </c>
      <c r="X19">
        <f t="shared" si="7"/>
        <v>124885.656</v>
      </c>
      <c r="Y19">
        <f t="shared" si="8"/>
        <v>124885.656</v>
      </c>
      <c r="Z19">
        <v>1</v>
      </c>
      <c r="AA19">
        <f t="shared" si="9"/>
        <v>124885.656</v>
      </c>
      <c r="AB19">
        <f t="shared" si="10"/>
        <v>124885.656</v>
      </c>
      <c r="AC19">
        <f t="shared" si="11"/>
        <v>31221.414000000004</v>
      </c>
      <c r="AD19">
        <f t="shared" si="12"/>
        <v>2001.25</v>
      </c>
      <c r="AE19">
        <f t="shared" si="13"/>
        <v>2018.0833333333333</v>
      </c>
      <c r="AF19">
        <f t="shared" si="14"/>
        <v>2008.25</v>
      </c>
      <c r="AG19">
        <f t="shared" si="15"/>
        <v>2017.0833333333333</v>
      </c>
      <c r="AH19">
        <f t="shared" si="16"/>
        <v>-8.3333333333333329E-2</v>
      </c>
      <c r="AJ19">
        <f t="shared" si="17"/>
        <v>10407.138000000001</v>
      </c>
      <c r="AL19">
        <f t="shared" si="18"/>
        <v>10407.138000000001</v>
      </c>
      <c r="AN19">
        <f t="shared" si="19"/>
        <v>-31221.414000000004</v>
      </c>
      <c r="AP19">
        <f t="shared" si="20"/>
        <v>0</v>
      </c>
      <c r="AR19">
        <f t="shared" si="21"/>
        <v>0</v>
      </c>
    </row>
    <row r="20" spans="1:76">
      <c r="A20" t="s">
        <v>151</v>
      </c>
      <c r="B20">
        <v>114280</v>
      </c>
      <c r="C20">
        <v>1035</v>
      </c>
      <c r="D20" t="s">
        <v>538</v>
      </c>
      <c r="E20">
        <v>2002</v>
      </c>
      <c r="F20">
        <v>6</v>
      </c>
      <c r="G20">
        <v>0.2</v>
      </c>
      <c r="I20" t="s">
        <v>78</v>
      </c>
      <c r="J20">
        <v>7</v>
      </c>
      <c r="K20">
        <f>E20+J20</f>
        <v>2009</v>
      </c>
      <c r="N20">
        <v>101881.5</v>
      </c>
      <c r="P20">
        <f t="shared" si="1"/>
        <v>81505.2</v>
      </c>
      <c r="Q20">
        <f t="shared" si="2"/>
        <v>970.30000000000007</v>
      </c>
      <c r="R20">
        <f>IF(O20&gt;0,0,IF(OR(AD20&gt;AE20,AF20&lt;AG20),0,IF(AND(AF20&gt;=AG20,AF20&lt;=AE20),Q20*((AF20-AG20)*12),IF(AND(AG20&lt;=AD20,AE20&gt;=AD20),((AE20-AD20)*12)*Q20,IF(AF20&gt;AE20,12*Q20,0)))))</f>
        <v>0</v>
      </c>
      <c r="S20">
        <f>IF(O20=0,0,IF(AND(AH20&gt;=AG20,AH20&lt;=AF20),((AH20-AG20)*12)*Q20,0))</f>
        <v>0</v>
      </c>
      <c r="T20">
        <f>IF(S20&gt;0,S20,R20)</f>
        <v>0</v>
      </c>
      <c r="U20">
        <v>1</v>
      </c>
      <c r="V20">
        <f>U20*SUM(R20:S20)</f>
        <v>0</v>
      </c>
      <c r="X20">
        <f>IF(AD20&gt;AE20,0,IF(AF20&lt;AG20,P20,IF(AND(AF20&gt;=AG20,AF20&lt;=AE20),(P20-T20),IF(AND(AG20&lt;=AD20,AE20&gt;=AD20),0,IF(AF20&gt;AE20,((AG20-AD20)*12)*Q20,0)))))</f>
        <v>81505.2</v>
      </c>
      <c r="Y20">
        <f>X20*U20</f>
        <v>81505.2</v>
      </c>
      <c r="Z20">
        <v>1</v>
      </c>
      <c r="AA20">
        <f>Y20*Z20</f>
        <v>81505.2</v>
      </c>
      <c r="AB20">
        <f>IF(O20&gt;0,0,AA20+V20*Z20)*Z20</f>
        <v>81505.2</v>
      </c>
      <c r="AC20">
        <f>IF(O20&gt;0,(N20-AA20)/2,IF(AD20&gt;=AG20,(((N20*U20)*Z20)-AB20)/2,((((N20*U20)*Z20)-AA20)+(((N20*U20)*Z20)-AB20))/2))</f>
        <v>20376.300000000003</v>
      </c>
      <c r="AD20">
        <f>$E20+(($F20-1)/12)</f>
        <v>2002.4166666666667</v>
      </c>
      <c r="AE20">
        <f t="shared" si="13"/>
        <v>2018.0833333333333</v>
      </c>
      <c r="AF20">
        <f>$K20+(($F20-1)/12)</f>
        <v>2009.4166666666667</v>
      </c>
      <c r="AG20">
        <f t="shared" si="15"/>
        <v>2017.0833333333333</v>
      </c>
      <c r="AH20">
        <f t="shared" si="16"/>
        <v>-8.3333333333333329E-2</v>
      </c>
      <c r="AJ20">
        <f t="shared" si="17"/>
        <v>6792.1000000000013</v>
      </c>
      <c r="AL20">
        <f t="shared" si="18"/>
        <v>6792.1000000000013</v>
      </c>
      <c r="AN20">
        <f t="shared" si="19"/>
        <v>-20376.300000000003</v>
      </c>
      <c r="AP20">
        <f t="shared" si="20"/>
        <v>0</v>
      </c>
      <c r="AR20">
        <f t="shared" si="21"/>
        <v>0</v>
      </c>
    </row>
    <row r="21" spans="1:76">
      <c r="A21" t="s">
        <v>285</v>
      </c>
      <c r="B21">
        <v>74778</v>
      </c>
      <c r="C21">
        <v>1040</v>
      </c>
      <c r="D21" t="s">
        <v>148</v>
      </c>
      <c r="E21">
        <v>2004</v>
      </c>
      <c r="F21">
        <v>9</v>
      </c>
      <c r="G21">
        <v>0.2</v>
      </c>
      <c r="I21" t="s">
        <v>78</v>
      </c>
      <c r="J21">
        <v>7</v>
      </c>
      <c r="K21">
        <f t="shared" si="0"/>
        <v>2011</v>
      </c>
      <c r="N21">
        <v>112934.39999999999</v>
      </c>
      <c r="P21">
        <f t="shared" si="1"/>
        <v>90347.51999999999</v>
      </c>
      <c r="Q21">
        <f t="shared" si="2"/>
        <v>1075.5657142857142</v>
      </c>
      <c r="R21">
        <f t="shared" si="3"/>
        <v>0</v>
      </c>
      <c r="S21">
        <f t="shared" si="4"/>
        <v>0</v>
      </c>
      <c r="T21">
        <f t="shared" si="5"/>
        <v>0</v>
      </c>
      <c r="U21">
        <v>1</v>
      </c>
      <c r="V21">
        <f t="shared" si="6"/>
        <v>0</v>
      </c>
      <c r="X21">
        <f t="shared" si="7"/>
        <v>90347.51999999999</v>
      </c>
      <c r="Y21">
        <f t="shared" si="8"/>
        <v>90347.51999999999</v>
      </c>
      <c r="Z21">
        <v>1</v>
      </c>
      <c r="AA21">
        <f t="shared" si="9"/>
        <v>90347.51999999999</v>
      </c>
      <c r="AB21">
        <f t="shared" si="10"/>
        <v>90347.51999999999</v>
      </c>
      <c r="AC21">
        <f t="shared" si="11"/>
        <v>22586.880000000005</v>
      </c>
      <c r="AD21">
        <f t="shared" si="12"/>
        <v>2004.6666666666667</v>
      </c>
      <c r="AE21">
        <f t="shared" si="13"/>
        <v>2018.0833333333333</v>
      </c>
      <c r="AF21">
        <f t="shared" si="14"/>
        <v>2011.6666666666667</v>
      </c>
      <c r="AG21">
        <f t="shared" si="15"/>
        <v>2017.0833333333333</v>
      </c>
      <c r="AH21">
        <f t="shared" si="16"/>
        <v>-8.3333333333333329E-2</v>
      </c>
      <c r="AJ21">
        <f t="shared" si="17"/>
        <v>7528.9600000000019</v>
      </c>
      <c r="AL21">
        <f t="shared" si="18"/>
        <v>7528.9600000000019</v>
      </c>
      <c r="AN21">
        <f t="shared" si="19"/>
        <v>-22586.880000000005</v>
      </c>
      <c r="AP21">
        <f t="shared" si="20"/>
        <v>0</v>
      </c>
      <c r="AR21">
        <f t="shared" si="21"/>
        <v>0</v>
      </c>
    </row>
    <row r="22" spans="1:76">
      <c r="A22" t="s">
        <v>285</v>
      </c>
      <c r="C22">
        <v>1040</v>
      </c>
      <c r="D22" t="s">
        <v>84</v>
      </c>
      <c r="E22">
        <v>2004</v>
      </c>
      <c r="F22">
        <v>9</v>
      </c>
      <c r="G22">
        <v>0.2</v>
      </c>
      <c r="I22" t="s">
        <v>78</v>
      </c>
      <c r="J22">
        <v>7</v>
      </c>
      <c r="K22">
        <f t="shared" si="0"/>
        <v>2011</v>
      </c>
      <c r="N22">
        <v>2730.88</v>
      </c>
      <c r="P22">
        <f t="shared" si="1"/>
        <v>2184.7040000000002</v>
      </c>
      <c r="Q22">
        <f t="shared" si="2"/>
        <v>26.008380952380957</v>
      </c>
      <c r="R22">
        <f t="shared" si="3"/>
        <v>0</v>
      </c>
      <c r="S22">
        <f t="shared" si="4"/>
        <v>0</v>
      </c>
      <c r="T22">
        <f t="shared" si="5"/>
        <v>0</v>
      </c>
      <c r="U22">
        <v>1</v>
      </c>
      <c r="V22">
        <f t="shared" si="6"/>
        <v>0</v>
      </c>
      <c r="X22">
        <f t="shared" si="7"/>
        <v>2184.7040000000002</v>
      </c>
      <c r="Y22">
        <f t="shared" si="8"/>
        <v>2184.7040000000002</v>
      </c>
      <c r="Z22">
        <v>1</v>
      </c>
      <c r="AA22">
        <f t="shared" si="9"/>
        <v>2184.7040000000002</v>
      </c>
      <c r="AB22">
        <f t="shared" si="10"/>
        <v>2184.7040000000002</v>
      </c>
      <c r="AC22">
        <f t="shared" si="11"/>
        <v>546.17599999999993</v>
      </c>
      <c r="AD22">
        <f t="shared" si="12"/>
        <v>2004.6666666666667</v>
      </c>
      <c r="AE22">
        <f t="shared" si="13"/>
        <v>2018.0833333333333</v>
      </c>
      <c r="AF22">
        <f t="shared" si="14"/>
        <v>2011.6666666666667</v>
      </c>
      <c r="AG22">
        <f t="shared" si="15"/>
        <v>2017.0833333333333</v>
      </c>
      <c r="AH22">
        <f t="shared" si="16"/>
        <v>-8.3333333333333329E-2</v>
      </c>
      <c r="AJ22">
        <f t="shared" si="17"/>
        <v>182.05866666666665</v>
      </c>
      <c r="AL22">
        <f t="shared" si="18"/>
        <v>182.05866666666665</v>
      </c>
      <c r="AN22">
        <f t="shared" si="19"/>
        <v>-546.17599999999993</v>
      </c>
      <c r="AP22">
        <f t="shared" si="20"/>
        <v>0</v>
      </c>
      <c r="AR22">
        <f t="shared" si="21"/>
        <v>0</v>
      </c>
    </row>
    <row r="23" spans="1:76">
      <c r="A23" t="s">
        <v>285</v>
      </c>
      <c r="B23">
        <v>61085</v>
      </c>
      <c r="C23">
        <v>1041</v>
      </c>
      <c r="D23" t="s">
        <v>148</v>
      </c>
      <c r="E23">
        <v>2004</v>
      </c>
      <c r="F23">
        <v>9</v>
      </c>
      <c r="G23">
        <v>0.2</v>
      </c>
      <c r="I23" t="s">
        <v>78</v>
      </c>
      <c r="J23">
        <v>7</v>
      </c>
      <c r="K23">
        <f t="shared" si="0"/>
        <v>2011</v>
      </c>
      <c r="N23">
        <v>112934.39999999999</v>
      </c>
      <c r="P23">
        <f t="shared" si="1"/>
        <v>90347.51999999999</v>
      </c>
      <c r="Q23">
        <f t="shared" si="2"/>
        <v>1075.5657142857142</v>
      </c>
      <c r="R23">
        <f t="shared" si="3"/>
        <v>0</v>
      </c>
      <c r="S23">
        <f t="shared" si="4"/>
        <v>0</v>
      </c>
      <c r="T23">
        <f t="shared" si="5"/>
        <v>0</v>
      </c>
      <c r="U23">
        <v>1</v>
      </c>
      <c r="V23">
        <f t="shared" si="6"/>
        <v>0</v>
      </c>
      <c r="X23">
        <f t="shared" si="7"/>
        <v>90347.51999999999</v>
      </c>
      <c r="Y23">
        <f t="shared" si="8"/>
        <v>90347.51999999999</v>
      </c>
      <c r="Z23">
        <v>1</v>
      </c>
      <c r="AA23">
        <f t="shared" si="9"/>
        <v>90347.51999999999</v>
      </c>
      <c r="AB23">
        <f t="shared" si="10"/>
        <v>90347.51999999999</v>
      </c>
      <c r="AC23">
        <f t="shared" si="11"/>
        <v>22586.880000000005</v>
      </c>
      <c r="AD23">
        <f t="shared" si="12"/>
        <v>2004.6666666666667</v>
      </c>
      <c r="AE23">
        <f t="shared" si="13"/>
        <v>2018.0833333333333</v>
      </c>
      <c r="AF23">
        <f t="shared" si="14"/>
        <v>2011.6666666666667</v>
      </c>
      <c r="AG23">
        <f t="shared" si="15"/>
        <v>2017.0833333333333</v>
      </c>
      <c r="AH23">
        <f t="shared" si="16"/>
        <v>-8.3333333333333329E-2</v>
      </c>
      <c r="AJ23">
        <f t="shared" si="17"/>
        <v>7528.9600000000019</v>
      </c>
      <c r="AL23">
        <f t="shared" si="18"/>
        <v>7528.9600000000019</v>
      </c>
      <c r="AN23">
        <f t="shared" si="19"/>
        <v>-22586.880000000005</v>
      </c>
      <c r="AP23">
        <f t="shared" si="20"/>
        <v>0</v>
      </c>
      <c r="AR23">
        <f t="shared" si="21"/>
        <v>0</v>
      </c>
    </row>
    <row r="24" spans="1:76">
      <c r="A24" t="s">
        <v>285</v>
      </c>
      <c r="C24">
        <v>1041</v>
      </c>
      <c r="D24" t="s">
        <v>87</v>
      </c>
      <c r="E24">
        <v>2004</v>
      </c>
      <c r="F24">
        <v>9</v>
      </c>
      <c r="G24">
        <v>0.2</v>
      </c>
      <c r="I24" t="s">
        <v>78</v>
      </c>
      <c r="J24">
        <v>7</v>
      </c>
      <c r="K24">
        <f t="shared" si="0"/>
        <v>2011</v>
      </c>
      <c r="N24">
        <v>2730.88</v>
      </c>
      <c r="P24">
        <f t="shared" si="1"/>
        <v>2184.7040000000002</v>
      </c>
      <c r="Q24">
        <f t="shared" si="2"/>
        <v>26.008380952380957</v>
      </c>
      <c r="R24">
        <f t="shared" si="3"/>
        <v>0</v>
      </c>
      <c r="S24">
        <f t="shared" si="4"/>
        <v>0</v>
      </c>
      <c r="T24">
        <f t="shared" si="5"/>
        <v>0</v>
      </c>
      <c r="U24">
        <v>1</v>
      </c>
      <c r="V24">
        <f t="shared" si="6"/>
        <v>0</v>
      </c>
      <c r="X24">
        <f t="shared" si="7"/>
        <v>2184.7040000000002</v>
      </c>
      <c r="Y24">
        <f t="shared" si="8"/>
        <v>2184.7040000000002</v>
      </c>
      <c r="Z24">
        <v>1</v>
      </c>
      <c r="AA24">
        <f t="shared" si="9"/>
        <v>2184.7040000000002</v>
      </c>
      <c r="AB24">
        <f t="shared" si="10"/>
        <v>2184.7040000000002</v>
      </c>
      <c r="AC24">
        <f t="shared" si="11"/>
        <v>546.17599999999993</v>
      </c>
      <c r="AD24">
        <f t="shared" si="12"/>
        <v>2004.6666666666667</v>
      </c>
      <c r="AE24">
        <f t="shared" si="13"/>
        <v>2018.0833333333333</v>
      </c>
      <c r="AF24">
        <f t="shared" si="14"/>
        <v>2011.6666666666667</v>
      </c>
      <c r="AG24">
        <f t="shared" si="15"/>
        <v>2017.0833333333333</v>
      </c>
      <c r="AH24">
        <f t="shared" si="16"/>
        <v>-8.3333333333333329E-2</v>
      </c>
      <c r="AJ24">
        <f t="shared" si="17"/>
        <v>182.05866666666665</v>
      </c>
      <c r="AL24">
        <f t="shared" si="18"/>
        <v>182.05866666666665</v>
      </c>
      <c r="AN24">
        <f t="shared" si="19"/>
        <v>-546.17599999999993</v>
      </c>
      <c r="AP24">
        <f t="shared" si="20"/>
        <v>0</v>
      </c>
      <c r="AR24">
        <f t="shared" si="21"/>
        <v>0</v>
      </c>
    </row>
    <row r="25" spans="1:76">
      <c r="A25" t="s">
        <v>284</v>
      </c>
      <c r="C25">
        <v>3575</v>
      </c>
      <c r="D25" t="s">
        <v>159</v>
      </c>
      <c r="E25">
        <v>2004</v>
      </c>
      <c r="F25">
        <v>12</v>
      </c>
      <c r="G25">
        <v>0.2</v>
      </c>
      <c r="I25" t="s">
        <v>78</v>
      </c>
      <c r="J25">
        <v>7</v>
      </c>
      <c r="K25">
        <f t="shared" si="0"/>
        <v>2011</v>
      </c>
      <c r="N25">
        <v>167550.66</v>
      </c>
      <c r="P25">
        <f t="shared" si="1"/>
        <v>134040.52799999999</v>
      </c>
      <c r="Q25">
        <f t="shared" si="2"/>
        <v>1595.7205714285712</v>
      </c>
      <c r="R25">
        <f t="shared" si="3"/>
        <v>0</v>
      </c>
      <c r="S25">
        <f t="shared" si="4"/>
        <v>0</v>
      </c>
      <c r="T25">
        <f t="shared" si="5"/>
        <v>0</v>
      </c>
      <c r="U25">
        <v>1</v>
      </c>
      <c r="V25">
        <f t="shared" si="6"/>
        <v>0</v>
      </c>
      <c r="X25">
        <f t="shared" si="7"/>
        <v>134040.52799999999</v>
      </c>
      <c r="Y25">
        <f t="shared" si="8"/>
        <v>134040.52799999999</v>
      </c>
      <c r="Z25">
        <v>1</v>
      </c>
      <c r="AA25">
        <f t="shared" si="9"/>
        <v>134040.52799999999</v>
      </c>
      <c r="AB25">
        <f t="shared" si="10"/>
        <v>134040.52799999999</v>
      </c>
      <c r="AC25">
        <f t="shared" si="11"/>
        <v>33510.132000000012</v>
      </c>
      <c r="AD25">
        <f t="shared" si="12"/>
        <v>2004.9166666666667</v>
      </c>
      <c r="AE25">
        <f t="shared" si="13"/>
        <v>2018.0833333333333</v>
      </c>
      <c r="AF25">
        <f t="shared" si="14"/>
        <v>2011.9166666666667</v>
      </c>
      <c r="AG25">
        <f t="shared" si="15"/>
        <v>2017.0833333333333</v>
      </c>
      <c r="AH25">
        <f t="shared" si="16"/>
        <v>-8.3333333333333329E-2</v>
      </c>
      <c r="AJ25">
        <f t="shared" si="17"/>
        <v>11170.044000000004</v>
      </c>
      <c r="AL25">
        <f t="shared" si="18"/>
        <v>11170.044000000004</v>
      </c>
      <c r="AN25">
        <f t="shared" si="19"/>
        <v>-33510.132000000012</v>
      </c>
      <c r="AP25">
        <f t="shared" si="20"/>
        <v>0</v>
      </c>
      <c r="AR25">
        <f t="shared" si="21"/>
        <v>0</v>
      </c>
    </row>
    <row r="26" spans="1:76">
      <c r="A26" t="s">
        <v>288</v>
      </c>
      <c r="C26">
        <v>5001</v>
      </c>
      <c r="D26" t="s">
        <v>304</v>
      </c>
      <c r="E26">
        <v>2005</v>
      </c>
      <c r="F26">
        <v>8</v>
      </c>
      <c r="G26">
        <v>0.33</v>
      </c>
      <c r="I26" t="s">
        <v>78</v>
      </c>
      <c r="J26">
        <v>5</v>
      </c>
      <c r="K26">
        <f t="shared" si="0"/>
        <v>2010</v>
      </c>
      <c r="N26">
        <v>9756</v>
      </c>
      <c r="P26">
        <f t="shared" si="1"/>
        <v>6536.52</v>
      </c>
      <c r="Q26">
        <f t="shared" si="2"/>
        <v>108.94200000000001</v>
      </c>
      <c r="R26">
        <f t="shared" si="3"/>
        <v>0</v>
      </c>
      <c r="S26">
        <f t="shared" si="4"/>
        <v>0</v>
      </c>
      <c r="T26">
        <f t="shared" si="5"/>
        <v>0</v>
      </c>
      <c r="U26">
        <v>1</v>
      </c>
      <c r="V26">
        <f t="shared" si="6"/>
        <v>0</v>
      </c>
      <c r="X26">
        <f t="shared" si="7"/>
        <v>6536.52</v>
      </c>
      <c r="Y26">
        <f t="shared" si="8"/>
        <v>6536.52</v>
      </c>
      <c r="Z26">
        <v>1</v>
      </c>
      <c r="AA26">
        <f t="shared" si="9"/>
        <v>6536.52</v>
      </c>
      <c r="AB26">
        <f t="shared" si="10"/>
        <v>6536.52</v>
      </c>
      <c r="AC26">
        <f t="shared" si="11"/>
        <v>3219.4799999999996</v>
      </c>
      <c r="AD26">
        <f t="shared" si="12"/>
        <v>2005.5833333333333</v>
      </c>
      <c r="AE26">
        <f t="shared" si="13"/>
        <v>2018.0833333333333</v>
      </c>
      <c r="AF26">
        <f t="shared" si="14"/>
        <v>2010.5833333333333</v>
      </c>
      <c r="AG26">
        <f t="shared" si="15"/>
        <v>2017.0833333333333</v>
      </c>
      <c r="AH26">
        <f t="shared" si="16"/>
        <v>-8.3333333333333329E-2</v>
      </c>
      <c r="AJ26">
        <f t="shared" si="17"/>
        <v>1073.1599999999999</v>
      </c>
      <c r="AL26">
        <f t="shared" si="18"/>
        <v>1073.1599999999999</v>
      </c>
      <c r="AN26">
        <f t="shared" si="19"/>
        <v>-3219.4799999999996</v>
      </c>
      <c r="AP26">
        <f t="shared" si="20"/>
        <v>0</v>
      </c>
      <c r="AR26">
        <f t="shared" si="21"/>
        <v>0</v>
      </c>
    </row>
    <row r="27" spans="1:76">
      <c r="A27" t="s">
        <v>285</v>
      </c>
      <c r="B27">
        <v>61093</v>
      </c>
      <c r="C27">
        <v>1042</v>
      </c>
      <c r="D27" t="s">
        <v>374</v>
      </c>
      <c r="E27">
        <v>2005</v>
      </c>
      <c r="F27">
        <v>12</v>
      </c>
      <c r="G27">
        <v>0.2</v>
      </c>
      <c r="I27" t="s">
        <v>78</v>
      </c>
      <c r="J27">
        <v>7</v>
      </c>
      <c r="K27">
        <f t="shared" si="0"/>
        <v>2012</v>
      </c>
      <c r="N27">
        <v>125862.5</v>
      </c>
      <c r="P27">
        <f t="shared" si="1"/>
        <v>100690</v>
      </c>
      <c r="Q27">
        <f t="shared" si="2"/>
        <v>1198.6904761904761</v>
      </c>
      <c r="R27">
        <f t="shared" si="3"/>
        <v>0</v>
      </c>
      <c r="S27">
        <f t="shared" si="4"/>
        <v>0</v>
      </c>
      <c r="T27">
        <f t="shared" si="5"/>
        <v>0</v>
      </c>
      <c r="U27">
        <v>1</v>
      </c>
      <c r="V27">
        <f t="shared" si="6"/>
        <v>0</v>
      </c>
      <c r="X27">
        <f t="shared" si="7"/>
        <v>100690</v>
      </c>
      <c r="Y27">
        <f t="shared" si="8"/>
        <v>100690</v>
      </c>
      <c r="Z27">
        <v>1</v>
      </c>
      <c r="AA27">
        <f t="shared" si="9"/>
        <v>100690</v>
      </c>
      <c r="AB27">
        <f t="shared" si="10"/>
        <v>100690</v>
      </c>
      <c r="AC27">
        <f t="shared" si="11"/>
        <v>25172.5</v>
      </c>
      <c r="AD27">
        <f t="shared" si="12"/>
        <v>2005.9166666666667</v>
      </c>
      <c r="AE27">
        <f t="shared" si="13"/>
        <v>2018.0833333333333</v>
      </c>
      <c r="AF27">
        <f t="shared" si="14"/>
        <v>2012.9166666666667</v>
      </c>
      <c r="AG27">
        <f t="shared" si="15"/>
        <v>2017.0833333333333</v>
      </c>
      <c r="AH27">
        <f t="shared" si="16"/>
        <v>-8.3333333333333329E-2</v>
      </c>
      <c r="AJ27">
        <f t="shared" si="17"/>
        <v>8390.8333333333339</v>
      </c>
      <c r="AL27">
        <f t="shared" si="18"/>
        <v>8390.8333333333339</v>
      </c>
      <c r="AN27">
        <f t="shared" si="19"/>
        <v>-25172.5</v>
      </c>
      <c r="AP27">
        <f t="shared" si="20"/>
        <v>0</v>
      </c>
      <c r="AR27">
        <f t="shared" si="21"/>
        <v>0</v>
      </c>
    </row>
    <row r="28" spans="1:76">
      <c r="A28" t="s">
        <v>284</v>
      </c>
      <c r="C28">
        <v>3586</v>
      </c>
      <c r="D28" t="s">
        <v>160</v>
      </c>
      <c r="E28">
        <v>2005</v>
      </c>
      <c r="F28">
        <v>12</v>
      </c>
      <c r="G28">
        <v>0.2</v>
      </c>
      <c r="I28" t="s">
        <v>78</v>
      </c>
      <c r="J28">
        <v>7</v>
      </c>
      <c r="K28">
        <f t="shared" si="0"/>
        <v>2012</v>
      </c>
      <c r="N28">
        <v>174584.51</v>
      </c>
      <c r="P28">
        <f t="shared" si="1"/>
        <v>139667.60800000001</v>
      </c>
      <c r="Q28">
        <f t="shared" si="2"/>
        <v>1662.7096190476193</v>
      </c>
      <c r="R28">
        <f t="shared" si="3"/>
        <v>0</v>
      </c>
      <c r="S28">
        <f t="shared" si="4"/>
        <v>0</v>
      </c>
      <c r="T28">
        <f t="shared" si="5"/>
        <v>0</v>
      </c>
      <c r="U28">
        <v>1</v>
      </c>
      <c r="V28">
        <f t="shared" si="6"/>
        <v>0</v>
      </c>
      <c r="X28">
        <f t="shared" si="7"/>
        <v>139667.60800000001</v>
      </c>
      <c r="Y28">
        <f t="shared" si="8"/>
        <v>139667.60800000001</v>
      </c>
      <c r="Z28">
        <v>1</v>
      </c>
      <c r="AA28">
        <f t="shared" si="9"/>
        <v>139667.60800000001</v>
      </c>
      <c r="AB28">
        <f t="shared" si="10"/>
        <v>139667.60800000001</v>
      </c>
      <c r="AC28">
        <f t="shared" si="11"/>
        <v>34916.902000000002</v>
      </c>
      <c r="AD28">
        <f t="shared" si="12"/>
        <v>2005.9166666666667</v>
      </c>
      <c r="AE28">
        <f t="shared" si="13"/>
        <v>2018.0833333333333</v>
      </c>
      <c r="AF28">
        <f t="shared" si="14"/>
        <v>2012.9166666666667</v>
      </c>
      <c r="AG28">
        <f t="shared" si="15"/>
        <v>2017.0833333333333</v>
      </c>
      <c r="AH28">
        <f t="shared" si="16"/>
        <v>-8.3333333333333329E-2</v>
      </c>
      <c r="AJ28">
        <f t="shared" si="17"/>
        <v>11638.967333333334</v>
      </c>
      <c r="AL28">
        <f t="shared" si="18"/>
        <v>11638.967333333334</v>
      </c>
      <c r="AN28">
        <f t="shared" si="19"/>
        <v>-34916.902000000002</v>
      </c>
      <c r="AP28">
        <f t="shared" si="20"/>
        <v>0</v>
      </c>
      <c r="AR28">
        <f t="shared" si="21"/>
        <v>0</v>
      </c>
    </row>
    <row r="29" spans="1:76">
      <c r="A29" t="s">
        <v>285</v>
      </c>
      <c r="B29">
        <v>61094</v>
      </c>
      <c r="C29">
        <v>1045</v>
      </c>
      <c r="D29" t="s">
        <v>375</v>
      </c>
      <c r="E29">
        <v>2006</v>
      </c>
      <c r="F29">
        <v>1</v>
      </c>
      <c r="G29">
        <v>0.2</v>
      </c>
      <c r="I29" t="s">
        <v>78</v>
      </c>
      <c r="J29">
        <v>7</v>
      </c>
      <c r="K29">
        <f t="shared" si="0"/>
        <v>2013</v>
      </c>
      <c r="N29">
        <v>126105.78</v>
      </c>
      <c r="P29">
        <f t="shared" si="1"/>
        <v>100884.624</v>
      </c>
      <c r="Q29">
        <f t="shared" si="2"/>
        <v>1201.0074285714286</v>
      </c>
      <c r="R29">
        <f t="shared" si="3"/>
        <v>0</v>
      </c>
      <c r="S29">
        <f t="shared" si="4"/>
        <v>0</v>
      </c>
      <c r="T29">
        <f t="shared" si="5"/>
        <v>0</v>
      </c>
      <c r="U29">
        <v>1</v>
      </c>
      <c r="V29">
        <f t="shared" si="6"/>
        <v>0</v>
      </c>
      <c r="X29">
        <f t="shared" si="7"/>
        <v>100884.624</v>
      </c>
      <c r="Y29">
        <f t="shared" si="8"/>
        <v>100884.624</v>
      </c>
      <c r="Z29">
        <v>1</v>
      </c>
      <c r="AA29">
        <f t="shared" si="9"/>
        <v>100884.624</v>
      </c>
      <c r="AB29">
        <f t="shared" si="10"/>
        <v>100884.624</v>
      </c>
      <c r="AC29">
        <f t="shared" si="11"/>
        <v>25221.156000000003</v>
      </c>
      <c r="AD29">
        <f t="shared" si="12"/>
        <v>2006</v>
      </c>
      <c r="AE29">
        <f t="shared" si="13"/>
        <v>2018.0833333333333</v>
      </c>
      <c r="AF29">
        <f t="shared" si="14"/>
        <v>2013</v>
      </c>
      <c r="AG29">
        <f t="shared" si="15"/>
        <v>2017.0833333333333</v>
      </c>
      <c r="AH29">
        <f t="shared" si="16"/>
        <v>-8.3333333333333329E-2</v>
      </c>
      <c r="AJ29">
        <f t="shared" si="17"/>
        <v>8407.0520000000015</v>
      </c>
      <c r="AL29">
        <f t="shared" si="18"/>
        <v>8407.0520000000015</v>
      </c>
      <c r="AN29">
        <f t="shared" si="19"/>
        <v>-25221.156000000003</v>
      </c>
      <c r="AP29">
        <f t="shared" si="20"/>
        <v>0</v>
      </c>
      <c r="AR29">
        <f t="shared" si="21"/>
        <v>0</v>
      </c>
      <c r="BX29" t="s">
        <v>256</v>
      </c>
    </row>
    <row r="30" spans="1:76">
      <c r="A30" t="s">
        <v>284</v>
      </c>
      <c r="C30">
        <v>3586</v>
      </c>
      <c r="D30" t="s">
        <v>296</v>
      </c>
      <c r="E30">
        <v>2006</v>
      </c>
      <c r="F30">
        <v>1</v>
      </c>
      <c r="G30">
        <v>0.2</v>
      </c>
      <c r="I30" t="s">
        <v>78</v>
      </c>
      <c r="J30">
        <v>7</v>
      </c>
      <c r="K30">
        <f t="shared" si="0"/>
        <v>2013</v>
      </c>
      <c r="N30">
        <v>8338.44</v>
      </c>
      <c r="P30">
        <f t="shared" si="1"/>
        <v>6670.7520000000004</v>
      </c>
      <c r="Q30">
        <f t="shared" si="2"/>
        <v>79.413714285714292</v>
      </c>
      <c r="R30">
        <f t="shared" si="3"/>
        <v>0</v>
      </c>
      <c r="S30">
        <f t="shared" si="4"/>
        <v>0</v>
      </c>
      <c r="T30">
        <f t="shared" si="5"/>
        <v>0</v>
      </c>
      <c r="U30">
        <v>1</v>
      </c>
      <c r="V30">
        <f t="shared" si="6"/>
        <v>0</v>
      </c>
      <c r="X30">
        <f t="shared" si="7"/>
        <v>6670.7520000000004</v>
      </c>
      <c r="Y30">
        <f t="shared" si="8"/>
        <v>6670.7520000000004</v>
      </c>
      <c r="Z30">
        <v>1</v>
      </c>
      <c r="AA30">
        <f t="shared" si="9"/>
        <v>6670.7520000000004</v>
      </c>
      <c r="AB30">
        <f t="shared" si="10"/>
        <v>6670.7520000000004</v>
      </c>
      <c r="AC30">
        <f t="shared" si="11"/>
        <v>1667.6880000000001</v>
      </c>
      <c r="AD30">
        <f t="shared" si="12"/>
        <v>2006</v>
      </c>
      <c r="AE30">
        <f t="shared" si="13"/>
        <v>2018.0833333333333</v>
      </c>
      <c r="AF30">
        <f t="shared" si="14"/>
        <v>2013</v>
      </c>
      <c r="AG30">
        <f t="shared" si="15"/>
        <v>2017.0833333333333</v>
      </c>
      <c r="AH30">
        <f t="shared" si="16"/>
        <v>-8.3333333333333329E-2</v>
      </c>
      <c r="AJ30">
        <f t="shared" si="17"/>
        <v>555.89600000000007</v>
      </c>
      <c r="AL30">
        <f t="shared" si="18"/>
        <v>555.89600000000007</v>
      </c>
      <c r="AN30">
        <f t="shared" si="19"/>
        <v>-1667.6880000000001</v>
      </c>
      <c r="AP30">
        <f t="shared" si="20"/>
        <v>0</v>
      </c>
      <c r="AR30">
        <f t="shared" si="21"/>
        <v>0</v>
      </c>
      <c r="BX30" t="s">
        <v>257</v>
      </c>
    </row>
    <row r="31" spans="1:76">
      <c r="A31" t="s">
        <v>285</v>
      </c>
      <c r="B31">
        <v>61095</v>
      </c>
      <c r="C31">
        <v>1046</v>
      </c>
      <c r="D31" t="s">
        <v>375</v>
      </c>
      <c r="E31">
        <v>2006</v>
      </c>
      <c r="F31">
        <v>5</v>
      </c>
      <c r="G31">
        <v>0.2</v>
      </c>
      <c r="I31" t="s">
        <v>78</v>
      </c>
      <c r="J31">
        <v>7</v>
      </c>
      <c r="K31">
        <f t="shared" si="0"/>
        <v>2013</v>
      </c>
      <c r="N31">
        <f>122285.81+3819.97</f>
        <v>126105.78</v>
      </c>
      <c r="P31">
        <f t="shared" si="1"/>
        <v>100884.624</v>
      </c>
      <c r="Q31">
        <f t="shared" si="2"/>
        <v>1201.0074285714286</v>
      </c>
      <c r="R31">
        <f t="shared" si="3"/>
        <v>0</v>
      </c>
      <c r="S31">
        <f t="shared" si="4"/>
        <v>0</v>
      </c>
      <c r="T31">
        <f t="shared" si="5"/>
        <v>0</v>
      </c>
      <c r="U31">
        <v>1</v>
      </c>
      <c r="V31">
        <f t="shared" si="6"/>
        <v>0</v>
      </c>
      <c r="X31">
        <f t="shared" si="7"/>
        <v>100884.624</v>
      </c>
      <c r="Y31">
        <f t="shared" si="8"/>
        <v>100884.624</v>
      </c>
      <c r="Z31">
        <v>1</v>
      </c>
      <c r="AA31">
        <f t="shared" si="9"/>
        <v>100884.624</v>
      </c>
      <c r="AB31">
        <f t="shared" si="10"/>
        <v>100884.624</v>
      </c>
      <c r="AC31">
        <f t="shared" si="11"/>
        <v>25221.156000000003</v>
      </c>
      <c r="AD31">
        <f t="shared" si="12"/>
        <v>2006.3333333333333</v>
      </c>
      <c r="AE31">
        <f t="shared" si="13"/>
        <v>2018.0833333333333</v>
      </c>
      <c r="AF31">
        <f t="shared" si="14"/>
        <v>2013.3333333333333</v>
      </c>
      <c r="AG31">
        <f t="shared" si="15"/>
        <v>2017.0833333333333</v>
      </c>
      <c r="AH31">
        <f t="shared" si="16"/>
        <v>-8.3333333333333329E-2</v>
      </c>
      <c r="AJ31">
        <f t="shared" si="17"/>
        <v>8407.0520000000015</v>
      </c>
      <c r="AL31">
        <f t="shared" si="18"/>
        <v>8407.0520000000015</v>
      </c>
      <c r="AN31">
        <f t="shared" si="19"/>
        <v>-25221.156000000003</v>
      </c>
      <c r="AP31">
        <f t="shared" si="20"/>
        <v>0</v>
      </c>
      <c r="AR31">
        <f t="shared" si="21"/>
        <v>0</v>
      </c>
    </row>
    <row r="32" spans="1:76">
      <c r="A32" t="s">
        <v>284</v>
      </c>
      <c r="C32">
        <v>3590</v>
      </c>
      <c r="D32" t="s">
        <v>160</v>
      </c>
      <c r="E32">
        <v>2006</v>
      </c>
      <c r="F32">
        <v>5</v>
      </c>
      <c r="G32">
        <v>0.2</v>
      </c>
      <c r="I32" t="s">
        <v>78</v>
      </c>
      <c r="J32">
        <v>7</v>
      </c>
      <c r="K32">
        <f t="shared" si="0"/>
        <v>2013</v>
      </c>
      <c r="N32">
        <v>183553.22</v>
      </c>
      <c r="P32">
        <f t="shared" si="1"/>
        <v>146842.576</v>
      </c>
      <c r="Q32">
        <f t="shared" si="2"/>
        <v>1748.1259047619048</v>
      </c>
      <c r="R32">
        <f t="shared" si="3"/>
        <v>0</v>
      </c>
      <c r="S32">
        <f t="shared" si="4"/>
        <v>0</v>
      </c>
      <c r="T32">
        <f t="shared" si="5"/>
        <v>0</v>
      </c>
      <c r="U32">
        <v>1</v>
      </c>
      <c r="V32">
        <f t="shared" si="6"/>
        <v>0</v>
      </c>
      <c r="X32">
        <f t="shared" si="7"/>
        <v>146842.576</v>
      </c>
      <c r="Y32">
        <f t="shared" si="8"/>
        <v>146842.576</v>
      </c>
      <c r="Z32">
        <v>1</v>
      </c>
      <c r="AA32">
        <f t="shared" si="9"/>
        <v>146842.576</v>
      </c>
      <c r="AB32">
        <f t="shared" si="10"/>
        <v>146842.576</v>
      </c>
      <c r="AC32">
        <f t="shared" si="11"/>
        <v>36710.644</v>
      </c>
      <c r="AD32">
        <f t="shared" si="12"/>
        <v>2006.3333333333333</v>
      </c>
      <c r="AE32">
        <f t="shared" si="13"/>
        <v>2018.0833333333333</v>
      </c>
      <c r="AF32">
        <f t="shared" si="14"/>
        <v>2013.3333333333333</v>
      </c>
      <c r="AG32">
        <f t="shared" si="15"/>
        <v>2017.0833333333333</v>
      </c>
      <c r="AH32">
        <f t="shared" si="16"/>
        <v>-8.3333333333333329E-2</v>
      </c>
      <c r="AJ32">
        <f t="shared" si="17"/>
        <v>12236.881333333333</v>
      </c>
      <c r="AL32">
        <f t="shared" si="18"/>
        <v>12236.881333333333</v>
      </c>
      <c r="AN32">
        <f t="shared" si="19"/>
        <v>-36710.644</v>
      </c>
      <c r="AP32">
        <f t="shared" si="20"/>
        <v>0</v>
      </c>
      <c r="AR32">
        <f t="shared" si="21"/>
        <v>0</v>
      </c>
      <c r="BW32">
        <v>4</v>
      </c>
      <c r="BX32" t="s">
        <v>259</v>
      </c>
    </row>
    <row r="33" spans="1:76">
      <c r="A33" t="s">
        <v>284</v>
      </c>
      <c r="C33">
        <v>3591</v>
      </c>
      <c r="D33" t="s">
        <v>376</v>
      </c>
      <c r="E33">
        <v>2006</v>
      </c>
      <c r="F33">
        <v>5</v>
      </c>
      <c r="G33">
        <v>0.2</v>
      </c>
      <c r="I33" t="s">
        <v>78</v>
      </c>
      <c r="J33">
        <v>7</v>
      </c>
      <c r="K33">
        <f t="shared" si="0"/>
        <v>2013</v>
      </c>
      <c r="N33">
        <v>183553.22</v>
      </c>
      <c r="P33">
        <f t="shared" si="1"/>
        <v>146842.576</v>
      </c>
      <c r="Q33">
        <f t="shared" si="2"/>
        <v>1748.1259047619048</v>
      </c>
      <c r="R33">
        <f t="shared" si="3"/>
        <v>0</v>
      </c>
      <c r="S33">
        <f t="shared" si="4"/>
        <v>0</v>
      </c>
      <c r="T33">
        <f t="shared" si="5"/>
        <v>0</v>
      </c>
      <c r="U33">
        <v>1</v>
      </c>
      <c r="V33">
        <f t="shared" si="6"/>
        <v>0</v>
      </c>
      <c r="X33">
        <f t="shared" si="7"/>
        <v>146842.576</v>
      </c>
      <c r="Y33">
        <f t="shared" si="8"/>
        <v>146842.576</v>
      </c>
      <c r="Z33">
        <v>1</v>
      </c>
      <c r="AA33">
        <f t="shared" si="9"/>
        <v>146842.576</v>
      </c>
      <c r="AB33">
        <f t="shared" si="10"/>
        <v>146842.576</v>
      </c>
      <c r="AC33">
        <f t="shared" si="11"/>
        <v>36710.644</v>
      </c>
      <c r="AD33">
        <f t="shared" si="12"/>
        <v>2006.3333333333333</v>
      </c>
      <c r="AE33">
        <f t="shared" si="13"/>
        <v>2018.0833333333333</v>
      </c>
      <c r="AF33">
        <f t="shared" si="14"/>
        <v>2013.3333333333333</v>
      </c>
      <c r="AG33">
        <f t="shared" si="15"/>
        <v>2017.0833333333333</v>
      </c>
      <c r="AH33">
        <f t="shared" si="16"/>
        <v>-8.3333333333333329E-2</v>
      </c>
      <c r="AJ33">
        <f t="shared" si="17"/>
        <v>12236.881333333333</v>
      </c>
      <c r="AL33">
        <f t="shared" si="18"/>
        <v>12236.881333333333</v>
      </c>
      <c r="AN33">
        <f t="shared" si="19"/>
        <v>-36710.644</v>
      </c>
      <c r="AP33">
        <f t="shared" si="20"/>
        <v>0</v>
      </c>
      <c r="AR33">
        <f t="shared" si="21"/>
        <v>0</v>
      </c>
      <c r="BX33" t="s">
        <v>280</v>
      </c>
    </row>
    <row r="34" spans="1:76">
      <c r="A34" t="s">
        <v>284</v>
      </c>
      <c r="C34">
        <v>3593</v>
      </c>
      <c r="D34" t="s">
        <v>376</v>
      </c>
      <c r="E34">
        <v>2006</v>
      </c>
      <c r="F34">
        <v>5</v>
      </c>
      <c r="G34">
        <v>0.2</v>
      </c>
      <c r="I34" t="s">
        <v>78</v>
      </c>
      <c r="J34">
        <v>7</v>
      </c>
      <c r="K34">
        <f t="shared" si="0"/>
        <v>2013</v>
      </c>
      <c r="N34">
        <v>183553.22</v>
      </c>
      <c r="P34">
        <f t="shared" si="1"/>
        <v>146842.576</v>
      </c>
      <c r="Q34">
        <f t="shared" si="2"/>
        <v>1748.1259047619048</v>
      </c>
      <c r="R34">
        <f t="shared" si="3"/>
        <v>0</v>
      </c>
      <c r="S34">
        <f t="shared" si="4"/>
        <v>0</v>
      </c>
      <c r="T34">
        <f t="shared" si="5"/>
        <v>0</v>
      </c>
      <c r="U34">
        <v>1</v>
      </c>
      <c r="V34">
        <f t="shared" si="6"/>
        <v>0</v>
      </c>
      <c r="X34">
        <f t="shared" si="7"/>
        <v>146842.576</v>
      </c>
      <c r="Y34">
        <f t="shared" si="8"/>
        <v>146842.576</v>
      </c>
      <c r="Z34">
        <v>1</v>
      </c>
      <c r="AA34">
        <f t="shared" si="9"/>
        <v>146842.576</v>
      </c>
      <c r="AB34">
        <f t="shared" si="10"/>
        <v>146842.576</v>
      </c>
      <c r="AC34">
        <f t="shared" si="11"/>
        <v>36710.644</v>
      </c>
      <c r="AD34">
        <f t="shared" si="12"/>
        <v>2006.3333333333333</v>
      </c>
      <c r="AE34">
        <f t="shared" si="13"/>
        <v>2018.0833333333333</v>
      </c>
      <c r="AF34">
        <f t="shared" si="14"/>
        <v>2013.3333333333333</v>
      </c>
      <c r="AG34">
        <f t="shared" si="15"/>
        <v>2017.0833333333333</v>
      </c>
      <c r="AH34">
        <f t="shared" si="16"/>
        <v>-8.3333333333333329E-2</v>
      </c>
      <c r="AJ34">
        <f t="shared" si="17"/>
        <v>12236.881333333333</v>
      </c>
      <c r="AL34">
        <f t="shared" si="18"/>
        <v>12236.881333333333</v>
      </c>
      <c r="AN34">
        <f t="shared" si="19"/>
        <v>-36710.644</v>
      </c>
      <c r="AP34">
        <f t="shared" si="20"/>
        <v>0</v>
      </c>
      <c r="AR34">
        <f t="shared" si="21"/>
        <v>0</v>
      </c>
    </row>
    <row r="35" spans="1:76">
      <c r="A35">
        <v>61092</v>
      </c>
      <c r="B35" t="s">
        <v>286</v>
      </c>
      <c r="C35">
        <v>2026</v>
      </c>
      <c r="D35" t="s">
        <v>152</v>
      </c>
      <c r="E35">
        <v>2006</v>
      </c>
      <c r="F35">
        <v>8</v>
      </c>
      <c r="G35">
        <v>0.2</v>
      </c>
      <c r="I35" t="s">
        <v>78</v>
      </c>
      <c r="J35">
        <v>7</v>
      </c>
      <c r="K35">
        <f>E35+J35</f>
        <v>2013</v>
      </c>
      <c r="N35">
        <v>208742.37</v>
      </c>
      <c r="P35">
        <f t="shared" si="1"/>
        <v>166993.89600000001</v>
      </c>
      <c r="Q35">
        <f t="shared" si="2"/>
        <v>1988.0225714285716</v>
      </c>
      <c r="R35">
        <f>IF(O35&gt;0,0,IF(OR(AD35&gt;AE35,AF35&lt;AG35),0,IF(AND(AF35&gt;=AG35,AF35&lt;=AE35),Q35*((AF35-AG35)*12),IF(AND(AG35&lt;=AD35,AE35&gt;=AD35),((AE35-AD35)*12)*Q35,IF(AF35&gt;AE35,12*Q35,0)))))</f>
        <v>0</v>
      </c>
      <c r="S35">
        <f>IF(O35=0,0,IF(AND(AH35&gt;=AG35,AH35&lt;=AF35),((AH35-AG35)*12)*Q35,0))</f>
        <v>0</v>
      </c>
      <c r="T35">
        <f>IF(S35&gt;0,S35,R35)</f>
        <v>0</v>
      </c>
      <c r="U35">
        <v>1</v>
      </c>
      <c r="V35">
        <f>U35*SUM(R35:S35)</f>
        <v>0</v>
      </c>
      <c r="X35">
        <f>IF(AD35&gt;AE35,0,IF(AF35&lt;AG35,P35,IF(AND(AF35&gt;=AG35,AF35&lt;=AE35),(P35-T35),IF(AND(AG35&lt;=AD35,AE35&gt;=AD35),0,IF(AF35&gt;AE35,((AG35-AD35)*12)*Q35,0)))))</f>
        <v>166993.89600000001</v>
      </c>
      <c r="Y35">
        <f>X35*U35</f>
        <v>166993.89600000001</v>
      </c>
      <c r="Z35">
        <v>1</v>
      </c>
      <c r="AA35">
        <f>Y35*Z35</f>
        <v>166993.89600000001</v>
      </c>
      <c r="AB35">
        <f>IF(O35&gt;0,0,AA35+V35*Z35)*Z35</f>
        <v>166993.89600000001</v>
      </c>
      <c r="AC35">
        <f>IF(O35&gt;0,(N35-AA35)/2,IF(AD35&gt;=AG35,(((N35*U35)*Z35)-AB35)/2,((((N35*U35)*Z35)-AA35)+(((N35*U35)*Z35)-AB35))/2))</f>
        <v>41748.473999999987</v>
      </c>
      <c r="AD35">
        <f>$E35+(($F35-1)/12)</f>
        <v>2006.5833333333333</v>
      </c>
      <c r="AE35">
        <f t="shared" si="13"/>
        <v>2018.0833333333333</v>
      </c>
      <c r="AF35">
        <f>$K35+(($F35-1)/12)</f>
        <v>2013.5833333333333</v>
      </c>
      <c r="AG35">
        <f t="shared" si="15"/>
        <v>2017.0833333333333</v>
      </c>
      <c r="AH35">
        <f t="shared" si="16"/>
        <v>-8.3333333333333329E-2</v>
      </c>
      <c r="AJ35">
        <f t="shared" si="17"/>
        <v>13916.157999999996</v>
      </c>
      <c r="AL35">
        <f t="shared" si="18"/>
        <v>13916.157999999996</v>
      </c>
      <c r="AN35">
        <f t="shared" si="19"/>
        <v>-41748.473999999987</v>
      </c>
      <c r="AP35">
        <f t="shared" si="20"/>
        <v>0</v>
      </c>
      <c r="AR35">
        <f t="shared" si="21"/>
        <v>0</v>
      </c>
    </row>
    <row r="36" spans="1:76">
      <c r="A36" t="s">
        <v>312</v>
      </c>
      <c r="C36">
        <v>11088</v>
      </c>
      <c r="D36" t="s">
        <v>326</v>
      </c>
      <c r="E36">
        <v>2006</v>
      </c>
      <c r="F36">
        <v>10</v>
      </c>
      <c r="G36">
        <v>0.33</v>
      </c>
      <c r="I36" t="s">
        <v>78</v>
      </c>
      <c r="J36">
        <v>5</v>
      </c>
      <c r="K36">
        <f t="shared" si="0"/>
        <v>2011</v>
      </c>
      <c r="N36">
        <v>152640.22</v>
      </c>
      <c r="P36">
        <f t="shared" si="1"/>
        <v>102268.9474</v>
      </c>
      <c r="Q36">
        <f t="shared" si="2"/>
        <v>1704.4824566666666</v>
      </c>
      <c r="R36">
        <f t="shared" si="3"/>
        <v>0</v>
      </c>
      <c r="S36">
        <f t="shared" si="4"/>
        <v>0</v>
      </c>
      <c r="T36">
        <f t="shared" si="5"/>
        <v>0</v>
      </c>
      <c r="U36">
        <v>1</v>
      </c>
      <c r="V36">
        <f t="shared" si="6"/>
        <v>0</v>
      </c>
      <c r="X36">
        <f t="shared" si="7"/>
        <v>102268.9474</v>
      </c>
      <c r="Y36">
        <f t="shared" si="8"/>
        <v>102268.9474</v>
      </c>
      <c r="Z36">
        <v>1</v>
      </c>
      <c r="AA36">
        <f t="shared" si="9"/>
        <v>102268.9474</v>
      </c>
      <c r="AB36">
        <f t="shared" si="10"/>
        <v>102268.9474</v>
      </c>
      <c r="AC36">
        <f t="shared" si="11"/>
        <v>50371.272599999997</v>
      </c>
      <c r="AD36">
        <f t="shared" si="12"/>
        <v>2006.75</v>
      </c>
      <c r="AE36">
        <f t="shared" si="13"/>
        <v>2018.0833333333333</v>
      </c>
      <c r="AF36">
        <f t="shared" si="14"/>
        <v>2011.75</v>
      </c>
      <c r="AG36">
        <f t="shared" si="15"/>
        <v>2017.0833333333333</v>
      </c>
      <c r="AH36">
        <f t="shared" si="16"/>
        <v>-8.3333333333333329E-2</v>
      </c>
      <c r="AJ36">
        <f t="shared" si="17"/>
        <v>16790.424199999998</v>
      </c>
      <c r="AL36">
        <f t="shared" si="18"/>
        <v>16790.424199999998</v>
      </c>
      <c r="AN36">
        <f t="shared" si="19"/>
        <v>-50371.272599999997</v>
      </c>
      <c r="AP36">
        <f t="shared" si="20"/>
        <v>0</v>
      </c>
      <c r="AR36">
        <f t="shared" si="21"/>
        <v>0</v>
      </c>
      <c r="BX36" t="s">
        <v>281</v>
      </c>
    </row>
    <row r="37" spans="1:76">
      <c r="A37" t="s">
        <v>285</v>
      </c>
      <c r="B37">
        <v>61107</v>
      </c>
      <c r="C37">
        <v>1049</v>
      </c>
      <c r="D37" t="s">
        <v>149</v>
      </c>
      <c r="E37">
        <v>2006</v>
      </c>
      <c r="F37">
        <v>11</v>
      </c>
      <c r="G37">
        <v>0.2</v>
      </c>
      <c r="I37" t="s">
        <v>78</v>
      </c>
      <c r="J37">
        <v>7</v>
      </c>
      <c r="K37">
        <f t="shared" si="0"/>
        <v>2013</v>
      </c>
      <c r="N37">
        <v>126621.44</v>
      </c>
      <c r="P37">
        <f t="shared" si="1"/>
        <v>101297.152</v>
      </c>
      <c r="Q37">
        <f t="shared" si="2"/>
        <v>1205.9184761904762</v>
      </c>
      <c r="R37">
        <f t="shared" si="3"/>
        <v>0</v>
      </c>
      <c r="S37">
        <f t="shared" si="4"/>
        <v>0</v>
      </c>
      <c r="T37">
        <f t="shared" si="5"/>
        <v>0</v>
      </c>
      <c r="U37">
        <v>1</v>
      </c>
      <c r="V37">
        <f t="shared" si="6"/>
        <v>0</v>
      </c>
      <c r="X37">
        <f t="shared" si="7"/>
        <v>101297.152</v>
      </c>
      <c r="Y37">
        <f t="shared" si="8"/>
        <v>101297.152</v>
      </c>
      <c r="Z37">
        <v>1</v>
      </c>
      <c r="AA37">
        <f t="shared" si="9"/>
        <v>101297.152</v>
      </c>
      <c r="AB37">
        <f t="shared" si="10"/>
        <v>101297.152</v>
      </c>
      <c r="AC37">
        <f t="shared" si="11"/>
        <v>25324.288</v>
      </c>
      <c r="AD37">
        <f t="shared" si="12"/>
        <v>2006.8333333333333</v>
      </c>
      <c r="AE37">
        <f t="shared" si="13"/>
        <v>2018.0833333333333</v>
      </c>
      <c r="AF37">
        <f t="shared" si="14"/>
        <v>2013.8333333333333</v>
      </c>
      <c r="AG37">
        <f t="shared" si="15"/>
        <v>2017.0833333333333</v>
      </c>
      <c r="AH37">
        <f t="shared" si="16"/>
        <v>-8.3333333333333329E-2</v>
      </c>
      <c r="AJ37">
        <f t="shared" si="17"/>
        <v>8441.4293333333335</v>
      </c>
      <c r="AL37">
        <f t="shared" si="18"/>
        <v>8441.4293333333335</v>
      </c>
      <c r="AN37">
        <f t="shared" si="19"/>
        <v>-25324.288</v>
      </c>
      <c r="AP37">
        <f t="shared" si="20"/>
        <v>0</v>
      </c>
      <c r="AR37">
        <f t="shared" si="21"/>
        <v>0</v>
      </c>
      <c r="BX37" t="s">
        <v>281</v>
      </c>
    </row>
    <row r="38" spans="1:76">
      <c r="A38" t="s">
        <v>284</v>
      </c>
      <c r="C38">
        <v>3603</v>
      </c>
      <c r="D38" t="s">
        <v>161</v>
      </c>
      <c r="E38">
        <v>2007</v>
      </c>
      <c r="F38">
        <v>3</v>
      </c>
      <c r="G38">
        <v>0.2</v>
      </c>
      <c r="I38" t="s">
        <v>78</v>
      </c>
      <c r="J38">
        <v>7</v>
      </c>
      <c r="K38">
        <f t="shared" si="0"/>
        <v>2014</v>
      </c>
      <c r="N38">
        <v>194705.04</v>
      </c>
      <c r="P38">
        <f t="shared" si="1"/>
        <v>155764.03200000001</v>
      </c>
      <c r="Q38">
        <f t="shared" si="2"/>
        <v>1854.3337142857144</v>
      </c>
      <c r="R38">
        <f t="shared" si="3"/>
        <v>0</v>
      </c>
      <c r="S38">
        <f t="shared" si="4"/>
        <v>0</v>
      </c>
      <c r="T38">
        <f t="shared" si="5"/>
        <v>0</v>
      </c>
      <c r="U38">
        <v>1</v>
      </c>
      <c r="V38">
        <f t="shared" si="6"/>
        <v>0</v>
      </c>
      <c r="X38">
        <f t="shared" si="7"/>
        <v>155764.03200000001</v>
      </c>
      <c r="Y38">
        <f t="shared" si="8"/>
        <v>155764.03200000001</v>
      </c>
      <c r="Z38">
        <v>1</v>
      </c>
      <c r="AA38">
        <f t="shared" si="9"/>
        <v>155764.03200000001</v>
      </c>
      <c r="AB38">
        <f t="shared" si="10"/>
        <v>155764.03200000001</v>
      </c>
      <c r="AC38">
        <f t="shared" si="11"/>
        <v>38941.008000000002</v>
      </c>
      <c r="AD38">
        <f t="shared" si="12"/>
        <v>2007.1666666666667</v>
      </c>
      <c r="AE38">
        <f t="shared" si="13"/>
        <v>2018.0833333333333</v>
      </c>
      <c r="AF38">
        <f t="shared" si="14"/>
        <v>2014.1666666666667</v>
      </c>
      <c r="AG38">
        <f t="shared" si="15"/>
        <v>2017.0833333333333</v>
      </c>
      <c r="AH38">
        <f t="shared" si="16"/>
        <v>-8.3333333333333329E-2</v>
      </c>
      <c r="AJ38">
        <f t="shared" si="17"/>
        <v>12980.336000000001</v>
      </c>
      <c r="AL38">
        <f t="shared" si="18"/>
        <v>12980.336000000001</v>
      </c>
      <c r="AN38">
        <f t="shared" si="19"/>
        <v>-38941.008000000002</v>
      </c>
      <c r="AP38">
        <f t="shared" si="20"/>
        <v>0</v>
      </c>
      <c r="AR38">
        <f t="shared" si="21"/>
        <v>0</v>
      </c>
      <c r="BW38">
        <v>5</v>
      </c>
      <c r="BX38" t="s">
        <v>282</v>
      </c>
    </row>
    <row r="39" spans="1:76">
      <c r="A39" t="s">
        <v>285</v>
      </c>
      <c r="B39">
        <v>61108</v>
      </c>
      <c r="C39">
        <v>1054</v>
      </c>
      <c r="D39" t="s">
        <v>150</v>
      </c>
      <c r="E39">
        <v>2007</v>
      </c>
      <c r="F39">
        <v>4</v>
      </c>
      <c r="G39">
        <v>0.2</v>
      </c>
      <c r="I39" t="s">
        <v>78</v>
      </c>
      <c r="J39">
        <v>7</v>
      </c>
      <c r="K39">
        <f t="shared" si="0"/>
        <v>2014</v>
      </c>
      <c r="N39">
        <v>126959.69</v>
      </c>
      <c r="P39">
        <f t="shared" si="1"/>
        <v>101567.75200000001</v>
      </c>
      <c r="Q39">
        <f t="shared" si="2"/>
        <v>1209.139904761905</v>
      </c>
      <c r="R39">
        <f t="shared" si="3"/>
        <v>0</v>
      </c>
      <c r="S39">
        <f t="shared" si="4"/>
        <v>0</v>
      </c>
      <c r="T39">
        <f t="shared" si="5"/>
        <v>0</v>
      </c>
      <c r="U39">
        <v>1</v>
      </c>
      <c r="V39">
        <f t="shared" si="6"/>
        <v>0</v>
      </c>
      <c r="X39">
        <f t="shared" si="7"/>
        <v>101567.75200000001</v>
      </c>
      <c r="Y39">
        <f t="shared" si="8"/>
        <v>101567.75200000001</v>
      </c>
      <c r="Z39">
        <v>1</v>
      </c>
      <c r="AA39">
        <f t="shared" si="9"/>
        <v>101567.75200000001</v>
      </c>
      <c r="AB39">
        <f t="shared" si="10"/>
        <v>101567.75200000001</v>
      </c>
      <c r="AC39">
        <f t="shared" si="11"/>
        <v>25391.937999999995</v>
      </c>
      <c r="AD39">
        <f t="shared" si="12"/>
        <v>2007.25</v>
      </c>
      <c r="AE39">
        <f t="shared" si="13"/>
        <v>2018.0833333333333</v>
      </c>
      <c r="AF39">
        <f t="shared" si="14"/>
        <v>2014.25</v>
      </c>
      <c r="AG39">
        <f t="shared" si="15"/>
        <v>2017.0833333333333</v>
      </c>
      <c r="AH39">
        <f t="shared" si="16"/>
        <v>-8.3333333333333329E-2</v>
      </c>
      <c r="AJ39">
        <f t="shared" si="17"/>
        <v>8463.9793333333309</v>
      </c>
      <c r="AL39">
        <f t="shared" si="18"/>
        <v>8463.9793333333309</v>
      </c>
      <c r="AN39">
        <f t="shared" si="19"/>
        <v>-25391.937999999995</v>
      </c>
      <c r="AP39">
        <f t="shared" si="20"/>
        <v>0</v>
      </c>
      <c r="AR39">
        <f t="shared" si="21"/>
        <v>0</v>
      </c>
    </row>
    <row r="40" spans="1:76">
      <c r="A40" t="s">
        <v>285</v>
      </c>
      <c r="B40">
        <v>61109</v>
      </c>
      <c r="C40">
        <v>1059</v>
      </c>
      <c r="D40" t="s">
        <v>150</v>
      </c>
      <c r="E40">
        <v>2007</v>
      </c>
      <c r="F40">
        <v>4</v>
      </c>
      <c r="G40">
        <v>0.2</v>
      </c>
      <c r="I40" t="s">
        <v>78</v>
      </c>
      <c r="J40">
        <v>7</v>
      </c>
      <c r="K40">
        <f t="shared" si="0"/>
        <v>2014</v>
      </c>
      <c r="N40">
        <v>127343.72</v>
      </c>
      <c r="P40">
        <f t="shared" si="1"/>
        <v>101874.976</v>
      </c>
      <c r="Q40">
        <f t="shared" si="2"/>
        <v>1212.7973333333332</v>
      </c>
      <c r="R40">
        <f t="shared" si="3"/>
        <v>0</v>
      </c>
      <c r="S40">
        <f t="shared" si="4"/>
        <v>0</v>
      </c>
      <c r="T40">
        <f t="shared" si="5"/>
        <v>0</v>
      </c>
      <c r="U40">
        <v>1</v>
      </c>
      <c r="V40">
        <f t="shared" si="6"/>
        <v>0</v>
      </c>
      <c r="X40">
        <f t="shared" si="7"/>
        <v>101874.976</v>
      </c>
      <c r="Y40">
        <f t="shared" si="8"/>
        <v>101874.976</v>
      </c>
      <c r="Z40">
        <v>1</v>
      </c>
      <c r="AA40">
        <f t="shared" si="9"/>
        <v>101874.976</v>
      </c>
      <c r="AB40">
        <f t="shared" si="10"/>
        <v>101874.976</v>
      </c>
      <c r="AC40">
        <f t="shared" si="11"/>
        <v>25468.744000000006</v>
      </c>
      <c r="AD40">
        <f t="shared" si="12"/>
        <v>2007.25</v>
      </c>
      <c r="AE40">
        <f t="shared" si="13"/>
        <v>2018.0833333333333</v>
      </c>
      <c r="AF40">
        <f t="shared" si="14"/>
        <v>2014.25</v>
      </c>
      <c r="AG40">
        <f t="shared" si="15"/>
        <v>2017.0833333333333</v>
      </c>
      <c r="AH40">
        <f t="shared" si="16"/>
        <v>-8.3333333333333329E-2</v>
      </c>
      <c r="AJ40">
        <f t="shared" si="17"/>
        <v>8489.5813333333354</v>
      </c>
      <c r="AL40">
        <f t="shared" si="18"/>
        <v>8489.5813333333354</v>
      </c>
      <c r="AN40">
        <f t="shared" si="19"/>
        <v>-25468.744000000006</v>
      </c>
      <c r="AP40">
        <f t="shared" si="20"/>
        <v>0</v>
      </c>
      <c r="AR40">
        <f t="shared" si="21"/>
        <v>0</v>
      </c>
    </row>
    <row r="41" spans="1:76">
      <c r="A41" t="s">
        <v>285</v>
      </c>
      <c r="B41">
        <v>61110</v>
      </c>
      <c r="C41">
        <v>1062</v>
      </c>
      <c r="D41" t="s">
        <v>150</v>
      </c>
      <c r="E41">
        <v>2007</v>
      </c>
      <c r="F41">
        <v>5</v>
      </c>
      <c r="G41">
        <v>0.2</v>
      </c>
      <c r="I41" t="s">
        <v>78</v>
      </c>
      <c r="J41">
        <v>7</v>
      </c>
      <c r="K41">
        <f t="shared" si="0"/>
        <v>2014</v>
      </c>
      <c r="N41">
        <v>127343.72</v>
      </c>
      <c r="P41">
        <f t="shared" si="1"/>
        <v>101874.976</v>
      </c>
      <c r="Q41">
        <f t="shared" si="2"/>
        <v>1212.7973333333332</v>
      </c>
      <c r="R41">
        <f t="shared" si="3"/>
        <v>0</v>
      </c>
      <c r="S41">
        <f t="shared" si="4"/>
        <v>0</v>
      </c>
      <c r="T41">
        <f t="shared" si="5"/>
        <v>0</v>
      </c>
      <c r="U41">
        <v>1</v>
      </c>
      <c r="V41">
        <f t="shared" si="6"/>
        <v>0</v>
      </c>
      <c r="X41">
        <f t="shared" si="7"/>
        <v>101874.976</v>
      </c>
      <c r="Y41">
        <f t="shared" si="8"/>
        <v>101874.976</v>
      </c>
      <c r="Z41">
        <v>1</v>
      </c>
      <c r="AA41">
        <f t="shared" si="9"/>
        <v>101874.976</v>
      </c>
      <c r="AB41">
        <f t="shared" si="10"/>
        <v>101874.976</v>
      </c>
      <c r="AC41">
        <f t="shared" si="11"/>
        <v>25468.744000000006</v>
      </c>
      <c r="AD41">
        <f t="shared" si="12"/>
        <v>2007.3333333333333</v>
      </c>
      <c r="AE41">
        <f t="shared" si="13"/>
        <v>2018.0833333333333</v>
      </c>
      <c r="AF41">
        <f t="shared" si="14"/>
        <v>2014.3333333333333</v>
      </c>
      <c r="AG41">
        <f t="shared" si="15"/>
        <v>2017.0833333333333</v>
      </c>
      <c r="AH41">
        <f t="shared" si="16"/>
        <v>-8.3333333333333329E-2</v>
      </c>
      <c r="AJ41">
        <f t="shared" si="17"/>
        <v>8489.5813333333354</v>
      </c>
      <c r="AL41">
        <f t="shared" si="18"/>
        <v>8489.5813333333354</v>
      </c>
      <c r="AN41">
        <f t="shared" si="19"/>
        <v>-25468.744000000006</v>
      </c>
      <c r="AP41">
        <f t="shared" si="20"/>
        <v>0</v>
      </c>
      <c r="AR41">
        <f t="shared" si="21"/>
        <v>0</v>
      </c>
    </row>
    <row r="42" spans="1:76">
      <c r="A42" t="s">
        <v>285</v>
      </c>
      <c r="B42">
        <v>61111</v>
      </c>
      <c r="C42">
        <v>1067</v>
      </c>
      <c r="D42" t="s">
        <v>150</v>
      </c>
      <c r="E42">
        <v>2007</v>
      </c>
      <c r="F42">
        <v>5</v>
      </c>
      <c r="G42">
        <v>0.2</v>
      </c>
      <c r="I42" t="s">
        <v>78</v>
      </c>
      <c r="J42">
        <v>7</v>
      </c>
      <c r="K42">
        <f t="shared" si="0"/>
        <v>2014</v>
      </c>
      <c r="N42">
        <v>127343.72</v>
      </c>
      <c r="P42">
        <f t="shared" si="1"/>
        <v>101874.976</v>
      </c>
      <c r="Q42">
        <f t="shared" si="2"/>
        <v>1212.7973333333332</v>
      </c>
      <c r="R42">
        <f t="shared" si="3"/>
        <v>0</v>
      </c>
      <c r="S42">
        <f t="shared" si="4"/>
        <v>0</v>
      </c>
      <c r="T42">
        <f t="shared" si="5"/>
        <v>0</v>
      </c>
      <c r="U42">
        <v>1</v>
      </c>
      <c r="V42">
        <f t="shared" si="6"/>
        <v>0</v>
      </c>
      <c r="X42">
        <f t="shared" si="7"/>
        <v>101874.976</v>
      </c>
      <c r="Y42">
        <f t="shared" si="8"/>
        <v>101874.976</v>
      </c>
      <c r="Z42">
        <v>1</v>
      </c>
      <c r="AA42">
        <f t="shared" si="9"/>
        <v>101874.976</v>
      </c>
      <c r="AB42">
        <f t="shared" si="10"/>
        <v>101874.976</v>
      </c>
      <c r="AC42">
        <f t="shared" si="11"/>
        <v>25468.744000000006</v>
      </c>
      <c r="AD42">
        <f t="shared" si="12"/>
        <v>2007.3333333333333</v>
      </c>
      <c r="AE42">
        <f t="shared" si="13"/>
        <v>2018.0833333333333</v>
      </c>
      <c r="AF42">
        <f t="shared" si="14"/>
        <v>2014.3333333333333</v>
      </c>
      <c r="AG42">
        <f t="shared" si="15"/>
        <v>2017.0833333333333</v>
      </c>
      <c r="AH42">
        <f t="shared" si="16"/>
        <v>-8.3333333333333329E-2</v>
      </c>
      <c r="AJ42">
        <f t="shared" si="17"/>
        <v>8489.5813333333354</v>
      </c>
      <c r="AL42">
        <f t="shared" si="18"/>
        <v>8489.5813333333354</v>
      </c>
      <c r="AN42">
        <f t="shared" si="19"/>
        <v>-25468.744000000006</v>
      </c>
      <c r="AP42">
        <f t="shared" si="20"/>
        <v>0</v>
      </c>
      <c r="AR42">
        <f t="shared" si="21"/>
        <v>0</v>
      </c>
    </row>
    <row r="43" spans="1:76">
      <c r="A43" t="s">
        <v>284</v>
      </c>
      <c r="C43">
        <v>3606</v>
      </c>
      <c r="D43" t="s">
        <v>377</v>
      </c>
      <c r="E43">
        <v>2007</v>
      </c>
      <c r="F43">
        <v>7</v>
      </c>
      <c r="G43">
        <v>0.2</v>
      </c>
      <c r="I43" t="s">
        <v>78</v>
      </c>
      <c r="J43">
        <v>7</v>
      </c>
      <c r="K43">
        <f t="shared" si="0"/>
        <v>2014</v>
      </c>
      <c r="N43">
        <v>194705.04</v>
      </c>
      <c r="P43">
        <f t="shared" si="1"/>
        <v>155764.03200000001</v>
      </c>
      <c r="Q43">
        <f t="shared" si="2"/>
        <v>1854.3337142857144</v>
      </c>
      <c r="R43">
        <f t="shared" si="3"/>
        <v>0</v>
      </c>
      <c r="S43">
        <f t="shared" si="4"/>
        <v>0</v>
      </c>
      <c r="T43">
        <f t="shared" si="5"/>
        <v>0</v>
      </c>
      <c r="U43">
        <v>1</v>
      </c>
      <c r="V43">
        <f t="shared" si="6"/>
        <v>0</v>
      </c>
      <c r="X43">
        <f t="shared" si="7"/>
        <v>155764.03200000001</v>
      </c>
      <c r="Y43">
        <f t="shared" si="8"/>
        <v>155764.03200000001</v>
      </c>
      <c r="Z43">
        <v>1</v>
      </c>
      <c r="AA43">
        <f t="shared" si="9"/>
        <v>155764.03200000001</v>
      </c>
      <c r="AB43">
        <f t="shared" si="10"/>
        <v>155764.03200000001</v>
      </c>
      <c r="AC43">
        <f t="shared" si="11"/>
        <v>38941.008000000002</v>
      </c>
      <c r="AD43">
        <f t="shared" si="12"/>
        <v>2007.5</v>
      </c>
      <c r="AE43">
        <f t="shared" si="13"/>
        <v>2018.0833333333333</v>
      </c>
      <c r="AF43">
        <f t="shared" si="14"/>
        <v>2014.5</v>
      </c>
      <c r="AG43">
        <f t="shared" si="15"/>
        <v>2017.0833333333333</v>
      </c>
      <c r="AH43">
        <f t="shared" si="16"/>
        <v>-8.3333333333333329E-2</v>
      </c>
      <c r="AJ43">
        <f t="shared" si="17"/>
        <v>12980.336000000001</v>
      </c>
      <c r="AL43">
        <f t="shared" si="18"/>
        <v>12980.336000000001</v>
      </c>
      <c r="AN43">
        <f t="shared" si="19"/>
        <v>-38941.008000000002</v>
      </c>
      <c r="AP43">
        <f t="shared" si="20"/>
        <v>0</v>
      </c>
      <c r="AR43">
        <f t="shared" si="21"/>
        <v>0</v>
      </c>
    </row>
    <row r="44" spans="1:76" ht="14.25" customHeight="1">
      <c r="A44" t="s">
        <v>284</v>
      </c>
      <c r="C44">
        <v>3622</v>
      </c>
      <c r="D44" t="s">
        <v>321</v>
      </c>
      <c r="E44">
        <v>2008</v>
      </c>
      <c r="F44">
        <v>10</v>
      </c>
      <c r="G44">
        <v>0.2</v>
      </c>
      <c r="I44" t="s">
        <v>78</v>
      </c>
      <c r="J44">
        <v>7</v>
      </c>
      <c r="K44">
        <f t="shared" si="0"/>
        <v>2015</v>
      </c>
      <c r="N44">
        <v>222213.95</v>
      </c>
      <c r="P44">
        <f t="shared" si="1"/>
        <v>177771.16</v>
      </c>
      <c r="Q44">
        <f t="shared" si="2"/>
        <v>2116.3233333333333</v>
      </c>
      <c r="R44">
        <f t="shared" si="3"/>
        <v>0</v>
      </c>
      <c r="S44">
        <f t="shared" si="4"/>
        <v>0</v>
      </c>
      <c r="T44">
        <f t="shared" si="5"/>
        <v>0</v>
      </c>
      <c r="U44">
        <v>1</v>
      </c>
      <c r="V44">
        <f t="shared" si="6"/>
        <v>0</v>
      </c>
      <c r="X44">
        <f t="shared" si="7"/>
        <v>177771.16</v>
      </c>
      <c r="Y44">
        <f t="shared" si="8"/>
        <v>177771.16</v>
      </c>
      <c r="Z44">
        <v>1</v>
      </c>
      <c r="AA44">
        <f t="shared" si="9"/>
        <v>177771.16</v>
      </c>
      <c r="AB44">
        <f t="shared" si="10"/>
        <v>177771.16</v>
      </c>
      <c r="AC44">
        <f t="shared" si="11"/>
        <v>44442.790000000008</v>
      </c>
      <c r="AD44">
        <f t="shared" si="12"/>
        <v>2008.75</v>
      </c>
      <c r="AE44">
        <f t="shared" si="13"/>
        <v>2018.0833333333333</v>
      </c>
      <c r="AF44">
        <f t="shared" si="14"/>
        <v>2015.75</v>
      </c>
      <c r="AG44">
        <f t="shared" si="15"/>
        <v>2017.0833333333333</v>
      </c>
      <c r="AH44">
        <f t="shared" si="16"/>
        <v>-8.3333333333333329E-2</v>
      </c>
      <c r="AJ44">
        <f t="shared" si="17"/>
        <v>14814.263333333336</v>
      </c>
      <c r="AL44">
        <f t="shared" si="18"/>
        <v>14814.263333333336</v>
      </c>
      <c r="AN44">
        <f t="shared" si="19"/>
        <v>-44442.790000000008</v>
      </c>
      <c r="AP44">
        <f t="shared" si="20"/>
        <v>0</v>
      </c>
      <c r="AR44">
        <f t="shared" si="21"/>
        <v>0</v>
      </c>
    </row>
    <row r="45" spans="1:76">
      <c r="A45" t="s">
        <v>288</v>
      </c>
      <c r="C45">
        <v>5012</v>
      </c>
      <c r="D45" t="s">
        <v>314</v>
      </c>
      <c r="E45">
        <v>2008</v>
      </c>
      <c r="F45">
        <v>11</v>
      </c>
      <c r="G45">
        <v>0.33</v>
      </c>
      <c r="I45" t="s">
        <v>78</v>
      </c>
      <c r="J45">
        <v>5</v>
      </c>
      <c r="K45">
        <f t="shared" si="0"/>
        <v>2013</v>
      </c>
      <c r="N45">
        <v>0</v>
      </c>
      <c r="P45">
        <f t="shared" si="1"/>
        <v>0</v>
      </c>
      <c r="Q45">
        <f t="shared" si="2"/>
        <v>0</v>
      </c>
      <c r="R45">
        <f t="shared" si="3"/>
        <v>0</v>
      </c>
      <c r="S45">
        <f t="shared" si="4"/>
        <v>0</v>
      </c>
      <c r="T45">
        <f t="shared" si="5"/>
        <v>0</v>
      </c>
      <c r="U45">
        <v>1</v>
      </c>
      <c r="V45">
        <f t="shared" si="6"/>
        <v>0</v>
      </c>
      <c r="X45">
        <f t="shared" si="7"/>
        <v>0</v>
      </c>
      <c r="Y45">
        <f t="shared" si="8"/>
        <v>0</v>
      </c>
      <c r="Z45">
        <v>1</v>
      </c>
      <c r="AA45">
        <f t="shared" si="9"/>
        <v>0</v>
      </c>
      <c r="AB45">
        <f t="shared" si="10"/>
        <v>0</v>
      </c>
      <c r="AC45">
        <f t="shared" si="11"/>
        <v>0</v>
      </c>
      <c r="AD45">
        <f t="shared" si="12"/>
        <v>2008.8333333333333</v>
      </c>
      <c r="AE45">
        <f t="shared" si="13"/>
        <v>2018.0833333333333</v>
      </c>
      <c r="AF45">
        <f t="shared" si="14"/>
        <v>2013.8333333333333</v>
      </c>
      <c r="AG45">
        <f t="shared" si="15"/>
        <v>2017.0833333333333</v>
      </c>
      <c r="AH45">
        <f t="shared" si="16"/>
        <v>-8.3333333333333329E-2</v>
      </c>
      <c r="AJ45">
        <f t="shared" si="17"/>
        <v>0</v>
      </c>
      <c r="AL45">
        <f t="shared" si="18"/>
        <v>0</v>
      </c>
      <c r="AN45">
        <f t="shared" si="19"/>
        <v>0</v>
      </c>
      <c r="AP45">
        <f t="shared" si="20"/>
        <v>0</v>
      </c>
      <c r="AR45">
        <f t="shared" si="21"/>
        <v>0</v>
      </c>
    </row>
    <row r="46" spans="1:76">
      <c r="A46" t="s">
        <v>284</v>
      </c>
      <c r="C46">
        <v>3621</v>
      </c>
      <c r="D46" t="s">
        <v>322</v>
      </c>
      <c r="E46">
        <v>2009</v>
      </c>
      <c r="F46">
        <v>1</v>
      </c>
      <c r="G46">
        <v>0.2</v>
      </c>
      <c r="I46" t="s">
        <v>78</v>
      </c>
      <c r="J46">
        <v>7</v>
      </c>
      <c r="K46">
        <f t="shared" si="0"/>
        <v>2016</v>
      </c>
      <c r="N46">
        <f>3949.44+117694.82+100569.69</f>
        <v>222213.95</v>
      </c>
      <c r="P46">
        <f t="shared" ref="P46:P75" si="22">N46-N46*G46</f>
        <v>177771.16</v>
      </c>
      <c r="Q46">
        <f t="shared" ref="Q46:Q75" si="23">P46/J46/12</f>
        <v>2116.3233333333333</v>
      </c>
      <c r="R46">
        <f t="shared" si="3"/>
        <v>0</v>
      </c>
      <c r="S46">
        <f t="shared" si="4"/>
        <v>0</v>
      </c>
      <c r="T46">
        <f t="shared" si="5"/>
        <v>0</v>
      </c>
      <c r="U46">
        <v>1</v>
      </c>
      <c r="V46">
        <f t="shared" si="6"/>
        <v>0</v>
      </c>
      <c r="X46">
        <f t="shared" si="7"/>
        <v>177771.16</v>
      </c>
      <c r="Y46">
        <f t="shared" si="8"/>
        <v>177771.16</v>
      </c>
      <c r="Z46">
        <v>1</v>
      </c>
      <c r="AA46">
        <f t="shared" si="9"/>
        <v>177771.16</v>
      </c>
      <c r="AB46">
        <f t="shared" si="10"/>
        <v>177771.16</v>
      </c>
      <c r="AC46">
        <f t="shared" si="11"/>
        <v>44442.790000000008</v>
      </c>
      <c r="AD46">
        <f t="shared" si="12"/>
        <v>2009</v>
      </c>
      <c r="AE46">
        <f t="shared" si="13"/>
        <v>2018.0833333333333</v>
      </c>
      <c r="AF46">
        <f t="shared" si="14"/>
        <v>2016</v>
      </c>
      <c r="AG46">
        <f t="shared" si="15"/>
        <v>2017.0833333333333</v>
      </c>
      <c r="AH46">
        <f t="shared" ref="AH46:AH75" si="24">$L46+(($M46-1)/12)</f>
        <v>-8.3333333333333329E-2</v>
      </c>
      <c r="AJ46">
        <f t="shared" si="17"/>
        <v>14814.263333333336</v>
      </c>
      <c r="AL46">
        <f t="shared" si="18"/>
        <v>14814.263333333336</v>
      </c>
      <c r="AN46">
        <f t="shared" si="19"/>
        <v>-44442.790000000008</v>
      </c>
      <c r="AP46">
        <f t="shared" si="20"/>
        <v>0</v>
      </c>
      <c r="AR46">
        <f t="shared" si="21"/>
        <v>0</v>
      </c>
    </row>
    <row r="47" spans="1:76">
      <c r="A47" t="s">
        <v>284</v>
      </c>
      <c r="C47">
        <v>3575</v>
      </c>
      <c r="D47" t="s">
        <v>320</v>
      </c>
      <c r="E47">
        <v>2009</v>
      </c>
      <c r="F47">
        <v>5</v>
      </c>
      <c r="G47">
        <v>0</v>
      </c>
      <c r="I47" t="s">
        <v>78</v>
      </c>
      <c r="J47">
        <v>3</v>
      </c>
      <c r="K47">
        <f t="shared" si="0"/>
        <v>2012</v>
      </c>
      <c r="N47">
        <v>2786.78</v>
      </c>
      <c r="P47">
        <f t="shared" si="22"/>
        <v>2786.78</v>
      </c>
      <c r="Q47">
        <f t="shared" si="23"/>
        <v>77.410555555555561</v>
      </c>
      <c r="R47">
        <f t="shared" si="3"/>
        <v>0</v>
      </c>
      <c r="S47">
        <f t="shared" si="4"/>
        <v>0</v>
      </c>
      <c r="T47">
        <f t="shared" si="5"/>
        <v>0</v>
      </c>
      <c r="U47">
        <v>1</v>
      </c>
      <c r="V47">
        <f t="shared" si="6"/>
        <v>0</v>
      </c>
      <c r="X47">
        <f t="shared" si="7"/>
        <v>2786.78</v>
      </c>
      <c r="Y47">
        <f t="shared" si="8"/>
        <v>2786.78</v>
      </c>
      <c r="Z47">
        <v>1</v>
      </c>
      <c r="AA47">
        <f t="shared" si="9"/>
        <v>2786.78</v>
      </c>
      <c r="AB47">
        <f t="shared" si="10"/>
        <v>2786.78</v>
      </c>
      <c r="AC47">
        <f t="shared" si="11"/>
        <v>0</v>
      </c>
      <c r="AD47">
        <f t="shared" si="12"/>
        <v>2009.3333333333333</v>
      </c>
      <c r="AE47">
        <f t="shared" si="13"/>
        <v>2018.0833333333333</v>
      </c>
      <c r="AF47">
        <f t="shared" si="14"/>
        <v>2012.3333333333333</v>
      </c>
      <c r="AG47">
        <f t="shared" si="15"/>
        <v>2017.0833333333333</v>
      </c>
      <c r="AH47">
        <f t="shared" si="24"/>
        <v>-8.3333333333333329E-2</v>
      </c>
      <c r="AJ47">
        <f t="shared" si="17"/>
        <v>0</v>
      </c>
      <c r="AL47">
        <f t="shared" si="18"/>
        <v>0</v>
      </c>
      <c r="AN47">
        <f t="shared" si="19"/>
        <v>0</v>
      </c>
      <c r="AP47">
        <f t="shared" si="20"/>
        <v>0</v>
      </c>
      <c r="AR47">
        <f t="shared" si="21"/>
        <v>0</v>
      </c>
    </row>
    <row r="48" spans="1:76">
      <c r="A48" t="s">
        <v>311</v>
      </c>
      <c r="C48">
        <v>67258</v>
      </c>
      <c r="D48" t="s">
        <v>324</v>
      </c>
      <c r="E48">
        <v>2009</v>
      </c>
      <c r="F48">
        <v>6</v>
      </c>
      <c r="G48">
        <v>0.33</v>
      </c>
      <c r="I48" t="s">
        <v>78</v>
      </c>
      <c r="J48">
        <v>5</v>
      </c>
      <c r="K48">
        <f t="shared" si="0"/>
        <v>2014</v>
      </c>
      <c r="N48">
        <v>42016.67</v>
      </c>
      <c r="P48">
        <f t="shared" si="22"/>
        <v>28151.168899999997</v>
      </c>
      <c r="Q48">
        <f t="shared" si="23"/>
        <v>469.18614833333328</v>
      </c>
      <c r="R48">
        <f t="shared" si="3"/>
        <v>0</v>
      </c>
      <c r="S48">
        <f t="shared" si="4"/>
        <v>0</v>
      </c>
      <c r="T48">
        <f t="shared" si="5"/>
        <v>0</v>
      </c>
      <c r="U48">
        <v>1</v>
      </c>
      <c r="V48">
        <f t="shared" si="6"/>
        <v>0</v>
      </c>
      <c r="X48">
        <f t="shared" si="7"/>
        <v>28151.168899999997</v>
      </c>
      <c r="Y48">
        <f t="shared" si="8"/>
        <v>28151.168899999997</v>
      </c>
      <c r="Z48">
        <v>1</v>
      </c>
      <c r="AA48">
        <f t="shared" si="9"/>
        <v>28151.168899999997</v>
      </c>
      <c r="AB48">
        <f t="shared" si="10"/>
        <v>28151.168899999997</v>
      </c>
      <c r="AC48">
        <f t="shared" si="11"/>
        <v>13865.501100000001</v>
      </c>
      <c r="AD48">
        <f t="shared" si="12"/>
        <v>2009.4166666666667</v>
      </c>
      <c r="AE48">
        <f t="shared" si="13"/>
        <v>2018.0833333333333</v>
      </c>
      <c r="AF48">
        <f t="shared" si="14"/>
        <v>2014.4166666666667</v>
      </c>
      <c r="AG48">
        <f t="shared" si="15"/>
        <v>2017.0833333333333</v>
      </c>
      <c r="AH48">
        <f t="shared" si="24"/>
        <v>-8.3333333333333329E-2</v>
      </c>
      <c r="AJ48">
        <f t="shared" si="17"/>
        <v>4621.8337000000001</v>
      </c>
      <c r="AL48">
        <f t="shared" si="18"/>
        <v>4621.8337000000001</v>
      </c>
      <c r="AN48">
        <f t="shared" si="19"/>
        <v>-13865.501100000001</v>
      </c>
      <c r="AP48">
        <f t="shared" si="20"/>
        <v>0</v>
      </c>
      <c r="AR48">
        <f t="shared" si="21"/>
        <v>0</v>
      </c>
    </row>
    <row r="49" spans="1:44">
      <c r="A49" t="s">
        <v>288</v>
      </c>
      <c r="C49">
        <v>4510</v>
      </c>
      <c r="D49" t="s">
        <v>327</v>
      </c>
      <c r="E49">
        <v>2009</v>
      </c>
      <c r="F49">
        <v>6</v>
      </c>
      <c r="G49">
        <v>0</v>
      </c>
      <c r="I49" t="s">
        <v>78</v>
      </c>
      <c r="J49">
        <v>3</v>
      </c>
      <c r="K49">
        <f t="shared" si="0"/>
        <v>2012</v>
      </c>
      <c r="N49">
        <v>4493.79</v>
      </c>
      <c r="P49">
        <f t="shared" si="22"/>
        <v>4493.79</v>
      </c>
      <c r="Q49">
        <f t="shared" si="23"/>
        <v>124.8275</v>
      </c>
      <c r="R49">
        <f t="shared" si="3"/>
        <v>0</v>
      </c>
      <c r="S49">
        <f t="shared" si="4"/>
        <v>0</v>
      </c>
      <c r="T49">
        <f t="shared" si="5"/>
        <v>0</v>
      </c>
      <c r="U49">
        <v>1</v>
      </c>
      <c r="V49">
        <f t="shared" si="6"/>
        <v>0</v>
      </c>
      <c r="X49">
        <f t="shared" si="7"/>
        <v>4493.79</v>
      </c>
      <c r="Y49">
        <f t="shared" si="8"/>
        <v>4493.79</v>
      </c>
      <c r="Z49">
        <v>1</v>
      </c>
      <c r="AA49">
        <f t="shared" si="9"/>
        <v>4493.79</v>
      </c>
      <c r="AB49">
        <f t="shared" si="10"/>
        <v>4493.79</v>
      </c>
      <c r="AC49">
        <f t="shared" si="11"/>
        <v>0</v>
      </c>
      <c r="AD49">
        <f t="shared" si="12"/>
        <v>2009.4166666666667</v>
      </c>
      <c r="AE49">
        <f t="shared" si="13"/>
        <v>2018.0833333333333</v>
      </c>
      <c r="AF49">
        <f t="shared" si="14"/>
        <v>2012.4166666666667</v>
      </c>
      <c r="AG49">
        <f t="shared" si="15"/>
        <v>2017.0833333333333</v>
      </c>
      <c r="AH49">
        <f t="shared" si="24"/>
        <v>-8.3333333333333329E-2</v>
      </c>
      <c r="AJ49">
        <f t="shared" si="17"/>
        <v>0</v>
      </c>
      <c r="AL49">
        <f t="shared" si="18"/>
        <v>0</v>
      </c>
      <c r="AN49">
        <f t="shared" si="19"/>
        <v>0</v>
      </c>
      <c r="AP49">
        <f t="shared" si="20"/>
        <v>0</v>
      </c>
      <c r="AR49">
        <f t="shared" si="21"/>
        <v>0</v>
      </c>
    </row>
    <row r="50" spans="1:44">
      <c r="A50" t="s">
        <v>288</v>
      </c>
      <c r="C50">
        <v>4511</v>
      </c>
      <c r="D50" t="s">
        <v>328</v>
      </c>
      <c r="E50">
        <v>2009</v>
      </c>
      <c r="F50">
        <v>6</v>
      </c>
      <c r="G50">
        <v>0</v>
      </c>
      <c r="I50" t="s">
        <v>78</v>
      </c>
      <c r="J50">
        <v>3</v>
      </c>
      <c r="K50">
        <f t="shared" si="0"/>
        <v>2012</v>
      </c>
      <c r="N50">
        <v>3096.41</v>
      </c>
      <c r="P50">
        <f t="shared" si="22"/>
        <v>3096.41</v>
      </c>
      <c r="Q50">
        <f t="shared" si="23"/>
        <v>86.011388888888874</v>
      </c>
      <c r="R50">
        <f t="shared" si="3"/>
        <v>0</v>
      </c>
      <c r="S50">
        <f t="shared" si="4"/>
        <v>0</v>
      </c>
      <c r="T50">
        <f t="shared" si="5"/>
        <v>0</v>
      </c>
      <c r="U50">
        <v>1</v>
      </c>
      <c r="V50">
        <f t="shared" si="6"/>
        <v>0</v>
      </c>
      <c r="X50">
        <f t="shared" si="7"/>
        <v>3096.41</v>
      </c>
      <c r="Y50">
        <f t="shared" si="8"/>
        <v>3096.41</v>
      </c>
      <c r="Z50">
        <v>1</v>
      </c>
      <c r="AA50">
        <f t="shared" si="9"/>
        <v>3096.41</v>
      </c>
      <c r="AB50">
        <f t="shared" si="10"/>
        <v>3096.41</v>
      </c>
      <c r="AC50">
        <f t="shared" si="11"/>
        <v>0</v>
      </c>
      <c r="AD50">
        <f t="shared" si="12"/>
        <v>2009.4166666666667</v>
      </c>
      <c r="AE50">
        <f t="shared" si="13"/>
        <v>2018.0833333333333</v>
      </c>
      <c r="AF50">
        <f t="shared" si="14"/>
        <v>2012.4166666666667</v>
      </c>
      <c r="AG50">
        <f t="shared" si="15"/>
        <v>2017.0833333333333</v>
      </c>
      <c r="AH50">
        <f t="shared" si="24"/>
        <v>-8.3333333333333329E-2</v>
      </c>
      <c r="AJ50">
        <f t="shared" si="17"/>
        <v>0</v>
      </c>
      <c r="AL50">
        <f t="shared" si="18"/>
        <v>0</v>
      </c>
      <c r="AN50">
        <f t="shared" si="19"/>
        <v>0</v>
      </c>
      <c r="AP50">
        <f t="shared" si="20"/>
        <v>0</v>
      </c>
      <c r="AR50">
        <f t="shared" si="21"/>
        <v>0</v>
      </c>
    </row>
    <row r="51" spans="1:44">
      <c r="A51" t="s">
        <v>311</v>
      </c>
      <c r="C51">
        <v>68611</v>
      </c>
      <c r="D51" t="s">
        <v>325</v>
      </c>
      <c r="E51">
        <v>2009</v>
      </c>
      <c r="F51">
        <v>7</v>
      </c>
      <c r="G51">
        <v>0.33</v>
      </c>
      <c r="I51" t="s">
        <v>78</v>
      </c>
      <c r="J51">
        <v>5</v>
      </c>
      <c r="K51">
        <f t="shared" si="0"/>
        <v>2014</v>
      </c>
      <c r="N51">
        <v>-1085</v>
      </c>
      <c r="P51">
        <f t="shared" si="22"/>
        <v>-726.95</v>
      </c>
      <c r="Q51">
        <f t="shared" si="23"/>
        <v>-12.115833333333335</v>
      </c>
      <c r="R51">
        <f t="shared" si="3"/>
        <v>0</v>
      </c>
      <c r="S51">
        <f t="shared" si="4"/>
        <v>0</v>
      </c>
      <c r="T51">
        <f t="shared" si="5"/>
        <v>0</v>
      </c>
      <c r="U51">
        <v>1</v>
      </c>
      <c r="V51">
        <f t="shared" si="6"/>
        <v>0</v>
      </c>
      <c r="X51">
        <f t="shared" si="7"/>
        <v>-726.95</v>
      </c>
      <c r="Y51">
        <f t="shared" si="8"/>
        <v>-726.95</v>
      </c>
      <c r="Z51">
        <v>1</v>
      </c>
      <c r="AA51">
        <f t="shared" si="9"/>
        <v>-726.95</v>
      </c>
      <c r="AB51">
        <f t="shared" si="10"/>
        <v>-726.95</v>
      </c>
      <c r="AC51">
        <f t="shared" si="11"/>
        <v>-358.04999999999995</v>
      </c>
      <c r="AD51">
        <f t="shared" si="12"/>
        <v>2009.5</v>
      </c>
      <c r="AE51">
        <f t="shared" si="13"/>
        <v>2018.0833333333333</v>
      </c>
      <c r="AF51">
        <f t="shared" si="14"/>
        <v>2014.5</v>
      </c>
      <c r="AG51">
        <f t="shared" si="15"/>
        <v>2017.0833333333333</v>
      </c>
      <c r="AH51">
        <f t="shared" si="24"/>
        <v>-8.3333333333333329E-2</v>
      </c>
      <c r="AJ51">
        <f t="shared" si="17"/>
        <v>-119.34999999999998</v>
      </c>
      <c r="AL51">
        <f t="shared" si="18"/>
        <v>-119.34999999999998</v>
      </c>
      <c r="AN51">
        <f t="shared" si="19"/>
        <v>358.04999999999995</v>
      </c>
      <c r="AP51">
        <f t="shared" si="20"/>
        <v>0</v>
      </c>
      <c r="AR51">
        <f t="shared" si="21"/>
        <v>0</v>
      </c>
    </row>
    <row r="52" spans="1:44">
      <c r="A52" t="s">
        <v>312</v>
      </c>
      <c r="B52">
        <v>75159</v>
      </c>
      <c r="D52" t="s">
        <v>388</v>
      </c>
      <c r="E52">
        <v>2010</v>
      </c>
      <c r="F52">
        <v>3</v>
      </c>
      <c r="G52">
        <v>0.33</v>
      </c>
      <c r="I52" t="s">
        <v>78</v>
      </c>
      <c r="J52">
        <v>5</v>
      </c>
      <c r="K52">
        <f t="shared" si="0"/>
        <v>2015</v>
      </c>
      <c r="N52">
        <v>11181.56</v>
      </c>
      <c r="P52">
        <f t="shared" si="22"/>
        <v>7491.645199999999</v>
      </c>
      <c r="Q52">
        <f t="shared" si="23"/>
        <v>124.86075333333332</v>
      </c>
      <c r="R52">
        <f t="shared" si="3"/>
        <v>0</v>
      </c>
      <c r="S52">
        <f t="shared" si="4"/>
        <v>0</v>
      </c>
      <c r="T52">
        <f t="shared" si="5"/>
        <v>0</v>
      </c>
      <c r="U52">
        <v>1</v>
      </c>
      <c r="V52">
        <f t="shared" si="6"/>
        <v>0</v>
      </c>
      <c r="X52">
        <f t="shared" si="7"/>
        <v>7491.645199999999</v>
      </c>
      <c r="Y52">
        <f t="shared" si="8"/>
        <v>7491.645199999999</v>
      </c>
      <c r="Z52">
        <v>1</v>
      </c>
      <c r="AA52">
        <f t="shared" si="9"/>
        <v>7491.645199999999</v>
      </c>
      <c r="AB52">
        <f t="shared" si="10"/>
        <v>7491.645199999999</v>
      </c>
      <c r="AC52">
        <f t="shared" si="11"/>
        <v>3689.9148000000005</v>
      </c>
      <c r="AD52">
        <f t="shared" si="12"/>
        <v>2010.1666666666667</v>
      </c>
      <c r="AE52">
        <f t="shared" si="13"/>
        <v>2018.0833333333333</v>
      </c>
      <c r="AF52">
        <f t="shared" si="14"/>
        <v>2015.1666666666667</v>
      </c>
      <c r="AG52">
        <f t="shared" si="15"/>
        <v>2017.0833333333333</v>
      </c>
      <c r="AH52">
        <f t="shared" si="24"/>
        <v>-8.3333333333333329E-2</v>
      </c>
      <c r="AJ52">
        <f t="shared" si="17"/>
        <v>1229.9716000000001</v>
      </c>
      <c r="AL52">
        <f t="shared" si="18"/>
        <v>1229.9716000000001</v>
      </c>
      <c r="AN52">
        <f t="shared" si="19"/>
        <v>-3689.9148000000005</v>
      </c>
      <c r="AP52">
        <f t="shared" si="20"/>
        <v>0</v>
      </c>
      <c r="AR52">
        <f t="shared" si="21"/>
        <v>0</v>
      </c>
    </row>
    <row r="53" spans="1:44">
      <c r="A53" t="s">
        <v>286</v>
      </c>
      <c r="B53">
        <v>77760</v>
      </c>
      <c r="C53">
        <v>2035</v>
      </c>
      <c r="D53" t="s">
        <v>385</v>
      </c>
      <c r="E53">
        <v>2010</v>
      </c>
      <c r="F53">
        <v>10</v>
      </c>
      <c r="G53">
        <v>0.2</v>
      </c>
      <c r="I53" t="s">
        <v>78</v>
      </c>
      <c r="J53">
        <v>7</v>
      </c>
      <c r="K53">
        <f t="shared" si="0"/>
        <v>2017</v>
      </c>
      <c r="N53">
        <v>232081.5</v>
      </c>
      <c r="P53">
        <f t="shared" si="22"/>
        <v>185665.2</v>
      </c>
      <c r="Q53">
        <f t="shared" si="23"/>
        <v>2210.3000000000002</v>
      </c>
      <c r="R53">
        <f t="shared" si="3"/>
        <v>17682.400000002013</v>
      </c>
      <c r="S53">
        <f t="shared" si="4"/>
        <v>0</v>
      </c>
      <c r="T53">
        <f t="shared" si="5"/>
        <v>17682.400000002013</v>
      </c>
      <c r="U53">
        <v>1</v>
      </c>
      <c r="V53">
        <f t="shared" si="6"/>
        <v>17682.400000002013</v>
      </c>
      <c r="X53">
        <f t="shared" si="7"/>
        <v>167982.79999999801</v>
      </c>
      <c r="Y53">
        <f t="shared" si="8"/>
        <v>167982.79999999801</v>
      </c>
      <c r="Z53">
        <v>1</v>
      </c>
      <c r="AA53">
        <f t="shared" si="9"/>
        <v>167982.79999999801</v>
      </c>
      <c r="AB53">
        <f t="shared" si="10"/>
        <v>185665.2</v>
      </c>
      <c r="AC53">
        <f t="shared" si="11"/>
        <v>55257.50000000099</v>
      </c>
      <c r="AD53">
        <f t="shared" si="12"/>
        <v>2010.75</v>
      </c>
      <c r="AE53">
        <f t="shared" si="13"/>
        <v>2018.0833333333333</v>
      </c>
      <c r="AF53">
        <f t="shared" si="14"/>
        <v>2017.75</v>
      </c>
      <c r="AG53">
        <f t="shared" si="15"/>
        <v>2017.0833333333333</v>
      </c>
      <c r="AH53">
        <f t="shared" si="24"/>
        <v>-8.3333333333333329E-2</v>
      </c>
      <c r="AJ53">
        <f t="shared" si="17"/>
        <v>15472.099999999997</v>
      </c>
      <c r="AL53">
        <f t="shared" si="18"/>
        <v>33154.500000002008</v>
      </c>
      <c r="AN53">
        <f t="shared" si="19"/>
        <v>0</v>
      </c>
      <c r="AP53">
        <f t="shared" si="20"/>
        <v>47521.450000000987</v>
      </c>
      <c r="AR53">
        <f t="shared" si="21"/>
        <v>47521.450000000987</v>
      </c>
    </row>
    <row r="54" spans="1:44">
      <c r="B54">
        <v>88721</v>
      </c>
      <c r="D54" t="s">
        <v>436</v>
      </c>
      <c r="E54">
        <v>2011</v>
      </c>
      <c r="F54">
        <v>12</v>
      </c>
      <c r="G54">
        <v>0</v>
      </c>
      <c r="I54" t="s">
        <v>78</v>
      </c>
      <c r="J54">
        <v>5</v>
      </c>
      <c r="K54">
        <f t="shared" si="0"/>
        <v>2016</v>
      </c>
      <c r="N54">
        <f>487.65*32</f>
        <v>15604.8</v>
      </c>
      <c r="P54">
        <f t="shared" si="22"/>
        <v>15604.8</v>
      </c>
      <c r="Q54">
        <f t="shared" si="23"/>
        <v>260.08</v>
      </c>
      <c r="R54">
        <f t="shared" si="3"/>
        <v>0</v>
      </c>
      <c r="S54">
        <f t="shared" si="4"/>
        <v>0</v>
      </c>
      <c r="T54">
        <f t="shared" si="5"/>
        <v>0</v>
      </c>
      <c r="U54">
        <v>1</v>
      </c>
      <c r="V54">
        <f t="shared" si="6"/>
        <v>0</v>
      </c>
      <c r="X54">
        <f t="shared" si="7"/>
        <v>15604.8</v>
      </c>
      <c r="Y54">
        <f t="shared" si="8"/>
        <v>15604.8</v>
      </c>
      <c r="Z54">
        <v>1</v>
      </c>
      <c r="AA54">
        <f t="shared" si="9"/>
        <v>15604.8</v>
      </c>
      <c r="AB54">
        <f t="shared" si="10"/>
        <v>15604.8</v>
      </c>
      <c r="AC54">
        <f t="shared" si="11"/>
        <v>0</v>
      </c>
      <c r="AD54">
        <f t="shared" si="12"/>
        <v>2011.9166666666667</v>
      </c>
      <c r="AE54">
        <f t="shared" si="13"/>
        <v>2018.0833333333333</v>
      </c>
      <c r="AF54">
        <f t="shared" si="14"/>
        <v>2016.9166666666667</v>
      </c>
      <c r="AG54">
        <f t="shared" si="15"/>
        <v>2017.0833333333333</v>
      </c>
      <c r="AH54">
        <f t="shared" si="24"/>
        <v>-8.3333333333333329E-2</v>
      </c>
      <c r="AJ54">
        <f t="shared" si="17"/>
        <v>0</v>
      </c>
      <c r="AL54">
        <f t="shared" si="18"/>
        <v>0</v>
      </c>
      <c r="AN54">
        <f t="shared" si="19"/>
        <v>0</v>
      </c>
      <c r="AP54">
        <f t="shared" si="20"/>
        <v>0</v>
      </c>
      <c r="AR54">
        <f t="shared" si="21"/>
        <v>0</v>
      </c>
    </row>
    <row r="55" spans="1:44">
      <c r="B55">
        <v>88756</v>
      </c>
      <c r="C55">
        <v>3629</v>
      </c>
      <c r="D55" t="s">
        <v>441</v>
      </c>
      <c r="E55">
        <v>2011</v>
      </c>
      <c r="F55">
        <v>11</v>
      </c>
      <c r="G55">
        <v>0.2</v>
      </c>
      <c r="I55" t="s">
        <v>78</v>
      </c>
      <c r="J55">
        <v>7</v>
      </c>
      <c r="K55">
        <f t="shared" si="0"/>
        <v>2018</v>
      </c>
      <c r="N55">
        <v>289049.83</v>
      </c>
      <c r="P55">
        <f t="shared" si="22"/>
        <v>231239.864</v>
      </c>
      <c r="Q55">
        <f t="shared" si="23"/>
        <v>2752.8555238095237</v>
      </c>
      <c r="R55">
        <f t="shared" si="3"/>
        <v>33034.266285714286</v>
      </c>
      <c r="S55">
        <f t="shared" si="4"/>
        <v>0</v>
      </c>
      <c r="T55">
        <f t="shared" si="5"/>
        <v>33034.266285714286</v>
      </c>
      <c r="U55">
        <v>1</v>
      </c>
      <c r="V55">
        <f t="shared" si="6"/>
        <v>33034.266285714286</v>
      </c>
      <c r="X55">
        <f t="shared" si="7"/>
        <v>173429.89799999999</v>
      </c>
      <c r="Y55">
        <f t="shared" si="8"/>
        <v>173429.89799999999</v>
      </c>
      <c r="Z55">
        <v>1</v>
      </c>
      <c r="AA55">
        <f t="shared" si="9"/>
        <v>173429.89799999999</v>
      </c>
      <c r="AB55">
        <f t="shared" si="10"/>
        <v>206464.16428571427</v>
      </c>
      <c r="AC55">
        <f t="shared" si="11"/>
        <v>99102.798857142887</v>
      </c>
      <c r="AD55">
        <f t="shared" si="12"/>
        <v>2011.8333333333333</v>
      </c>
      <c r="AE55">
        <f t="shared" si="13"/>
        <v>2018.0833333333333</v>
      </c>
      <c r="AF55">
        <f t="shared" si="14"/>
        <v>2018.8333333333333</v>
      </c>
      <c r="AG55">
        <f t="shared" si="15"/>
        <v>2017.0833333333333</v>
      </c>
      <c r="AH55">
        <f t="shared" si="24"/>
        <v>-8.3333333333333329E-2</v>
      </c>
      <c r="AJ55">
        <f t="shared" si="17"/>
        <v>19269.988666666672</v>
      </c>
      <c r="AL55">
        <f t="shared" si="18"/>
        <v>52304.254952380958</v>
      </c>
      <c r="AN55">
        <f t="shared" si="19"/>
        <v>0</v>
      </c>
      <c r="AP55">
        <f t="shared" si="20"/>
        <v>89467.804523809551</v>
      </c>
      <c r="AR55">
        <f t="shared" si="21"/>
        <v>89467.804523809551</v>
      </c>
    </row>
    <row r="56" spans="1:44">
      <c r="B56">
        <v>89484</v>
      </c>
      <c r="C56">
        <v>2036</v>
      </c>
      <c r="D56" t="s">
        <v>447</v>
      </c>
      <c r="E56">
        <v>2011</v>
      </c>
      <c r="F56">
        <v>12</v>
      </c>
      <c r="G56">
        <v>0.2</v>
      </c>
      <c r="I56" t="s">
        <v>78</v>
      </c>
      <c r="J56">
        <v>7</v>
      </c>
      <c r="K56">
        <f t="shared" si="0"/>
        <v>2018</v>
      </c>
      <c r="N56">
        <v>245480.55</v>
      </c>
      <c r="P56">
        <f t="shared" si="22"/>
        <v>196384.44</v>
      </c>
      <c r="Q56">
        <f t="shared" si="23"/>
        <v>2337.9100000000003</v>
      </c>
      <c r="R56">
        <f t="shared" si="3"/>
        <v>28054.920000000006</v>
      </c>
      <c r="S56">
        <f t="shared" si="4"/>
        <v>0</v>
      </c>
      <c r="T56">
        <f t="shared" si="5"/>
        <v>28054.920000000006</v>
      </c>
      <c r="U56">
        <v>1</v>
      </c>
      <c r="V56">
        <f t="shared" si="6"/>
        <v>28054.920000000006</v>
      </c>
      <c r="X56">
        <f t="shared" si="7"/>
        <v>144950.41999999576</v>
      </c>
      <c r="Y56">
        <f t="shared" si="8"/>
        <v>144950.41999999576</v>
      </c>
      <c r="Z56">
        <v>1</v>
      </c>
      <c r="AA56">
        <f t="shared" si="9"/>
        <v>144950.41999999576</v>
      </c>
      <c r="AB56">
        <f t="shared" si="10"/>
        <v>173005.33999999578</v>
      </c>
      <c r="AC56">
        <f t="shared" si="11"/>
        <v>86502.670000004218</v>
      </c>
      <c r="AD56">
        <f t="shared" si="12"/>
        <v>2011.9166666666667</v>
      </c>
      <c r="AE56">
        <f t="shared" si="13"/>
        <v>2018.0833333333333</v>
      </c>
      <c r="AF56">
        <f t="shared" si="14"/>
        <v>2018.9166666666667</v>
      </c>
      <c r="AG56">
        <f t="shared" si="15"/>
        <v>2017.0833333333333</v>
      </c>
      <c r="AH56">
        <f t="shared" si="24"/>
        <v>-8.3333333333333329E-2</v>
      </c>
      <c r="AJ56">
        <f t="shared" si="17"/>
        <v>16365.369999999995</v>
      </c>
      <c r="AL56">
        <f t="shared" si="18"/>
        <v>44420.29</v>
      </c>
      <c r="AN56">
        <f t="shared" si="19"/>
        <v>0</v>
      </c>
      <c r="AP56">
        <f t="shared" si="20"/>
        <v>78319.985000004221</v>
      </c>
      <c r="AR56">
        <f t="shared" si="21"/>
        <v>78319.985000004221</v>
      </c>
    </row>
    <row r="57" spans="1:44">
      <c r="A57" t="s">
        <v>288</v>
      </c>
      <c r="B57" t="s">
        <v>443</v>
      </c>
      <c r="C57">
        <v>4511</v>
      </c>
      <c r="D57" t="s">
        <v>444</v>
      </c>
      <c r="E57">
        <v>2012</v>
      </c>
      <c r="F57">
        <v>2</v>
      </c>
      <c r="G57">
        <v>0</v>
      </c>
      <c r="I57" t="s">
        <v>78</v>
      </c>
      <c r="J57">
        <v>3</v>
      </c>
      <c r="K57">
        <f t="shared" si="0"/>
        <v>2015</v>
      </c>
      <c r="N57">
        <f>12472.57-4700.16+4164.8</f>
        <v>11937.21</v>
      </c>
      <c r="P57">
        <f t="shared" si="22"/>
        <v>11937.21</v>
      </c>
      <c r="Q57">
        <f t="shared" si="23"/>
        <v>331.58916666666664</v>
      </c>
      <c r="R57">
        <f t="shared" si="3"/>
        <v>0</v>
      </c>
      <c r="S57">
        <f t="shared" si="4"/>
        <v>0</v>
      </c>
      <c r="T57">
        <f t="shared" si="5"/>
        <v>0</v>
      </c>
      <c r="U57">
        <v>1</v>
      </c>
      <c r="V57">
        <f t="shared" si="6"/>
        <v>0</v>
      </c>
      <c r="X57">
        <f t="shared" si="7"/>
        <v>11937.21</v>
      </c>
      <c r="Y57">
        <f t="shared" si="8"/>
        <v>11937.21</v>
      </c>
      <c r="Z57">
        <v>1</v>
      </c>
      <c r="AA57">
        <f t="shared" si="9"/>
        <v>11937.21</v>
      </c>
      <c r="AB57">
        <f t="shared" si="10"/>
        <v>11937.21</v>
      </c>
      <c r="AC57">
        <f t="shared" si="11"/>
        <v>0</v>
      </c>
      <c r="AD57">
        <f t="shared" si="12"/>
        <v>2012.0833333333333</v>
      </c>
      <c r="AE57">
        <f t="shared" si="13"/>
        <v>2018.0833333333333</v>
      </c>
      <c r="AF57">
        <f t="shared" si="14"/>
        <v>2015.0833333333333</v>
      </c>
      <c r="AG57">
        <f t="shared" si="15"/>
        <v>2017.0833333333333</v>
      </c>
      <c r="AH57">
        <f t="shared" si="24"/>
        <v>-8.3333333333333329E-2</v>
      </c>
      <c r="AJ57">
        <f t="shared" si="17"/>
        <v>0</v>
      </c>
      <c r="AL57">
        <f t="shared" si="18"/>
        <v>0</v>
      </c>
      <c r="AN57">
        <f t="shared" si="19"/>
        <v>0</v>
      </c>
      <c r="AP57">
        <f t="shared" si="20"/>
        <v>0</v>
      </c>
      <c r="AR57">
        <f t="shared" si="21"/>
        <v>0</v>
      </c>
    </row>
    <row r="58" spans="1:44">
      <c r="A58" t="s">
        <v>462</v>
      </c>
      <c r="B58" t="s">
        <v>463</v>
      </c>
      <c r="C58">
        <v>3632</v>
      </c>
      <c r="D58" t="s">
        <v>441</v>
      </c>
      <c r="E58">
        <v>2012</v>
      </c>
      <c r="F58">
        <v>8</v>
      </c>
      <c r="G58">
        <v>0.2</v>
      </c>
      <c r="I58" t="s">
        <v>78</v>
      </c>
      <c r="J58">
        <v>7</v>
      </c>
      <c r="K58">
        <f t="shared" si="0"/>
        <v>2019</v>
      </c>
      <c r="N58">
        <f>297122+8555+23411</f>
        <v>329088</v>
      </c>
      <c r="P58">
        <f t="shared" si="22"/>
        <v>263270.40000000002</v>
      </c>
      <c r="Q58">
        <f t="shared" si="23"/>
        <v>3134.1714285714293</v>
      </c>
      <c r="R58">
        <f t="shared" si="3"/>
        <v>37610.057142857149</v>
      </c>
      <c r="S58">
        <f t="shared" si="4"/>
        <v>0</v>
      </c>
      <c r="T58">
        <f t="shared" si="5"/>
        <v>37610.057142857149</v>
      </c>
      <c r="U58">
        <v>1</v>
      </c>
      <c r="V58">
        <f t="shared" si="6"/>
        <v>37610.057142857149</v>
      </c>
      <c r="X58">
        <f t="shared" si="7"/>
        <v>169245.25714285718</v>
      </c>
      <c r="Y58">
        <f t="shared" si="8"/>
        <v>169245.25714285718</v>
      </c>
      <c r="Z58">
        <v>1</v>
      </c>
      <c r="AA58">
        <f t="shared" si="9"/>
        <v>169245.25714285718</v>
      </c>
      <c r="AB58">
        <f t="shared" si="10"/>
        <v>206855.31428571432</v>
      </c>
      <c r="AC58">
        <f t="shared" si="11"/>
        <v>141037.71428571426</v>
      </c>
      <c r="AD58">
        <f t="shared" si="12"/>
        <v>2012.5833333333333</v>
      </c>
      <c r="AE58">
        <f t="shared" si="13"/>
        <v>2018.0833333333333</v>
      </c>
      <c r="AF58">
        <f t="shared" si="14"/>
        <v>2019.5833333333333</v>
      </c>
      <c r="AG58">
        <f t="shared" si="15"/>
        <v>2017.0833333333333</v>
      </c>
      <c r="AH58">
        <f t="shared" si="24"/>
        <v>-8.3333333333333329E-2</v>
      </c>
      <c r="AJ58">
        <f t="shared" si="17"/>
        <v>21939.199999999993</v>
      </c>
      <c r="AL58">
        <f t="shared" si="18"/>
        <v>59549.257142857139</v>
      </c>
      <c r="AN58">
        <f t="shared" si="19"/>
        <v>0</v>
      </c>
      <c r="AP58">
        <f t="shared" si="20"/>
        <v>130068.11428571425</v>
      </c>
      <c r="AR58">
        <f t="shared" si="21"/>
        <v>130068.11428571425</v>
      </c>
    </row>
    <row r="59" spans="1:44">
      <c r="A59" t="s">
        <v>475</v>
      </c>
      <c r="B59">
        <v>99666</v>
      </c>
      <c r="C59">
        <v>2011</v>
      </c>
      <c r="D59" t="s">
        <v>476</v>
      </c>
      <c r="E59">
        <v>2012</v>
      </c>
      <c r="F59">
        <v>12</v>
      </c>
      <c r="G59">
        <v>0.2</v>
      </c>
      <c r="I59" t="s">
        <v>78</v>
      </c>
      <c r="J59">
        <v>7</v>
      </c>
      <c r="K59">
        <f t="shared" si="0"/>
        <v>2019</v>
      </c>
      <c r="N59">
        <v>301281</v>
      </c>
      <c r="P59">
        <f t="shared" si="22"/>
        <v>241024.8</v>
      </c>
      <c r="Q59">
        <f t="shared" si="23"/>
        <v>2869.3428571428572</v>
      </c>
      <c r="R59">
        <f t="shared" si="3"/>
        <v>34432.114285714284</v>
      </c>
      <c r="S59">
        <f t="shared" si="4"/>
        <v>0</v>
      </c>
      <c r="T59">
        <f t="shared" si="5"/>
        <v>34432.114285714284</v>
      </c>
      <c r="U59">
        <v>1</v>
      </c>
      <c r="V59">
        <f t="shared" si="6"/>
        <v>34432.114285714284</v>
      </c>
      <c r="X59">
        <f t="shared" si="7"/>
        <v>143467.14285713763</v>
      </c>
      <c r="Y59">
        <f t="shared" si="8"/>
        <v>143467.14285713763</v>
      </c>
      <c r="Z59">
        <v>1</v>
      </c>
      <c r="AA59">
        <f t="shared" si="9"/>
        <v>143467.14285713763</v>
      </c>
      <c r="AB59">
        <f t="shared" si="10"/>
        <v>177899.25714285191</v>
      </c>
      <c r="AC59">
        <f t="shared" si="11"/>
        <v>140597.80000000523</v>
      </c>
      <c r="AD59">
        <f t="shared" si="12"/>
        <v>2012.9166666666667</v>
      </c>
      <c r="AE59">
        <f t="shared" si="13"/>
        <v>2018.0833333333333</v>
      </c>
      <c r="AF59">
        <f t="shared" si="14"/>
        <v>2019.9166666666667</v>
      </c>
      <c r="AG59">
        <f t="shared" si="15"/>
        <v>2017.0833333333333</v>
      </c>
      <c r="AH59">
        <f t="shared" si="24"/>
        <v>-8.3333333333333329E-2</v>
      </c>
      <c r="AJ59">
        <f t="shared" si="17"/>
        <v>20085.400000000005</v>
      </c>
      <c r="AL59">
        <f t="shared" si="18"/>
        <v>54517.514285714293</v>
      </c>
      <c r="AN59">
        <f t="shared" si="19"/>
        <v>0</v>
      </c>
      <c r="AP59">
        <f t="shared" si="20"/>
        <v>130555.10000000523</v>
      </c>
      <c r="AR59">
        <f t="shared" si="21"/>
        <v>130555.10000000523</v>
      </c>
    </row>
    <row r="60" spans="1:44">
      <c r="B60">
        <v>103479</v>
      </c>
      <c r="C60">
        <v>1042</v>
      </c>
      <c r="D60" t="s">
        <v>477</v>
      </c>
      <c r="E60">
        <v>2013</v>
      </c>
      <c r="F60">
        <v>3</v>
      </c>
      <c r="G60">
        <v>0</v>
      </c>
      <c r="I60" t="s">
        <v>78</v>
      </c>
      <c r="J60">
        <v>3</v>
      </c>
      <c r="K60">
        <f t="shared" si="0"/>
        <v>2016</v>
      </c>
      <c r="N60">
        <v>13741.65</v>
      </c>
      <c r="P60">
        <f t="shared" si="22"/>
        <v>13741.65</v>
      </c>
      <c r="Q60">
        <f t="shared" si="23"/>
        <v>381.71250000000003</v>
      </c>
      <c r="R60">
        <f t="shared" si="3"/>
        <v>0</v>
      </c>
      <c r="S60">
        <f t="shared" si="4"/>
        <v>0</v>
      </c>
      <c r="T60">
        <f t="shared" si="5"/>
        <v>0</v>
      </c>
      <c r="U60">
        <v>1</v>
      </c>
      <c r="V60">
        <f t="shared" si="6"/>
        <v>0</v>
      </c>
      <c r="X60">
        <f t="shared" si="7"/>
        <v>13741.65</v>
      </c>
      <c r="Y60">
        <f t="shared" si="8"/>
        <v>13741.65</v>
      </c>
      <c r="Z60">
        <v>1</v>
      </c>
      <c r="AA60">
        <f t="shared" si="9"/>
        <v>13741.65</v>
      </c>
      <c r="AB60">
        <f t="shared" si="10"/>
        <v>13741.65</v>
      </c>
      <c r="AC60">
        <f t="shared" si="11"/>
        <v>0</v>
      </c>
      <c r="AD60">
        <f t="shared" si="12"/>
        <v>2013.1666666666667</v>
      </c>
      <c r="AE60">
        <f t="shared" si="13"/>
        <v>2018.0833333333333</v>
      </c>
      <c r="AF60">
        <f t="shared" si="14"/>
        <v>2016.1666666666667</v>
      </c>
      <c r="AG60">
        <f t="shared" si="15"/>
        <v>2017.0833333333333</v>
      </c>
      <c r="AH60">
        <f t="shared" si="24"/>
        <v>-8.3333333333333329E-2</v>
      </c>
      <c r="AJ60">
        <f t="shared" si="17"/>
        <v>0</v>
      </c>
      <c r="AL60">
        <f t="shared" si="18"/>
        <v>0</v>
      </c>
      <c r="AN60">
        <f t="shared" si="19"/>
        <v>0</v>
      </c>
      <c r="AP60">
        <f t="shared" si="20"/>
        <v>0</v>
      </c>
      <c r="AR60">
        <f t="shared" si="21"/>
        <v>0</v>
      </c>
    </row>
    <row r="61" spans="1:44">
      <c r="B61">
        <v>109992</v>
      </c>
      <c r="C61">
        <v>3603</v>
      </c>
      <c r="D61" t="s">
        <v>490</v>
      </c>
      <c r="E61">
        <v>2013</v>
      </c>
      <c r="F61">
        <v>12</v>
      </c>
      <c r="G61">
        <v>0</v>
      </c>
      <c r="I61" t="s">
        <v>78</v>
      </c>
      <c r="J61">
        <v>3</v>
      </c>
      <c r="K61">
        <f t="shared" si="0"/>
        <v>2016</v>
      </c>
      <c r="N61">
        <v>24943.74</v>
      </c>
      <c r="P61">
        <f t="shared" si="22"/>
        <v>24943.74</v>
      </c>
      <c r="Q61">
        <f t="shared" si="23"/>
        <v>692.88166666666666</v>
      </c>
      <c r="R61">
        <f t="shared" si="3"/>
        <v>0</v>
      </c>
      <c r="S61">
        <f t="shared" si="4"/>
        <v>0</v>
      </c>
      <c r="T61">
        <f t="shared" si="5"/>
        <v>0</v>
      </c>
      <c r="U61">
        <v>1</v>
      </c>
      <c r="V61">
        <f t="shared" si="6"/>
        <v>0</v>
      </c>
      <c r="X61">
        <f t="shared" si="7"/>
        <v>24943.74</v>
      </c>
      <c r="Y61">
        <f t="shared" si="8"/>
        <v>24943.74</v>
      </c>
      <c r="Z61">
        <v>1</v>
      </c>
      <c r="AA61">
        <f t="shared" si="9"/>
        <v>24943.74</v>
      </c>
      <c r="AB61">
        <f t="shared" si="10"/>
        <v>24943.74</v>
      </c>
      <c r="AC61">
        <f t="shared" si="11"/>
        <v>0</v>
      </c>
      <c r="AD61">
        <f t="shared" si="12"/>
        <v>2013.9166666666667</v>
      </c>
      <c r="AE61">
        <f t="shared" si="13"/>
        <v>2018.0833333333333</v>
      </c>
      <c r="AF61">
        <f t="shared" si="14"/>
        <v>2016.9166666666667</v>
      </c>
      <c r="AG61">
        <f t="shared" si="15"/>
        <v>2017.0833333333333</v>
      </c>
      <c r="AH61">
        <f t="shared" si="24"/>
        <v>-8.3333333333333329E-2</v>
      </c>
      <c r="AJ61">
        <f t="shared" si="17"/>
        <v>0</v>
      </c>
      <c r="AL61">
        <f t="shared" si="18"/>
        <v>0</v>
      </c>
      <c r="AN61">
        <f t="shared" si="19"/>
        <v>0</v>
      </c>
      <c r="AP61">
        <f t="shared" si="20"/>
        <v>0</v>
      </c>
      <c r="AR61">
        <f t="shared" si="21"/>
        <v>0</v>
      </c>
    </row>
    <row r="62" spans="1:44">
      <c r="A62" t="s">
        <v>462</v>
      </c>
      <c r="B62">
        <v>109517</v>
      </c>
      <c r="C62">
        <v>3539</v>
      </c>
      <c r="D62" t="s">
        <v>492</v>
      </c>
      <c r="E62">
        <v>2013</v>
      </c>
      <c r="F62">
        <v>12</v>
      </c>
      <c r="G62">
        <v>0.2</v>
      </c>
      <c r="I62" t="s">
        <v>78</v>
      </c>
      <c r="J62">
        <v>7</v>
      </c>
      <c r="K62">
        <f t="shared" si="0"/>
        <v>2020</v>
      </c>
      <c r="N62">
        <v>331758.37</v>
      </c>
      <c r="P62">
        <f t="shared" si="22"/>
        <v>265406.696</v>
      </c>
      <c r="Q62">
        <f t="shared" si="23"/>
        <v>3159.6035238095242</v>
      </c>
      <c r="R62">
        <f t="shared" si="3"/>
        <v>37915.242285714288</v>
      </c>
      <c r="S62">
        <f t="shared" si="4"/>
        <v>0</v>
      </c>
      <c r="T62">
        <f t="shared" si="5"/>
        <v>37915.242285714288</v>
      </c>
      <c r="U62">
        <v>1</v>
      </c>
      <c r="V62">
        <f t="shared" si="6"/>
        <v>37915.242285714288</v>
      </c>
      <c r="X62">
        <f t="shared" si="7"/>
        <v>120064.93390475617</v>
      </c>
      <c r="Y62">
        <f t="shared" si="8"/>
        <v>120064.93390475617</v>
      </c>
      <c r="Z62">
        <v>1</v>
      </c>
      <c r="AA62">
        <f t="shared" si="9"/>
        <v>120064.93390475617</v>
      </c>
      <c r="AB62">
        <f t="shared" si="10"/>
        <v>157980.17619047046</v>
      </c>
      <c r="AC62">
        <f t="shared" si="11"/>
        <v>192735.81495238669</v>
      </c>
      <c r="AD62">
        <f t="shared" si="12"/>
        <v>2013.9166666666667</v>
      </c>
      <c r="AE62">
        <f t="shared" si="13"/>
        <v>2018.0833333333333</v>
      </c>
      <c r="AF62">
        <f t="shared" si="14"/>
        <v>2020.9166666666667</v>
      </c>
      <c r="AG62">
        <f t="shared" si="15"/>
        <v>2017.0833333333333</v>
      </c>
      <c r="AH62">
        <f t="shared" si="24"/>
        <v>-8.3333333333333329E-2</v>
      </c>
      <c r="AJ62">
        <f t="shared" si="17"/>
        <v>17309.132347825402</v>
      </c>
      <c r="AL62">
        <f t="shared" si="18"/>
        <v>55224.374633539686</v>
      </c>
      <c r="AN62">
        <f t="shared" si="19"/>
        <v>0</v>
      </c>
      <c r="AP62">
        <f t="shared" si="20"/>
        <v>184081.24877847399</v>
      </c>
      <c r="AR62">
        <f t="shared" si="21"/>
        <v>184081.24877847399</v>
      </c>
    </row>
    <row r="63" spans="1:44">
      <c r="A63" t="s">
        <v>462</v>
      </c>
      <c r="B63">
        <v>109518</v>
      </c>
      <c r="C63">
        <v>3540</v>
      </c>
      <c r="D63" t="s">
        <v>492</v>
      </c>
      <c r="E63">
        <v>2013</v>
      </c>
      <c r="F63">
        <v>12</v>
      </c>
      <c r="G63">
        <v>0.2</v>
      </c>
      <c r="I63" t="s">
        <v>78</v>
      </c>
      <c r="J63">
        <v>7</v>
      </c>
      <c r="K63">
        <f t="shared" si="0"/>
        <v>2020</v>
      </c>
      <c r="N63">
        <v>334095.67</v>
      </c>
      <c r="P63">
        <f t="shared" si="22"/>
        <v>267276.53599999996</v>
      </c>
      <c r="Q63">
        <f t="shared" si="23"/>
        <v>3181.8635238095235</v>
      </c>
      <c r="R63">
        <f t="shared" si="3"/>
        <v>38182.362285714284</v>
      </c>
      <c r="S63">
        <f t="shared" si="4"/>
        <v>0</v>
      </c>
      <c r="T63">
        <f t="shared" si="5"/>
        <v>38182.362285714284</v>
      </c>
      <c r="U63">
        <v>1</v>
      </c>
      <c r="V63">
        <f t="shared" si="6"/>
        <v>38182.362285714284</v>
      </c>
      <c r="X63">
        <f t="shared" si="7"/>
        <v>120910.8139047561</v>
      </c>
      <c r="Y63">
        <f t="shared" si="8"/>
        <v>120910.8139047561</v>
      </c>
      <c r="Z63">
        <v>1</v>
      </c>
      <c r="AA63">
        <f t="shared" si="9"/>
        <v>120910.8139047561</v>
      </c>
      <c r="AB63">
        <f t="shared" si="10"/>
        <v>159093.17619047037</v>
      </c>
      <c r="AC63">
        <f t="shared" si="11"/>
        <v>194093.67495238676</v>
      </c>
      <c r="AD63">
        <f t="shared" si="12"/>
        <v>2013.9166666666667</v>
      </c>
      <c r="AE63">
        <f t="shared" si="13"/>
        <v>2018.0833333333333</v>
      </c>
      <c r="AF63">
        <f t="shared" si="14"/>
        <v>2020.9166666666667</v>
      </c>
      <c r="AG63">
        <f t="shared" si="15"/>
        <v>2017.0833333333333</v>
      </c>
      <c r="AH63">
        <f t="shared" si="24"/>
        <v>-8.3333333333333329E-2</v>
      </c>
      <c r="AJ63">
        <f t="shared" si="17"/>
        <v>17431.078434781924</v>
      </c>
      <c r="AL63">
        <f t="shared" si="18"/>
        <v>55613.440720496204</v>
      </c>
      <c r="AN63">
        <f t="shared" si="19"/>
        <v>0</v>
      </c>
      <c r="AP63">
        <f t="shared" si="20"/>
        <v>185378.13573499577</v>
      </c>
      <c r="AR63">
        <f t="shared" si="21"/>
        <v>185378.13573499577</v>
      </c>
    </row>
    <row r="64" spans="1:44">
      <c r="A64" t="s">
        <v>462</v>
      </c>
      <c r="B64">
        <v>109519</v>
      </c>
      <c r="C64">
        <v>3541</v>
      </c>
      <c r="D64" t="s">
        <v>491</v>
      </c>
      <c r="E64">
        <v>2013</v>
      </c>
      <c r="F64">
        <v>12</v>
      </c>
      <c r="G64">
        <v>0.2</v>
      </c>
      <c r="I64" t="s">
        <v>78</v>
      </c>
      <c r="J64">
        <v>7</v>
      </c>
      <c r="K64">
        <f t="shared" si="0"/>
        <v>2020</v>
      </c>
      <c r="N64">
        <v>332641.82</v>
      </c>
      <c r="P64">
        <f t="shared" si="22"/>
        <v>266113.45600000001</v>
      </c>
      <c r="Q64">
        <f t="shared" si="23"/>
        <v>3168.0173333333332</v>
      </c>
      <c r="R64">
        <f t="shared" si="3"/>
        <v>38016.207999999999</v>
      </c>
      <c r="S64">
        <f t="shared" si="4"/>
        <v>0</v>
      </c>
      <c r="T64">
        <f t="shared" si="5"/>
        <v>38016.207999999999</v>
      </c>
      <c r="U64">
        <v>1</v>
      </c>
      <c r="V64">
        <f t="shared" si="6"/>
        <v>38016.207999999999</v>
      </c>
      <c r="X64">
        <f t="shared" si="7"/>
        <v>120384.65866666089</v>
      </c>
      <c r="Y64">
        <f t="shared" si="8"/>
        <v>120384.65866666089</v>
      </c>
      <c r="Z64">
        <v>1</v>
      </c>
      <c r="AA64">
        <f t="shared" si="9"/>
        <v>120384.65866666089</v>
      </c>
      <c r="AB64">
        <f t="shared" si="10"/>
        <v>158400.86666666088</v>
      </c>
      <c r="AC64">
        <f t="shared" si="11"/>
        <v>193249.05733333912</v>
      </c>
      <c r="AD64">
        <f t="shared" si="12"/>
        <v>2013.9166666666667</v>
      </c>
      <c r="AE64">
        <f t="shared" si="13"/>
        <v>2018.0833333333333</v>
      </c>
      <c r="AF64">
        <f t="shared" si="14"/>
        <v>2020.9166666666667</v>
      </c>
      <c r="AG64">
        <f t="shared" si="15"/>
        <v>2017.0833333333333</v>
      </c>
      <c r="AH64">
        <f t="shared" si="24"/>
        <v>-8.3333333333333329E-2</v>
      </c>
      <c r="AJ64">
        <f t="shared" si="17"/>
        <v>17355.225391303662</v>
      </c>
      <c r="AL64">
        <f t="shared" si="18"/>
        <v>55371.433391303661</v>
      </c>
      <c r="AN64">
        <f t="shared" si="19"/>
        <v>0</v>
      </c>
      <c r="AP64">
        <f t="shared" si="20"/>
        <v>184571.44463768729</v>
      </c>
      <c r="AR64">
        <f t="shared" si="21"/>
        <v>184571.44463768729</v>
      </c>
    </row>
    <row r="65" spans="1:44">
      <c r="A65" t="s">
        <v>462</v>
      </c>
      <c r="B65" t="s">
        <v>499</v>
      </c>
      <c r="C65">
        <v>3542</v>
      </c>
      <c r="D65" t="s">
        <v>491</v>
      </c>
      <c r="E65">
        <v>2013</v>
      </c>
      <c r="F65">
        <v>12</v>
      </c>
      <c r="G65">
        <v>0.2</v>
      </c>
      <c r="I65" t="s">
        <v>78</v>
      </c>
      <c r="J65">
        <v>7</v>
      </c>
      <c r="K65">
        <f t="shared" si="0"/>
        <v>2020</v>
      </c>
      <c r="N65">
        <f>323070.82+904.93</f>
        <v>323975.75</v>
      </c>
      <c r="P65">
        <f t="shared" si="22"/>
        <v>259180.6</v>
      </c>
      <c r="Q65">
        <f t="shared" si="23"/>
        <v>3085.4833333333336</v>
      </c>
      <c r="R65">
        <f t="shared" si="3"/>
        <v>37025.800000000003</v>
      </c>
      <c r="S65">
        <f t="shared" si="4"/>
        <v>0</v>
      </c>
      <c r="T65">
        <f t="shared" si="5"/>
        <v>37025.800000000003</v>
      </c>
      <c r="U65">
        <v>1</v>
      </c>
      <c r="V65">
        <f t="shared" si="6"/>
        <v>37025.800000000003</v>
      </c>
      <c r="X65">
        <f t="shared" si="7"/>
        <v>117248.36666666107</v>
      </c>
      <c r="Y65">
        <f t="shared" si="8"/>
        <v>117248.36666666107</v>
      </c>
      <c r="Z65">
        <v>1</v>
      </c>
      <c r="AA65">
        <f t="shared" si="9"/>
        <v>117248.36666666107</v>
      </c>
      <c r="AB65">
        <f t="shared" si="10"/>
        <v>154274.16666666107</v>
      </c>
      <c r="AC65">
        <f t="shared" si="11"/>
        <v>188214.48333333893</v>
      </c>
      <c r="AD65">
        <f t="shared" si="12"/>
        <v>2013.9166666666667</v>
      </c>
      <c r="AE65">
        <f t="shared" si="13"/>
        <v>2018.0833333333333</v>
      </c>
      <c r="AF65">
        <f t="shared" si="14"/>
        <v>2020.9166666666667</v>
      </c>
      <c r="AG65">
        <f t="shared" si="15"/>
        <v>2017.0833333333333</v>
      </c>
      <c r="AH65">
        <f t="shared" si="24"/>
        <v>-8.3333333333333329E-2</v>
      </c>
      <c r="AJ65">
        <f t="shared" si="17"/>
        <v>16903.082608694982</v>
      </c>
      <c r="AL65">
        <f t="shared" si="18"/>
        <v>53928.882608694985</v>
      </c>
      <c r="AN65">
        <f t="shared" si="19"/>
        <v>0</v>
      </c>
      <c r="AP65">
        <f t="shared" si="20"/>
        <v>179762.94202899144</v>
      </c>
      <c r="AR65">
        <f t="shared" si="21"/>
        <v>179762.94202899144</v>
      </c>
    </row>
    <row r="66" spans="1:44">
      <c r="A66" t="s">
        <v>462</v>
      </c>
      <c r="B66">
        <v>117321</v>
      </c>
      <c r="C66">
        <v>3639</v>
      </c>
      <c r="D66" t="s">
        <v>526</v>
      </c>
      <c r="E66">
        <v>2014</v>
      </c>
      <c r="F66">
        <v>11</v>
      </c>
      <c r="G66">
        <v>0.2</v>
      </c>
      <c r="I66" t="s">
        <v>78</v>
      </c>
      <c r="J66">
        <v>7</v>
      </c>
      <c r="K66">
        <f t="shared" si="0"/>
        <v>2021</v>
      </c>
      <c r="N66">
        <v>330416.48</v>
      </c>
      <c r="P66">
        <f t="shared" si="22"/>
        <v>264333.18400000001</v>
      </c>
      <c r="Q66">
        <f t="shared" si="23"/>
        <v>3146.8236190476196</v>
      </c>
      <c r="R66">
        <f t="shared" si="3"/>
        <v>37761.883428571433</v>
      </c>
      <c r="S66">
        <f t="shared" si="4"/>
        <v>0</v>
      </c>
      <c r="T66">
        <f t="shared" si="5"/>
        <v>37761.883428571433</v>
      </c>
      <c r="U66">
        <v>1</v>
      </c>
      <c r="V66">
        <f t="shared" si="6"/>
        <v>37761.883428571433</v>
      </c>
      <c r="X66">
        <f t="shared" si="7"/>
        <v>84964.237714285729</v>
      </c>
      <c r="Y66">
        <f t="shared" si="8"/>
        <v>84964.237714285729</v>
      </c>
      <c r="Z66">
        <v>1</v>
      </c>
      <c r="AA66">
        <f t="shared" si="9"/>
        <v>84964.237714285729</v>
      </c>
      <c r="AB66">
        <f t="shared" si="10"/>
        <v>122726.12114285716</v>
      </c>
      <c r="AC66">
        <f t="shared" si="11"/>
        <v>226571.30057142855</v>
      </c>
      <c r="AD66">
        <f t="shared" si="12"/>
        <v>2014.8333333333333</v>
      </c>
      <c r="AE66">
        <f t="shared" si="13"/>
        <v>2018.0833333333333</v>
      </c>
      <c r="AF66">
        <f t="shared" si="14"/>
        <v>2021.8333333333333</v>
      </c>
      <c r="AG66">
        <f t="shared" si="15"/>
        <v>2017.0833333333333</v>
      </c>
      <c r="AH66">
        <f t="shared" si="24"/>
        <v>-8.3333333333333329E-2</v>
      </c>
      <c r="AJ66">
        <f t="shared" si="17"/>
        <v>13912.272842105258</v>
      </c>
      <c r="AL66">
        <f t="shared" si="18"/>
        <v>51674.156270676693</v>
      </c>
      <c r="AN66">
        <f t="shared" si="19"/>
        <v>0</v>
      </c>
      <c r="AP66">
        <f t="shared" si="20"/>
        <v>219615.16415037593</v>
      </c>
      <c r="AR66">
        <f t="shared" si="21"/>
        <v>219615.16415037593</v>
      </c>
    </row>
    <row r="67" spans="1:44">
      <c r="A67" t="s">
        <v>462</v>
      </c>
      <c r="B67">
        <v>117322</v>
      </c>
      <c r="C67">
        <v>3640</v>
      </c>
      <c r="D67" t="s">
        <v>526</v>
      </c>
      <c r="E67">
        <v>2014</v>
      </c>
      <c r="F67">
        <v>11</v>
      </c>
      <c r="G67">
        <v>0.2</v>
      </c>
      <c r="I67" t="s">
        <v>78</v>
      </c>
      <c r="J67">
        <v>7</v>
      </c>
      <c r="K67">
        <f t="shared" si="0"/>
        <v>2021</v>
      </c>
      <c r="N67">
        <v>330302.59000000003</v>
      </c>
      <c r="P67">
        <f t="shared" si="22"/>
        <v>264242.07200000004</v>
      </c>
      <c r="Q67">
        <f t="shared" si="23"/>
        <v>3145.7389523809529</v>
      </c>
      <c r="R67">
        <f t="shared" si="3"/>
        <v>37748.867428571437</v>
      </c>
      <c r="S67">
        <f t="shared" si="4"/>
        <v>0</v>
      </c>
      <c r="T67">
        <f t="shared" si="5"/>
        <v>37748.867428571437</v>
      </c>
      <c r="U67">
        <v>1</v>
      </c>
      <c r="V67">
        <f t="shared" si="6"/>
        <v>37748.867428571437</v>
      </c>
      <c r="X67">
        <f t="shared" si="7"/>
        <v>84934.951714285722</v>
      </c>
      <c r="Y67">
        <f t="shared" si="8"/>
        <v>84934.951714285722</v>
      </c>
      <c r="Z67">
        <v>1</v>
      </c>
      <c r="AA67">
        <f t="shared" si="9"/>
        <v>84934.951714285722</v>
      </c>
      <c r="AB67">
        <f t="shared" si="10"/>
        <v>122683.81914285716</v>
      </c>
      <c r="AC67">
        <f t="shared" si="11"/>
        <v>226493.20457142859</v>
      </c>
      <c r="AD67">
        <f t="shared" si="12"/>
        <v>2014.8333333333333</v>
      </c>
      <c r="AE67">
        <f t="shared" si="13"/>
        <v>2018.0833333333333</v>
      </c>
      <c r="AF67">
        <f t="shared" si="14"/>
        <v>2021.8333333333333</v>
      </c>
      <c r="AG67">
        <f t="shared" si="15"/>
        <v>2017.0833333333333</v>
      </c>
      <c r="AH67">
        <f t="shared" si="24"/>
        <v>-8.3333333333333329E-2</v>
      </c>
      <c r="AJ67">
        <f t="shared" si="17"/>
        <v>13907.477473684206</v>
      </c>
      <c r="AL67">
        <f t="shared" si="18"/>
        <v>51656.344902255645</v>
      </c>
      <c r="AN67">
        <f t="shared" si="19"/>
        <v>0</v>
      </c>
      <c r="AP67">
        <f t="shared" si="20"/>
        <v>219539.46583458647</v>
      </c>
      <c r="AR67">
        <f t="shared" si="21"/>
        <v>219539.46583458647</v>
      </c>
    </row>
    <row r="68" spans="1:44">
      <c r="A68" t="s">
        <v>527</v>
      </c>
      <c r="B68">
        <v>117320</v>
      </c>
      <c r="C68">
        <v>1071</v>
      </c>
      <c r="D68" t="s">
        <v>528</v>
      </c>
      <c r="E68">
        <v>2014</v>
      </c>
      <c r="F68">
        <v>11</v>
      </c>
      <c r="G68">
        <v>0.2</v>
      </c>
      <c r="I68" t="s">
        <v>78</v>
      </c>
      <c r="J68">
        <v>7</v>
      </c>
      <c r="K68">
        <f t="shared" si="0"/>
        <v>2021</v>
      </c>
      <c r="N68">
        <v>289667.86</v>
      </c>
      <c r="P68">
        <f t="shared" si="22"/>
        <v>231734.288</v>
      </c>
      <c r="Q68">
        <f t="shared" si="23"/>
        <v>2758.7415238095236</v>
      </c>
      <c r="R68">
        <f t="shared" si="3"/>
        <v>33104.898285714284</v>
      </c>
      <c r="S68">
        <f t="shared" si="4"/>
        <v>0</v>
      </c>
      <c r="T68">
        <f t="shared" si="5"/>
        <v>33104.898285714284</v>
      </c>
      <c r="U68">
        <v>1</v>
      </c>
      <c r="V68">
        <f t="shared" si="6"/>
        <v>33104.898285714284</v>
      </c>
      <c r="X68">
        <f t="shared" si="7"/>
        <v>74486.021142857135</v>
      </c>
      <c r="Y68">
        <f t="shared" si="8"/>
        <v>74486.021142857135</v>
      </c>
      <c r="Z68">
        <v>1</v>
      </c>
      <c r="AA68">
        <f t="shared" si="9"/>
        <v>74486.021142857135</v>
      </c>
      <c r="AB68">
        <f t="shared" si="10"/>
        <v>107590.91942857142</v>
      </c>
      <c r="AC68">
        <f t="shared" si="11"/>
        <v>198629.3897142857</v>
      </c>
      <c r="AD68">
        <f t="shared" si="12"/>
        <v>2014.8333333333333</v>
      </c>
      <c r="AE68">
        <f t="shared" si="13"/>
        <v>2018.0833333333333</v>
      </c>
      <c r="AF68">
        <f t="shared" si="14"/>
        <v>2021.8333333333333</v>
      </c>
      <c r="AG68">
        <f t="shared" si="15"/>
        <v>2017.0833333333333</v>
      </c>
      <c r="AH68">
        <f t="shared" si="24"/>
        <v>-8.3333333333333329E-2</v>
      </c>
      <c r="AJ68">
        <f t="shared" si="17"/>
        <v>12196.541473684207</v>
      </c>
      <c r="AL68">
        <f t="shared" si="18"/>
        <v>45301.43975939849</v>
      </c>
      <c r="AN68">
        <f t="shared" si="19"/>
        <v>0</v>
      </c>
      <c r="AP68">
        <f t="shared" si="20"/>
        <v>192531.11897744361</v>
      </c>
      <c r="AR68">
        <f t="shared" si="21"/>
        <v>192531.11897744361</v>
      </c>
    </row>
    <row r="69" spans="1:44">
      <c r="A69" t="s">
        <v>288</v>
      </c>
      <c r="B69" t="s">
        <v>568</v>
      </c>
      <c r="C69">
        <v>8924</v>
      </c>
      <c r="D69" t="s">
        <v>569</v>
      </c>
      <c r="E69">
        <v>2015</v>
      </c>
      <c r="F69">
        <v>5</v>
      </c>
      <c r="G69">
        <v>0.33</v>
      </c>
      <c r="I69" t="s">
        <v>78</v>
      </c>
      <c r="J69">
        <v>5</v>
      </c>
      <c r="K69">
        <f t="shared" si="0"/>
        <v>2020</v>
      </c>
      <c r="N69">
        <f>29396+30486</f>
        <v>59882</v>
      </c>
      <c r="P69">
        <f t="shared" si="22"/>
        <v>40120.94</v>
      </c>
      <c r="Q69">
        <f t="shared" si="23"/>
        <v>668.6823333333333</v>
      </c>
      <c r="R69">
        <f t="shared" si="3"/>
        <v>8024.1880000000001</v>
      </c>
      <c r="S69">
        <f t="shared" si="4"/>
        <v>0</v>
      </c>
      <c r="T69">
        <f t="shared" si="5"/>
        <v>8024.1880000000001</v>
      </c>
      <c r="U69">
        <v>1</v>
      </c>
      <c r="V69">
        <f t="shared" si="6"/>
        <v>8024.1880000000001</v>
      </c>
      <c r="X69">
        <f t="shared" si="7"/>
        <v>14042.329</v>
      </c>
      <c r="Y69">
        <f t="shared" si="8"/>
        <v>14042.329</v>
      </c>
      <c r="Z69">
        <v>1</v>
      </c>
      <c r="AA69">
        <f t="shared" si="9"/>
        <v>14042.329</v>
      </c>
      <c r="AB69">
        <f t="shared" si="10"/>
        <v>22066.517</v>
      </c>
      <c r="AC69">
        <f t="shared" si="11"/>
        <v>41827.577000000005</v>
      </c>
      <c r="AD69">
        <f t="shared" si="12"/>
        <v>2015.3333333333333</v>
      </c>
      <c r="AE69">
        <f t="shared" si="13"/>
        <v>2018.0833333333333</v>
      </c>
      <c r="AF69">
        <f t="shared" si="14"/>
        <v>2020.3333333333333</v>
      </c>
      <c r="AG69">
        <f t="shared" si="15"/>
        <v>2017.0833333333333</v>
      </c>
      <c r="AH69">
        <f t="shared" si="24"/>
        <v>-8.3333333333333329E-2</v>
      </c>
      <c r="AJ69">
        <f t="shared" si="17"/>
        <v>6080.3261538461529</v>
      </c>
      <c r="AL69">
        <f t="shared" si="18"/>
        <v>14104.514153846154</v>
      </c>
      <c r="AN69">
        <f t="shared" si="19"/>
        <v>0</v>
      </c>
      <c r="AP69">
        <f t="shared" si="20"/>
        <v>38787.413923076921</v>
      </c>
      <c r="AR69">
        <f t="shared" si="21"/>
        <v>38787.413923076921</v>
      </c>
    </row>
    <row r="70" spans="1:44">
      <c r="B70">
        <v>124606</v>
      </c>
      <c r="C70">
        <v>3603</v>
      </c>
      <c r="D70" t="s">
        <v>570</v>
      </c>
      <c r="E70">
        <v>2015</v>
      </c>
      <c r="F70">
        <v>6</v>
      </c>
      <c r="G70">
        <v>0</v>
      </c>
      <c r="I70" t="s">
        <v>78</v>
      </c>
      <c r="J70">
        <v>3</v>
      </c>
      <c r="K70">
        <f t="shared" si="0"/>
        <v>2018</v>
      </c>
      <c r="N70">
        <v>10023.450000000001</v>
      </c>
      <c r="P70">
        <f t="shared" si="22"/>
        <v>10023.450000000001</v>
      </c>
      <c r="Q70">
        <f t="shared" si="23"/>
        <v>278.42916666666667</v>
      </c>
      <c r="R70">
        <f t="shared" si="3"/>
        <v>3341.15</v>
      </c>
      <c r="S70">
        <f t="shared" si="4"/>
        <v>0</v>
      </c>
      <c r="T70">
        <f t="shared" si="5"/>
        <v>3341.15</v>
      </c>
      <c r="U70">
        <v>1</v>
      </c>
      <c r="V70">
        <f t="shared" si="6"/>
        <v>3341.15</v>
      </c>
      <c r="X70">
        <f t="shared" si="7"/>
        <v>5568.5833333328274</v>
      </c>
      <c r="Y70">
        <f t="shared" si="8"/>
        <v>5568.5833333328274</v>
      </c>
      <c r="Z70">
        <v>1</v>
      </c>
      <c r="AA70">
        <f t="shared" si="9"/>
        <v>5568.5833333328274</v>
      </c>
      <c r="AB70">
        <f t="shared" si="10"/>
        <v>8909.7333333328279</v>
      </c>
      <c r="AC70">
        <f t="shared" si="11"/>
        <v>2784.2916666671731</v>
      </c>
      <c r="AD70">
        <f t="shared" si="12"/>
        <v>2015.4166666666667</v>
      </c>
      <c r="AE70">
        <f t="shared" si="13"/>
        <v>2018.0833333333333</v>
      </c>
      <c r="AF70">
        <f t="shared" si="14"/>
        <v>2018.4166666666667</v>
      </c>
      <c r="AG70">
        <f t="shared" si="15"/>
        <v>2017.0833333333333</v>
      </c>
      <c r="AH70">
        <f t="shared" si="24"/>
        <v>-8.3333333333333329E-2</v>
      </c>
      <c r="AJ70">
        <f t="shared" si="17"/>
        <v>0</v>
      </c>
      <c r="AL70">
        <f t="shared" si="18"/>
        <v>3341.15</v>
      </c>
      <c r="AN70">
        <f t="shared" si="19"/>
        <v>0</v>
      </c>
      <c r="AP70">
        <f t="shared" si="20"/>
        <v>0</v>
      </c>
      <c r="AR70">
        <f t="shared" si="21"/>
        <v>2784.2916666671731</v>
      </c>
    </row>
    <row r="71" spans="1:44">
      <c r="B71">
        <v>128673</v>
      </c>
      <c r="C71">
        <v>2521</v>
      </c>
      <c r="D71" t="s">
        <v>583</v>
      </c>
      <c r="E71">
        <v>2015</v>
      </c>
      <c r="F71">
        <v>12</v>
      </c>
      <c r="G71">
        <v>0.2</v>
      </c>
      <c r="I71" t="s">
        <v>78</v>
      </c>
      <c r="J71">
        <v>7</v>
      </c>
      <c r="K71">
        <f t="shared" si="0"/>
        <v>2022</v>
      </c>
      <c r="N71">
        <v>291925.26</v>
      </c>
      <c r="P71">
        <f t="shared" si="22"/>
        <v>233540.20800000001</v>
      </c>
      <c r="Q71">
        <f t="shared" si="23"/>
        <v>2780.2405714285719</v>
      </c>
      <c r="R71">
        <f>IF(O71&gt;0,0,IF(OR(AD71&gt;AE71,AF71&lt;AG71),0,IF(AND(AF71&gt;=AG71,AF71&lt;=AE71),Q71*((AF71-AG71)*12),IF(AND(AG71&lt;=AD71,AE71&gt;=AD71),((AE71-AD71)*12)*Q71,IF(AF71&gt;AE71,12*Q71,0)))))</f>
        <v>33362.886857142861</v>
      </c>
      <c r="S71">
        <f>IF(O71=0,0,IF(AND(AH71&gt;=AG71,AH71&lt;=AF71),((AH71-AG71)*12)*Q71,0))</f>
        <v>0</v>
      </c>
      <c r="T71">
        <f>IF(S71&gt;0,S71,R71)</f>
        <v>33362.886857142861</v>
      </c>
      <c r="U71">
        <v>1</v>
      </c>
      <c r="V71">
        <f>U71*SUM(R71:S71)</f>
        <v>33362.886857142861</v>
      </c>
      <c r="X71">
        <f>IF(AD71&gt;AE71,0,IF(AF71&lt;AG71,P71,IF(AND(AF71&gt;=AG71,AF71&lt;=AE71),(P71-T71),IF(AND(AG71&lt;=AD71,AE71&gt;=AD71),0,IF(AF71&gt;AE71,((AG71-AD71)*12)*Q71,0)))))</f>
        <v>38923.367999994953</v>
      </c>
      <c r="Y71">
        <f>X71*U71</f>
        <v>38923.367999994953</v>
      </c>
      <c r="Z71">
        <v>1</v>
      </c>
      <c r="AA71">
        <f>Y71*Z71</f>
        <v>38923.367999994953</v>
      </c>
      <c r="AB71">
        <f>IF(O71&gt;0,0,AA71+V71*Z71)*Z71</f>
        <v>72286.254857137814</v>
      </c>
      <c r="AC71">
        <f>IF(O71&gt;0,(N71-AA71)/2,IF(AD71&gt;=AG71,(((N71*U71)*Z71)-AB71)/2,((((N71*U71)*Z71)-AA71)+(((N71*U71)*Z71)-AB71))/2))</f>
        <v>236320.44857143363</v>
      </c>
      <c r="AD71">
        <f t="shared" si="12"/>
        <v>2015.9166666666667</v>
      </c>
      <c r="AE71">
        <f t="shared" si="13"/>
        <v>2018.0833333333333</v>
      </c>
      <c r="AF71">
        <f t="shared" si="14"/>
        <v>2022.9166666666667</v>
      </c>
      <c r="AG71">
        <f t="shared" si="15"/>
        <v>2017.0833333333333</v>
      </c>
      <c r="AH71">
        <f t="shared" si="24"/>
        <v>-8.3333333333333329E-2</v>
      </c>
      <c r="AJ71">
        <f t="shared" si="17"/>
        <v>10008.866057142597</v>
      </c>
      <c r="AL71">
        <f t="shared" si="18"/>
        <v>43371.752914285462</v>
      </c>
      <c r="AN71">
        <f t="shared" si="19"/>
        <v>0</v>
      </c>
      <c r="AP71">
        <f t="shared" si="20"/>
        <v>231316.01554286233</v>
      </c>
      <c r="AR71">
        <f t="shared" si="21"/>
        <v>231316.01554286233</v>
      </c>
    </row>
    <row r="72" spans="1:44">
      <c r="B72">
        <v>128674</v>
      </c>
      <c r="C72">
        <v>2517</v>
      </c>
      <c r="D72" t="s">
        <v>584</v>
      </c>
      <c r="E72">
        <v>2015</v>
      </c>
      <c r="F72">
        <v>12</v>
      </c>
      <c r="G72">
        <v>0.2</v>
      </c>
      <c r="I72" t="s">
        <v>78</v>
      </c>
      <c r="J72">
        <v>7</v>
      </c>
      <c r="K72">
        <f t="shared" si="0"/>
        <v>2022</v>
      </c>
      <c r="N72">
        <v>340829.73</v>
      </c>
      <c r="P72">
        <f t="shared" si="22"/>
        <v>272663.78399999999</v>
      </c>
      <c r="Q72">
        <f t="shared" si="23"/>
        <v>3245.9974285714284</v>
      </c>
      <c r="R72">
        <f>IF(O72&gt;0,0,IF(OR(AD72&gt;AE72,AF72&lt;AG72),0,IF(AND(AF72&gt;=AG72,AF72&lt;=AE72),Q72*((AF72-AG72)*12),IF(AND(AG72&lt;=AD72,AE72&gt;=AD72),((AE72-AD72)*12)*Q72,IF(AF72&gt;AE72,12*Q72,0)))))</f>
        <v>38951.969142857139</v>
      </c>
      <c r="S72">
        <f>IF(O72=0,0,IF(AND(AH72&gt;=AG72,AH72&lt;=AF72),((AH72-AG72)*12)*Q72,0))</f>
        <v>0</v>
      </c>
      <c r="T72">
        <f>IF(S72&gt;0,S72,R72)</f>
        <v>38951.969142857139</v>
      </c>
      <c r="U72">
        <v>1</v>
      </c>
      <c r="V72">
        <f>U72*SUM(R72:S72)</f>
        <v>38951.969142857139</v>
      </c>
      <c r="X72">
        <f>IF(AD72&gt;AE72,0,IF(AF72&lt;AG72,P72,IF(AND(AF72&gt;=AG72,AF72&lt;=AE72),(P72-T72),IF(AND(AG72&lt;=AD72,AE72&gt;=AD72),0,IF(AF72&gt;AE72,((AG72-AD72)*12)*Q72,0)))))</f>
        <v>45443.963999994092</v>
      </c>
      <c r="Y72">
        <f>X72*U72</f>
        <v>45443.963999994092</v>
      </c>
      <c r="Z72">
        <v>1</v>
      </c>
      <c r="AA72">
        <f>Y72*Z72</f>
        <v>45443.963999994092</v>
      </c>
      <c r="AB72">
        <f>IF(O72&gt;0,0,AA72+V72*Z72)*Z72</f>
        <v>84395.933142851223</v>
      </c>
      <c r="AC72">
        <f>IF(O72&gt;0,(N72-AA72)/2,IF(AD72&gt;=AG72,(((N72*U72)*Z72)-AB72)/2,((((N72*U72)*Z72)-AA72)+(((N72*U72)*Z72)-AB72))/2))</f>
        <v>275909.78142857732</v>
      </c>
      <c r="AD72">
        <f t="shared" si="12"/>
        <v>2015.9166666666667</v>
      </c>
      <c r="AE72">
        <f t="shared" si="13"/>
        <v>2018.0833333333333</v>
      </c>
      <c r="AF72">
        <f t="shared" si="14"/>
        <v>2022.9166666666667</v>
      </c>
      <c r="AG72">
        <f t="shared" si="15"/>
        <v>2017.0833333333333</v>
      </c>
      <c r="AH72">
        <f t="shared" si="24"/>
        <v>-8.3333333333333329E-2</v>
      </c>
      <c r="AJ72">
        <f t="shared" si="17"/>
        <v>11685.590742856839</v>
      </c>
      <c r="AL72">
        <f t="shared" si="18"/>
        <v>50637.559885713978</v>
      </c>
      <c r="AN72">
        <f t="shared" si="19"/>
        <v>0</v>
      </c>
      <c r="AP72">
        <f t="shared" si="20"/>
        <v>270066.9860571489</v>
      </c>
      <c r="AR72">
        <f t="shared" si="21"/>
        <v>270066.9860571489</v>
      </c>
    </row>
    <row r="73" spans="1:44">
      <c r="B73" t="s">
        <v>593</v>
      </c>
      <c r="D73" t="s">
        <v>588</v>
      </c>
      <c r="E73">
        <v>2016</v>
      </c>
      <c r="F73">
        <v>4</v>
      </c>
      <c r="G73">
        <v>0</v>
      </c>
      <c r="I73" t="s">
        <v>78</v>
      </c>
      <c r="J73">
        <v>1</v>
      </c>
      <c r="K73">
        <f t="shared" si="0"/>
        <v>2017</v>
      </c>
      <c r="N73">
        <f>((14612.94+16641.82+675)/75)*46</f>
        <v>19583.586133333334</v>
      </c>
      <c r="P73">
        <f t="shared" si="22"/>
        <v>19583.586133333334</v>
      </c>
      <c r="Q73">
        <f t="shared" si="23"/>
        <v>1631.9655111111113</v>
      </c>
      <c r="R73">
        <f>IF(O73&gt;0,0,IF(OR(AD73&gt;AE73,AF73&lt;AG73),0,IF(AND(AF73&gt;=AG73,AF73&lt;=AE73),Q73*((AF73-AG73)*12),IF(AND(AG73&lt;=AD73,AE73&gt;=AD73),((AE73-AD73)*12)*Q73,IF(AF73&gt;AE73,12*Q73,0)))))</f>
        <v>3263.9310222237068</v>
      </c>
      <c r="S73">
        <f>IF(O73=0,0,IF(AND(AH73&gt;=AG73,AH73&lt;=AF73),((AH73-AG73)*12)*Q73,0))</f>
        <v>0</v>
      </c>
      <c r="T73">
        <f>IF(S73&gt;0,S73,R73)</f>
        <v>3263.9310222237068</v>
      </c>
      <c r="U73">
        <v>1</v>
      </c>
      <c r="V73">
        <f>U73*SUM(R73:S73)</f>
        <v>3263.9310222237068</v>
      </c>
      <c r="X73">
        <f>IF(AD73&gt;AE73,0,IF(AF73&lt;AG73,P73,IF(AND(AF73&gt;=AG73,AF73&lt;=AE73),(P73-T73),IF(AND(AG73&lt;=AD73,AE73&gt;=AD73),0,IF(AF73&gt;AE73,((AG73-AD73)*12)*Q73,0)))))</f>
        <v>16319.655111109627</v>
      </c>
      <c r="Y73">
        <f>X73*U73</f>
        <v>16319.655111109627</v>
      </c>
      <c r="Z73">
        <v>1</v>
      </c>
      <c r="AA73">
        <f>Y73*Z73</f>
        <v>16319.655111109627</v>
      </c>
      <c r="AB73">
        <f>IF(O73&gt;0,0,AA73+V73*Z73)*Z73</f>
        <v>19583.586133333334</v>
      </c>
      <c r="AC73">
        <f>IF(O73&gt;0,(N73-AA73)/2,IF(AD73&gt;=AG73,(((N73*U73)*Z73)-AB73)/2,((((N73*U73)*Z73)-AA73)+(((N73*U73)*Z73)-AB73))/2))</f>
        <v>1631.9655111118536</v>
      </c>
      <c r="AD73">
        <f t="shared" si="12"/>
        <v>2016.25</v>
      </c>
      <c r="AE73">
        <f t="shared" si="13"/>
        <v>2018.0833333333333</v>
      </c>
      <c r="AF73">
        <f t="shared" si="14"/>
        <v>2017.25</v>
      </c>
      <c r="AG73">
        <f t="shared" si="15"/>
        <v>2017.0833333333333</v>
      </c>
      <c r="AH73">
        <f t="shared" si="24"/>
        <v>-8.3333333333333329E-2</v>
      </c>
      <c r="AJ73">
        <f t="shared" si="17"/>
        <v>0</v>
      </c>
      <c r="AL73">
        <f t="shared" si="18"/>
        <v>3263.9310222237068</v>
      </c>
      <c r="AN73">
        <f t="shared" si="19"/>
        <v>0</v>
      </c>
      <c r="AP73">
        <f t="shared" si="20"/>
        <v>0</v>
      </c>
      <c r="AR73">
        <f t="shared" si="21"/>
        <v>1631.9655111118536</v>
      </c>
    </row>
    <row r="74" spans="1:44">
      <c r="B74">
        <v>171241</v>
      </c>
      <c r="C74">
        <v>2046</v>
      </c>
      <c r="D74" t="s">
        <v>602</v>
      </c>
      <c r="E74">
        <v>2016</v>
      </c>
      <c r="F74">
        <v>11</v>
      </c>
      <c r="G74">
        <v>0</v>
      </c>
      <c r="I74" t="s">
        <v>78</v>
      </c>
      <c r="J74">
        <v>10</v>
      </c>
      <c r="K74">
        <f>E74+J74</f>
        <v>2026</v>
      </c>
      <c r="N74">
        <v>318387.46000000002</v>
      </c>
      <c r="P74">
        <f t="shared" si="22"/>
        <v>318387.46000000002</v>
      </c>
      <c r="Q74">
        <f t="shared" si="23"/>
        <v>2653.2288333333336</v>
      </c>
      <c r="R74">
        <f>IF(O74&gt;0,0,IF(OR(AD74&gt;AE74,AF74&lt;AG74),0,IF(AND(AF74&gt;=AG74,AF74&lt;=AE74),Q74*((AF74-AG74)*12),IF(AND(AG74&lt;=AD74,AE74&gt;=AD74),((AE74-AD74)*12)*Q74,IF(AF74&gt;AE74,12*Q74,0)))))</f>
        <v>31838.746000000003</v>
      </c>
      <c r="S74">
        <f>IF(O74=0,0,IF(AND(AH74&gt;=AG74,AH74&lt;=AF74),((AH74-AG74)*12)*Q74,0))</f>
        <v>0</v>
      </c>
      <c r="T74">
        <f>IF(S74&gt;0,S74,R74)</f>
        <v>31838.746000000003</v>
      </c>
      <c r="U74">
        <v>1</v>
      </c>
      <c r="V74">
        <f>U74*SUM(R74:S74)</f>
        <v>31838.746000000003</v>
      </c>
      <c r="X74">
        <f>IF(AD74&gt;AE74,0,IF(AF74&lt;AG74,P74,IF(AND(AF74&gt;=AG74,AF74&lt;=AE74),(P74-T74),IF(AND(AG74&lt;=AD74,AE74&gt;=AD74),0,IF(AF74&gt;AE74,((AG74-AD74)*12)*Q74,0)))))</f>
        <v>7959.6865000000007</v>
      </c>
      <c r="Y74">
        <f>X74*U74</f>
        <v>7959.6865000000007</v>
      </c>
      <c r="Z74">
        <v>1</v>
      </c>
      <c r="AA74">
        <f>Y74*Z74</f>
        <v>7959.6865000000007</v>
      </c>
      <c r="AB74">
        <f>IF(O74&gt;0,0,AA74+V74*Z74)*Z74</f>
        <v>39798.432500000003</v>
      </c>
      <c r="AC74">
        <f>IF(O74&gt;0,(N74-AA74)/2,IF(AD74&gt;=AG74,(((N74*U74)*Z74)-AB74)/2,((((N74*U74)*Z74)-AA74)+(((N74*U74)*Z74)-AB74))/2))</f>
        <v>294508.40049999999</v>
      </c>
      <c r="AD74">
        <f t="shared" si="12"/>
        <v>2016.8333333333333</v>
      </c>
      <c r="AE74">
        <f t="shared" si="13"/>
        <v>2018.0833333333333</v>
      </c>
      <c r="AF74">
        <f t="shared" si="14"/>
        <v>2026.8333333333333</v>
      </c>
      <c r="AG74">
        <f t="shared" si="15"/>
        <v>2017.0833333333333</v>
      </c>
      <c r="AH74">
        <f t="shared" si="24"/>
        <v>-8.3333333333333329E-2</v>
      </c>
      <c r="AJ74">
        <f t="shared" si="17"/>
        <v>0</v>
      </c>
      <c r="AL74">
        <f t="shared" si="18"/>
        <v>31838.746000000003</v>
      </c>
      <c r="AN74">
        <f t="shared" si="19"/>
        <v>0</v>
      </c>
      <c r="AP74">
        <f t="shared" si="20"/>
        <v>0</v>
      </c>
      <c r="AR74">
        <f t="shared" si="21"/>
        <v>294508.40049999999</v>
      </c>
    </row>
    <row r="75" spans="1:44">
      <c r="B75">
        <v>18550</v>
      </c>
      <c r="D75" t="s">
        <v>632</v>
      </c>
      <c r="E75">
        <v>2017</v>
      </c>
      <c r="F75">
        <v>8</v>
      </c>
      <c r="G75">
        <v>0</v>
      </c>
      <c r="I75" t="s">
        <v>78</v>
      </c>
      <c r="J75">
        <v>1</v>
      </c>
      <c r="K75">
        <f>E75+J75</f>
        <v>2018</v>
      </c>
      <c r="N75">
        <v>1244.8</v>
      </c>
      <c r="P75">
        <f t="shared" si="22"/>
        <v>1244.8</v>
      </c>
      <c r="Q75">
        <f t="shared" si="23"/>
        <v>103.73333333333333</v>
      </c>
      <c r="R75">
        <f>IF(O75&gt;0,0,IF(OR(AD75&gt;AE75,AF75&lt;AG75),0,IF(AND(AF75&gt;=AG75,AF75&lt;=AE75),Q75*((AF75-AG75)*12),IF(AND(AG75&lt;=AD75,AE75&gt;=AD75),((AE75-AD75)*12)*Q75,IF(AF75&gt;AE75,12*Q75,0)))))</f>
        <v>622.4</v>
      </c>
      <c r="S75">
        <f>IF(O75=0,0,IF(AND(AH75&gt;=AG75,AH75&lt;=AF75),((AH75-AG75)*12)*Q75,0))</f>
        <v>0</v>
      </c>
      <c r="T75">
        <f>IF(S75&gt;0,S75,R75)</f>
        <v>622.4</v>
      </c>
      <c r="U75">
        <v>1</v>
      </c>
      <c r="V75">
        <f>U75*SUM(R75:S75)</f>
        <v>622.4</v>
      </c>
      <c r="X75">
        <f>IF(AD75&gt;AE75,0,IF(AF75&lt;AG75,P75,IF(AND(AF75&gt;=AG75,AF75&lt;=AE75),(P75-T75),IF(AND(AG75&lt;=AD75,AE75&gt;=AD75),0,IF(AF75&gt;AE75,((AG75-AD75)*12)*Q75,0)))))</f>
        <v>0</v>
      </c>
      <c r="Y75">
        <f>X75*U75</f>
        <v>0</v>
      </c>
      <c r="Z75">
        <v>1</v>
      </c>
      <c r="AA75">
        <f>Y75*Z75</f>
        <v>0</v>
      </c>
      <c r="AB75">
        <f>IF(O75&gt;0,0,AA75+V75*Z75)*Z75</f>
        <v>622.4</v>
      </c>
      <c r="AC75">
        <f>IF(O75&gt;0,(N75-AA75)/2,IF(AD75&gt;=AG75,(((N75*U75)*Z75)-AB75)/2,((((N75*U75)*Z75)-AA75)+(((N75*U75)*Z75)-AB75))/2))</f>
        <v>311.2</v>
      </c>
      <c r="AD75">
        <f t="shared" si="12"/>
        <v>2017.5833333333333</v>
      </c>
      <c r="AE75">
        <f t="shared" si="13"/>
        <v>2018.0833333333333</v>
      </c>
      <c r="AF75">
        <f t="shared" si="14"/>
        <v>2018.5833333333333</v>
      </c>
      <c r="AG75">
        <f t="shared" si="15"/>
        <v>2017.0833333333333</v>
      </c>
      <c r="AH75">
        <f t="shared" si="24"/>
        <v>-8.3333333333333329E-2</v>
      </c>
      <c r="AJ75">
        <f t="shared" si="17"/>
        <v>0</v>
      </c>
      <c r="AL75">
        <f t="shared" si="18"/>
        <v>622.4</v>
      </c>
      <c r="AN75">
        <f t="shared" si="19"/>
        <v>0</v>
      </c>
      <c r="AP75">
        <f t="shared" si="20"/>
        <v>0</v>
      </c>
      <c r="AR75">
        <f t="shared" si="21"/>
        <v>311.2</v>
      </c>
    </row>
    <row r="77" spans="1:44">
      <c r="C77">
        <v>32</v>
      </c>
      <c r="D77" t="s">
        <v>294</v>
      </c>
      <c r="N77">
        <f>SUM(N14:N76)</f>
        <v>8534728.6361333374</v>
      </c>
      <c r="P77">
        <f>SUM(P14:P76)</f>
        <v>6873223.7156333318</v>
      </c>
      <c r="Q77">
        <f>SUM(Q14:Q76)</f>
        <v>84351.401671031737</v>
      </c>
      <c r="R77">
        <f>SUM(R14:R76)</f>
        <v>529974.29045079718</v>
      </c>
      <c r="V77">
        <f>SUM(V14:V76)</f>
        <v>529974.29045079718</v>
      </c>
      <c r="AA77">
        <f>SUM(AA14:AA76)</f>
        <v>4692115.0391586823</v>
      </c>
      <c r="AB77">
        <f>SUM(AB14:AB76)</f>
        <v>5222089.3296094788</v>
      </c>
      <c r="AC77">
        <f>SUM(AC14:AC76)</f>
        <v>3577004.0517492522</v>
      </c>
      <c r="AJ77">
        <f t="shared" ref="AJ77:AR77" si="25">SUM(AJ14:AJ76)</f>
        <v>490329.97835925856</v>
      </c>
      <c r="AL77">
        <f t="shared" si="25"/>
        <v>1020304.2688100557</v>
      </c>
      <c r="AN77">
        <f t="shared" si="25"/>
        <v>-781224.97849999997</v>
      </c>
      <c r="AP77">
        <f t="shared" si="25"/>
        <v>2381582.3894751766</v>
      </c>
      <c r="AR77">
        <f t="shared" si="25"/>
        <v>2680818.2471529562</v>
      </c>
    </row>
    <row r="80" spans="1:44">
      <c r="D80" t="s">
        <v>145</v>
      </c>
    </row>
    <row r="82" spans="1:44">
      <c r="A82" t="s">
        <v>283</v>
      </c>
      <c r="C82">
        <v>4025</v>
      </c>
      <c r="D82" t="s">
        <v>378</v>
      </c>
      <c r="E82">
        <v>2000</v>
      </c>
      <c r="F82">
        <v>4</v>
      </c>
      <c r="G82">
        <v>0.2</v>
      </c>
      <c r="I82" t="s">
        <v>78</v>
      </c>
      <c r="J82">
        <v>7</v>
      </c>
      <c r="K82">
        <f t="shared" ref="K82:K109" si="26">E82+J82</f>
        <v>2007</v>
      </c>
      <c r="N82">
        <v>121506.42</v>
      </c>
      <c r="P82">
        <f t="shared" ref="P82:P112" si="27">N82-N82*G82</f>
        <v>97205.135999999999</v>
      </c>
      <c r="Q82">
        <f t="shared" ref="Q82:Q112" si="28">P82/J82/12</f>
        <v>1157.204</v>
      </c>
      <c r="R82">
        <f>IF(O82&gt;0,0,IF(OR(AD82&gt;AE82,AF82&lt;AG82),0,IF(AND(AF82&gt;=AG82,AF82&lt;=AE82),Q82*((AF82-AG82)*12),IF(AND(AG82&lt;=AD82,AE82&gt;=AD82),((AE82-AD82)*12)*Q82,IF(AF82&gt;AE82,12*Q82,0)))))</f>
        <v>0</v>
      </c>
      <c r="S82">
        <f>IF(O82=0,0,IF(AND(AH82&gt;=AG82,AH82&lt;=AF82),((AH82-AG82)*12)*Q82,0))</f>
        <v>0</v>
      </c>
      <c r="T82">
        <f>IF(S82&gt;0,S82,R82)</f>
        <v>0</v>
      </c>
      <c r="U82">
        <v>1</v>
      </c>
      <c r="V82">
        <f>U82*SUM(R82:S82)</f>
        <v>0</v>
      </c>
      <c r="X82">
        <f>IF(AD82&gt;AE82,0,IF(AF82&lt;AG82,P82,IF(AND(AF82&gt;=AG82,AF82&lt;=AE82),(P82-T82),IF(AND(AG82&lt;=AD82,AE82&gt;=AD82),0,IF(AF82&gt;AE82,((AG82-AD82)*12)*Q82,0)))))</f>
        <v>97205.135999999999</v>
      </c>
      <c r="Y82">
        <f>X82*U82</f>
        <v>97205.135999999999</v>
      </c>
      <c r="Z82">
        <v>1</v>
      </c>
      <c r="AA82">
        <f>Y82*Z82</f>
        <v>97205.135999999999</v>
      </c>
      <c r="AB82">
        <f>IF(O82&gt;0,0,AA82+V82*Z82)*Z82</f>
        <v>97205.135999999999</v>
      </c>
      <c r="AC82">
        <f>IF(O82&gt;0,(N82-AA82)/2,IF(AD82&gt;=AG82,(((N82*U82)*Z82)-AB82)/2,((((N82*U82)*Z82)-AA82)+(((N82*U82)*Z82)-AB82))/2))</f>
        <v>24301.284</v>
      </c>
      <c r="AD82">
        <f t="shared" ref="AD82:AD112" si="29">$E82+(($F82-1)/12)</f>
        <v>2000.25</v>
      </c>
      <c r="AE82">
        <f t="shared" ref="AE82:AE112" si="30">($P$5+1)-($P$2/12)</f>
        <v>2018.0833333333333</v>
      </c>
      <c r="AF82">
        <f t="shared" ref="AF82:AF112" si="31">$K82+(($F82-1)/12)</f>
        <v>2007.25</v>
      </c>
      <c r="AG82">
        <f t="shared" ref="AG82:AG112" si="32">$P$4+($P$3/12)</f>
        <v>2017.0833333333333</v>
      </c>
      <c r="AH82">
        <f t="shared" ref="AH82:AH112" si="33">$L82+(($M82-1)/12)</f>
        <v>-8.3333333333333329E-2</v>
      </c>
      <c r="AJ82">
        <f>+IF((AF82-AG82)&gt;3,((N82-P82)/(AF82-AG82)),(N82-P82)/3)</f>
        <v>8100.4279999999999</v>
      </c>
      <c r="AL82">
        <f>+AJ82+V82</f>
        <v>8100.4279999999999</v>
      </c>
      <c r="AN82">
        <f>+IF(AF82&lt;AG82,-AC82,0)</f>
        <v>-24301.284</v>
      </c>
      <c r="AP82">
        <f>IF(AF82&gt;AG82,IF(AJ82&gt;0,IF(O82&gt;0,(N82-AA82)/2,IF(AD82&gt;=AG82,(((N82*U82)*Z82)-(AB82+AJ82))/2,((((N82*U82)*Z82)-AA82)+(((N82*U82)*Z82)-(AB82+AJ82)))/2)),0),0)</f>
        <v>0</v>
      </c>
      <c r="AR82">
        <f>+AC82+AN82+(IF(AP82&gt;0,(AP82-AC82),0))</f>
        <v>0</v>
      </c>
    </row>
    <row r="83" spans="1:44">
      <c r="A83" t="s">
        <v>283</v>
      </c>
      <c r="C83">
        <v>4030</v>
      </c>
      <c r="D83" t="s">
        <v>163</v>
      </c>
      <c r="E83">
        <v>2002</v>
      </c>
      <c r="F83">
        <v>6</v>
      </c>
      <c r="G83">
        <v>0.2</v>
      </c>
      <c r="I83" t="s">
        <v>78</v>
      </c>
      <c r="J83">
        <v>7</v>
      </c>
      <c r="K83">
        <f t="shared" si="26"/>
        <v>2009</v>
      </c>
      <c r="N83">
        <v>90620.97</v>
      </c>
      <c r="P83">
        <f t="shared" si="27"/>
        <v>72496.775999999998</v>
      </c>
      <c r="Q83">
        <f t="shared" si="28"/>
        <v>863.0568571428571</v>
      </c>
      <c r="R83">
        <f t="shared" ref="R83:R107" si="34">IF(O83&gt;0,0,IF(OR(AD83&gt;AE83,AF83&lt;AG83),0,IF(AND(AF83&gt;=AG83,AF83&lt;=AE83),Q83*((AF83-AG83)*12),IF(AND(AG83&lt;=AD83,AE83&gt;=AD83),((AE83-AD83)*12)*Q83,IF(AF83&gt;AE83,12*Q83,0)))))</f>
        <v>0</v>
      </c>
      <c r="S83">
        <f t="shared" ref="S83:S107" si="35">IF(O83=0,0,IF(AND(AH83&gt;=AG83,AH83&lt;=AF83),((AH83-AG83)*12)*Q83,0))</f>
        <v>0</v>
      </c>
      <c r="T83">
        <f t="shared" ref="T83:T107" si="36">IF(S83&gt;0,S83,R83)</f>
        <v>0</v>
      </c>
      <c r="U83">
        <v>1</v>
      </c>
      <c r="V83">
        <f t="shared" ref="V83:V107" si="37">U83*SUM(R83:S83)</f>
        <v>0</v>
      </c>
      <c r="X83">
        <f t="shared" ref="X83:X107" si="38">IF(AD83&gt;AE83,0,IF(AF83&lt;AG83,P83,IF(AND(AF83&gt;=AG83,AF83&lt;=AE83),(P83-T83),IF(AND(AG83&lt;=AD83,AE83&gt;=AD83),0,IF(AF83&gt;AE83,((AG83-AD83)*12)*Q83,0)))))</f>
        <v>72496.775999999998</v>
      </c>
      <c r="Y83">
        <f t="shared" ref="Y83:Y107" si="39">X83*U83</f>
        <v>72496.775999999998</v>
      </c>
      <c r="Z83">
        <v>1</v>
      </c>
      <c r="AA83">
        <f t="shared" ref="AA83:AA107" si="40">Y83*Z83</f>
        <v>72496.775999999998</v>
      </c>
      <c r="AB83">
        <f t="shared" ref="AB83:AB107" si="41">IF(O83&gt;0,0,AA83+V83*Z83)*Z83</f>
        <v>72496.775999999998</v>
      </c>
      <c r="AC83">
        <f t="shared" ref="AC83:AC107" si="42">IF(O83&gt;0,(N83-AA83)/2,IF(AD83&gt;=AG83,(((N83*U83)*Z83)-AB83)/2,((((N83*U83)*Z83)-AA83)+(((N83*U83)*Z83)-AB83))/2))</f>
        <v>18124.194000000003</v>
      </c>
      <c r="AD83">
        <f t="shared" si="29"/>
        <v>2002.4166666666667</v>
      </c>
      <c r="AE83">
        <f t="shared" si="30"/>
        <v>2018.0833333333333</v>
      </c>
      <c r="AF83">
        <f t="shared" si="31"/>
        <v>2009.4166666666667</v>
      </c>
      <c r="AG83">
        <f t="shared" si="32"/>
        <v>2017.0833333333333</v>
      </c>
      <c r="AH83">
        <f t="shared" si="33"/>
        <v>-8.3333333333333329E-2</v>
      </c>
      <c r="AJ83">
        <f t="shared" ref="AJ83:AJ112" si="43">+IF((AF83-AG83)&gt;3,((N83-P83)/(AF83-AG83)),(N83-P83)/3)</f>
        <v>6041.398000000001</v>
      </c>
      <c r="AL83">
        <f t="shared" ref="AL83:AL112" si="44">+AJ83+V83</f>
        <v>6041.398000000001</v>
      </c>
      <c r="AN83">
        <f t="shared" ref="AN83:AN112" si="45">+IF(AF83&lt;AG83,-AC83,0)</f>
        <v>-18124.194000000003</v>
      </c>
      <c r="AP83">
        <f t="shared" ref="AP83:AP112" si="46">IF(AF83&gt;AG83,IF(AJ83&gt;0,IF(O83&gt;0,(N83-AA83)/2,IF(AD83&gt;=AG83,(((N83*U83)*Z83)-(AB83+AJ83))/2,((((N83*U83)*Z83)-AA83)+(((N83*U83)*Z83)-(AB83+AJ83)))/2)),0),0)</f>
        <v>0</v>
      </c>
      <c r="AR83">
        <f t="shared" ref="AR83:AR112" si="47">+AC83+AN83+(IF(AP83&gt;0,(AP83-AC83),0))</f>
        <v>0</v>
      </c>
    </row>
    <row r="84" spans="1:44">
      <c r="A84" t="s">
        <v>529</v>
      </c>
      <c r="C84">
        <v>4033</v>
      </c>
      <c r="D84" t="s">
        <v>174</v>
      </c>
      <c r="E84">
        <v>2002</v>
      </c>
      <c r="F84">
        <v>9</v>
      </c>
      <c r="G84">
        <v>0.2</v>
      </c>
      <c r="I84" t="s">
        <v>78</v>
      </c>
      <c r="J84">
        <v>7</v>
      </c>
      <c r="K84">
        <f>E84+J84</f>
        <v>2009</v>
      </c>
      <c r="N84">
        <v>100482.95</v>
      </c>
      <c r="P84">
        <f t="shared" si="27"/>
        <v>80386.36</v>
      </c>
      <c r="Q84">
        <f t="shared" si="28"/>
        <v>956.98047619047622</v>
      </c>
      <c r="R84">
        <f t="shared" si="34"/>
        <v>0</v>
      </c>
      <c r="S84">
        <f t="shared" si="35"/>
        <v>0</v>
      </c>
      <c r="T84">
        <f t="shared" si="36"/>
        <v>0</v>
      </c>
      <c r="U84">
        <v>1</v>
      </c>
      <c r="V84">
        <f t="shared" si="37"/>
        <v>0</v>
      </c>
      <c r="X84">
        <f t="shared" si="38"/>
        <v>80386.36</v>
      </c>
      <c r="Y84">
        <f t="shared" si="39"/>
        <v>80386.36</v>
      </c>
      <c r="Z84">
        <v>1</v>
      </c>
      <c r="AA84">
        <f t="shared" si="40"/>
        <v>80386.36</v>
      </c>
      <c r="AB84">
        <f t="shared" si="41"/>
        <v>80386.36</v>
      </c>
      <c r="AC84">
        <f t="shared" si="42"/>
        <v>20096.589999999997</v>
      </c>
      <c r="AD84">
        <f t="shared" si="29"/>
        <v>2002.6666666666667</v>
      </c>
      <c r="AE84">
        <f t="shared" si="30"/>
        <v>2018.0833333333333</v>
      </c>
      <c r="AF84">
        <f t="shared" si="31"/>
        <v>2009.6666666666667</v>
      </c>
      <c r="AG84">
        <f t="shared" si="32"/>
        <v>2017.0833333333333</v>
      </c>
      <c r="AH84">
        <f t="shared" si="33"/>
        <v>-8.3333333333333329E-2</v>
      </c>
      <c r="AJ84">
        <f t="shared" si="43"/>
        <v>6698.8633333333319</v>
      </c>
      <c r="AL84">
        <f t="shared" si="44"/>
        <v>6698.8633333333319</v>
      </c>
      <c r="AN84">
        <f t="shared" si="45"/>
        <v>-20096.589999999997</v>
      </c>
      <c r="AP84">
        <f t="shared" si="46"/>
        <v>0</v>
      </c>
      <c r="AR84">
        <f t="shared" si="47"/>
        <v>0</v>
      </c>
    </row>
    <row r="85" spans="1:44">
      <c r="A85" t="s">
        <v>283</v>
      </c>
      <c r="C85">
        <v>4046</v>
      </c>
      <c r="D85" t="s">
        <v>165</v>
      </c>
      <c r="E85">
        <v>2005</v>
      </c>
      <c r="F85">
        <v>10</v>
      </c>
      <c r="G85">
        <v>0.2</v>
      </c>
      <c r="I85" t="s">
        <v>78</v>
      </c>
      <c r="J85">
        <v>7</v>
      </c>
      <c r="K85">
        <f t="shared" si="26"/>
        <v>2012</v>
      </c>
      <c r="N85">
        <v>149379.65</v>
      </c>
      <c r="P85">
        <f t="shared" si="27"/>
        <v>119503.72</v>
      </c>
      <c r="Q85">
        <f t="shared" si="28"/>
        <v>1422.6633333333332</v>
      </c>
      <c r="R85">
        <f t="shared" si="34"/>
        <v>0</v>
      </c>
      <c r="S85">
        <f t="shared" si="35"/>
        <v>0</v>
      </c>
      <c r="T85">
        <f t="shared" si="36"/>
        <v>0</v>
      </c>
      <c r="U85">
        <v>1</v>
      </c>
      <c r="V85">
        <f t="shared" si="37"/>
        <v>0</v>
      </c>
      <c r="X85">
        <f t="shared" si="38"/>
        <v>119503.72</v>
      </c>
      <c r="Y85">
        <f t="shared" si="39"/>
        <v>119503.72</v>
      </c>
      <c r="Z85">
        <v>1</v>
      </c>
      <c r="AA85">
        <f t="shared" si="40"/>
        <v>119503.72</v>
      </c>
      <c r="AB85">
        <f t="shared" si="41"/>
        <v>119503.72</v>
      </c>
      <c r="AC85">
        <f t="shared" si="42"/>
        <v>29875.929999999993</v>
      </c>
      <c r="AD85">
        <f t="shared" si="29"/>
        <v>2005.75</v>
      </c>
      <c r="AE85">
        <f t="shared" si="30"/>
        <v>2018.0833333333333</v>
      </c>
      <c r="AF85">
        <f t="shared" si="31"/>
        <v>2012.75</v>
      </c>
      <c r="AG85">
        <f t="shared" si="32"/>
        <v>2017.0833333333333</v>
      </c>
      <c r="AH85">
        <f t="shared" si="33"/>
        <v>-8.3333333333333329E-2</v>
      </c>
      <c r="AJ85">
        <f t="shared" si="43"/>
        <v>9958.6433333333316</v>
      </c>
      <c r="AL85">
        <f t="shared" si="44"/>
        <v>9958.6433333333316</v>
      </c>
      <c r="AN85">
        <f t="shared" si="45"/>
        <v>-29875.929999999993</v>
      </c>
      <c r="AP85">
        <f t="shared" si="46"/>
        <v>0</v>
      </c>
      <c r="AR85">
        <f t="shared" si="47"/>
        <v>0</v>
      </c>
    </row>
    <row r="86" spans="1:44">
      <c r="A86" t="s">
        <v>283</v>
      </c>
      <c r="C86">
        <v>4047</v>
      </c>
      <c r="D86" t="s">
        <v>166</v>
      </c>
      <c r="E86">
        <v>2005</v>
      </c>
      <c r="F86">
        <v>11</v>
      </c>
      <c r="G86">
        <v>0.2</v>
      </c>
      <c r="I86" t="s">
        <v>78</v>
      </c>
      <c r="J86">
        <v>7</v>
      </c>
      <c r="K86">
        <f t="shared" si="26"/>
        <v>2012</v>
      </c>
      <c r="N86">
        <v>146156.71</v>
      </c>
      <c r="P86">
        <f t="shared" si="27"/>
        <v>116925.36799999999</v>
      </c>
      <c r="Q86">
        <f t="shared" si="28"/>
        <v>1391.9686666666666</v>
      </c>
      <c r="R86">
        <f t="shared" si="34"/>
        <v>0</v>
      </c>
      <c r="S86">
        <f t="shared" si="35"/>
        <v>0</v>
      </c>
      <c r="T86">
        <f t="shared" si="36"/>
        <v>0</v>
      </c>
      <c r="U86">
        <v>1</v>
      </c>
      <c r="V86">
        <f t="shared" si="37"/>
        <v>0</v>
      </c>
      <c r="X86">
        <f t="shared" si="38"/>
        <v>116925.36799999999</v>
      </c>
      <c r="Y86">
        <f t="shared" si="39"/>
        <v>116925.36799999999</v>
      </c>
      <c r="Z86">
        <v>1</v>
      </c>
      <c r="AA86">
        <f t="shared" si="40"/>
        <v>116925.36799999999</v>
      </c>
      <c r="AB86">
        <f t="shared" si="41"/>
        <v>116925.36799999999</v>
      </c>
      <c r="AC86">
        <f t="shared" si="42"/>
        <v>29231.342000000004</v>
      </c>
      <c r="AD86">
        <f t="shared" si="29"/>
        <v>2005.8333333333333</v>
      </c>
      <c r="AE86">
        <f t="shared" si="30"/>
        <v>2018.0833333333333</v>
      </c>
      <c r="AF86">
        <f t="shared" si="31"/>
        <v>2012.8333333333333</v>
      </c>
      <c r="AG86">
        <f t="shared" si="32"/>
        <v>2017.0833333333333</v>
      </c>
      <c r="AH86">
        <f t="shared" si="33"/>
        <v>-8.3333333333333329E-2</v>
      </c>
      <c r="AJ86">
        <f t="shared" si="43"/>
        <v>9743.7806666666675</v>
      </c>
      <c r="AL86">
        <f t="shared" si="44"/>
        <v>9743.7806666666675</v>
      </c>
      <c r="AN86">
        <f t="shared" si="45"/>
        <v>-29231.342000000004</v>
      </c>
      <c r="AP86">
        <f t="shared" si="46"/>
        <v>0</v>
      </c>
      <c r="AR86">
        <f t="shared" si="47"/>
        <v>0</v>
      </c>
    </row>
    <row r="87" spans="1:44">
      <c r="A87" t="s">
        <v>283</v>
      </c>
      <c r="B87">
        <v>114283</v>
      </c>
      <c r="C87">
        <v>4049</v>
      </c>
      <c r="D87" t="s">
        <v>550</v>
      </c>
      <c r="E87">
        <v>2006</v>
      </c>
      <c r="F87">
        <v>4</v>
      </c>
      <c r="G87">
        <v>0.2</v>
      </c>
      <c r="I87" t="s">
        <v>78</v>
      </c>
      <c r="J87">
        <v>7</v>
      </c>
      <c r="K87">
        <f>E87+J87</f>
        <v>2013</v>
      </c>
      <c r="N87">
        <v>145020.18</v>
      </c>
      <c r="P87">
        <f t="shared" si="27"/>
        <v>116016.144</v>
      </c>
      <c r="Q87">
        <f t="shared" si="28"/>
        <v>1381.1445714285712</v>
      </c>
      <c r="R87">
        <f t="shared" si="34"/>
        <v>0</v>
      </c>
      <c r="S87">
        <f t="shared" si="35"/>
        <v>0</v>
      </c>
      <c r="T87">
        <f t="shared" si="36"/>
        <v>0</v>
      </c>
      <c r="U87">
        <v>1</v>
      </c>
      <c r="V87">
        <f t="shared" si="37"/>
        <v>0</v>
      </c>
      <c r="X87">
        <f t="shared" si="38"/>
        <v>116016.144</v>
      </c>
      <c r="Y87">
        <f t="shared" si="39"/>
        <v>116016.144</v>
      </c>
      <c r="Z87">
        <v>1</v>
      </c>
      <c r="AA87">
        <f t="shared" si="40"/>
        <v>116016.144</v>
      </c>
      <c r="AB87">
        <f t="shared" si="41"/>
        <v>116016.144</v>
      </c>
      <c r="AC87">
        <f t="shared" si="42"/>
        <v>29004.035999999993</v>
      </c>
      <c r="AD87">
        <f t="shared" si="29"/>
        <v>2006.25</v>
      </c>
      <c r="AE87">
        <f t="shared" si="30"/>
        <v>2018.0833333333333</v>
      </c>
      <c r="AF87">
        <f t="shared" si="31"/>
        <v>2013.25</v>
      </c>
      <c r="AG87">
        <f t="shared" si="32"/>
        <v>2017.0833333333333</v>
      </c>
      <c r="AH87">
        <f t="shared" si="33"/>
        <v>-8.3333333333333329E-2</v>
      </c>
      <c r="AJ87">
        <f t="shared" si="43"/>
        <v>9668.011999999997</v>
      </c>
      <c r="AL87">
        <f t="shared" si="44"/>
        <v>9668.011999999997</v>
      </c>
      <c r="AN87">
        <f t="shared" si="45"/>
        <v>-29004.035999999993</v>
      </c>
      <c r="AP87">
        <f t="shared" si="46"/>
        <v>0</v>
      </c>
      <c r="AR87">
        <f t="shared" si="47"/>
        <v>0</v>
      </c>
    </row>
    <row r="88" spans="1:44">
      <c r="A88" t="s">
        <v>283</v>
      </c>
      <c r="C88">
        <v>4049</v>
      </c>
      <c r="D88" t="s">
        <v>549</v>
      </c>
      <c r="E88">
        <v>2006</v>
      </c>
      <c r="F88">
        <v>4</v>
      </c>
      <c r="G88">
        <v>0.2</v>
      </c>
      <c r="I88" t="s">
        <v>78</v>
      </c>
      <c r="J88">
        <v>7</v>
      </c>
      <c r="K88">
        <f>E88+J88</f>
        <v>2013</v>
      </c>
      <c r="N88">
        <v>3916.63</v>
      </c>
      <c r="P88">
        <f t="shared" si="27"/>
        <v>3133.3040000000001</v>
      </c>
      <c r="Q88">
        <f t="shared" si="28"/>
        <v>37.301238095238098</v>
      </c>
      <c r="R88">
        <f t="shared" si="34"/>
        <v>0</v>
      </c>
      <c r="S88">
        <f t="shared" si="35"/>
        <v>0</v>
      </c>
      <c r="T88">
        <f t="shared" si="36"/>
        <v>0</v>
      </c>
      <c r="U88">
        <v>1</v>
      </c>
      <c r="V88">
        <f t="shared" si="37"/>
        <v>0</v>
      </c>
      <c r="X88">
        <f t="shared" si="38"/>
        <v>3133.3040000000001</v>
      </c>
      <c r="Y88">
        <f t="shared" si="39"/>
        <v>3133.3040000000001</v>
      </c>
      <c r="Z88">
        <v>1</v>
      </c>
      <c r="AA88">
        <f t="shared" si="40"/>
        <v>3133.3040000000001</v>
      </c>
      <c r="AB88">
        <f t="shared" si="41"/>
        <v>3133.3040000000001</v>
      </c>
      <c r="AC88">
        <f t="shared" si="42"/>
        <v>783.32600000000002</v>
      </c>
      <c r="AD88">
        <f t="shared" si="29"/>
        <v>2006.25</v>
      </c>
      <c r="AE88">
        <f t="shared" si="30"/>
        <v>2018.0833333333333</v>
      </c>
      <c r="AF88">
        <f t="shared" si="31"/>
        <v>2013.25</v>
      </c>
      <c r="AG88">
        <f t="shared" si="32"/>
        <v>2017.0833333333333</v>
      </c>
      <c r="AH88">
        <f t="shared" si="33"/>
        <v>-8.3333333333333329E-2</v>
      </c>
      <c r="AJ88">
        <f t="shared" si="43"/>
        <v>261.10866666666669</v>
      </c>
      <c r="AL88">
        <f t="shared" si="44"/>
        <v>261.10866666666669</v>
      </c>
      <c r="AN88">
        <f t="shared" si="45"/>
        <v>-783.32600000000002</v>
      </c>
      <c r="AP88">
        <f t="shared" si="46"/>
        <v>0</v>
      </c>
      <c r="AR88">
        <f t="shared" si="47"/>
        <v>0</v>
      </c>
    </row>
    <row r="89" spans="1:44">
      <c r="A89" t="s">
        <v>283</v>
      </c>
      <c r="C89">
        <v>4054</v>
      </c>
      <c r="D89" t="s">
        <v>167</v>
      </c>
      <c r="E89">
        <v>2006</v>
      </c>
      <c r="F89">
        <v>12</v>
      </c>
      <c r="G89">
        <v>0.2</v>
      </c>
      <c r="I89" t="s">
        <v>78</v>
      </c>
      <c r="J89">
        <v>7</v>
      </c>
      <c r="K89">
        <f t="shared" si="26"/>
        <v>2013</v>
      </c>
      <c r="N89">
        <v>151535.41</v>
      </c>
      <c r="P89">
        <f t="shared" si="27"/>
        <v>121228.32800000001</v>
      </c>
      <c r="Q89">
        <f t="shared" si="28"/>
        <v>1443.1943809523809</v>
      </c>
      <c r="R89">
        <f t="shared" si="34"/>
        <v>0</v>
      </c>
      <c r="S89">
        <f t="shared" si="35"/>
        <v>0</v>
      </c>
      <c r="T89">
        <f t="shared" si="36"/>
        <v>0</v>
      </c>
      <c r="U89">
        <v>1</v>
      </c>
      <c r="V89">
        <f t="shared" si="37"/>
        <v>0</v>
      </c>
      <c r="X89">
        <f t="shared" si="38"/>
        <v>121228.32800000001</v>
      </c>
      <c r="Y89">
        <f t="shared" si="39"/>
        <v>121228.32800000001</v>
      </c>
      <c r="Z89">
        <v>1</v>
      </c>
      <c r="AA89">
        <f t="shared" si="40"/>
        <v>121228.32800000001</v>
      </c>
      <c r="AB89">
        <f t="shared" si="41"/>
        <v>121228.32800000001</v>
      </c>
      <c r="AC89">
        <f t="shared" si="42"/>
        <v>30307.081999999995</v>
      </c>
      <c r="AD89">
        <f t="shared" si="29"/>
        <v>2006.9166666666667</v>
      </c>
      <c r="AE89">
        <f t="shared" si="30"/>
        <v>2018.0833333333333</v>
      </c>
      <c r="AF89">
        <f t="shared" si="31"/>
        <v>2013.9166666666667</v>
      </c>
      <c r="AG89">
        <f t="shared" si="32"/>
        <v>2017.0833333333333</v>
      </c>
      <c r="AH89">
        <f t="shared" si="33"/>
        <v>-8.3333333333333329E-2</v>
      </c>
      <c r="AJ89">
        <f t="shared" si="43"/>
        <v>10102.360666666666</v>
      </c>
      <c r="AL89">
        <f t="shared" si="44"/>
        <v>10102.360666666666</v>
      </c>
      <c r="AN89">
        <f t="shared" si="45"/>
        <v>-30307.081999999995</v>
      </c>
      <c r="AP89">
        <f t="shared" si="46"/>
        <v>0</v>
      </c>
      <c r="AR89">
        <f t="shared" si="47"/>
        <v>0</v>
      </c>
    </row>
    <row r="90" spans="1:44">
      <c r="A90" t="s">
        <v>283</v>
      </c>
      <c r="C90">
        <v>4054</v>
      </c>
      <c r="D90" t="s">
        <v>289</v>
      </c>
      <c r="E90">
        <v>2007</v>
      </c>
      <c r="F90">
        <v>1</v>
      </c>
      <c r="G90">
        <v>0.2</v>
      </c>
      <c r="I90" t="s">
        <v>78</v>
      </c>
      <c r="J90">
        <v>7</v>
      </c>
      <c r="K90">
        <f t="shared" si="26"/>
        <v>2014</v>
      </c>
      <c r="N90">
        <v>3916.63</v>
      </c>
      <c r="P90">
        <f t="shared" si="27"/>
        <v>3133.3040000000001</v>
      </c>
      <c r="Q90">
        <f t="shared" si="28"/>
        <v>37.301238095238098</v>
      </c>
      <c r="R90">
        <f t="shared" si="34"/>
        <v>0</v>
      </c>
      <c r="S90">
        <f t="shared" si="35"/>
        <v>0</v>
      </c>
      <c r="T90">
        <f t="shared" si="36"/>
        <v>0</v>
      </c>
      <c r="U90">
        <v>1</v>
      </c>
      <c r="V90">
        <f t="shared" si="37"/>
        <v>0</v>
      </c>
      <c r="X90">
        <f t="shared" si="38"/>
        <v>3133.3040000000001</v>
      </c>
      <c r="Y90">
        <f t="shared" si="39"/>
        <v>3133.3040000000001</v>
      </c>
      <c r="Z90">
        <v>1</v>
      </c>
      <c r="AA90">
        <f t="shared" si="40"/>
        <v>3133.3040000000001</v>
      </c>
      <c r="AB90">
        <f t="shared" si="41"/>
        <v>3133.3040000000001</v>
      </c>
      <c r="AC90">
        <f t="shared" si="42"/>
        <v>783.32600000000002</v>
      </c>
      <c r="AD90">
        <f t="shared" si="29"/>
        <v>2007</v>
      </c>
      <c r="AE90">
        <f t="shared" si="30"/>
        <v>2018.0833333333333</v>
      </c>
      <c r="AF90">
        <f t="shared" si="31"/>
        <v>2014</v>
      </c>
      <c r="AG90">
        <f t="shared" si="32"/>
        <v>2017.0833333333333</v>
      </c>
      <c r="AH90">
        <f t="shared" si="33"/>
        <v>-8.3333333333333329E-2</v>
      </c>
      <c r="AJ90">
        <f t="shared" si="43"/>
        <v>261.10866666666669</v>
      </c>
      <c r="AL90">
        <f t="shared" si="44"/>
        <v>261.10866666666669</v>
      </c>
      <c r="AN90">
        <f t="shared" si="45"/>
        <v>-783.32600000000002</v>
      </c>
      <c r="AP90">
        <f t="shared" si="46"/>
        <v>0</v>
      </c>
      <c r="AR90">
        <f t="shared" si="47"/>
        <v>0</v>
      </c>
    </row>
    <row r="91" spans="1:44">
      <c r="A91" t="s">
        <v>283</v>
      </c>
      <c r="C91">
        <v>4061</v>
      </c>
      <c r="D91" t="s">
        <v>332</v>
      </c>
      <c r="E91">
        <v>2007</v>
      </c>
      <c r="F91">
        <v>9</v>
      </c>
      <c r="G91">
        <v>0.2</v>
      </c>
      <c r="I91" t="s">
        <v>78</v>
      </c>
      <c r="J91">
        <v>7</v>
      </c>
      <c r="K91">
        <f t="shared" si="26"/>
        <v>2014</v>
      </c>
      <c r="N91">
        <v>157161.14000000001</v>
      </c>
      <c r="P91">
        <f t="shared" si="27"/>
        <v>125728.91200000001</v>
      </c>
      <c r="Q91">
        <f t="shared" si="28"/>
        <v>1496.7727619047621</v>
      </c>
      <c r="R91">
        <f t="shared" si="34"/>
        <v>0</v>
      </c>
      <c r="S91">
        <f t="shared" si="35"/>
        <v>0</v>
      </c>
      <c r="T91">
        <f t="shared" si="36"/>
        <v>0</v>
      </c>
      <c r="U91">
        <v>1</v>
      </c>
      <c r="V91">
        <f t="shared" si="37"/>
        <v>0</v>
      </c>
      <c r="X91">
        <f t="shared" si="38"/>
        <v>125728.91200000001</v>
      </c>
      <c r="Y91">
        <f t="shared" si="39"/>
        <v>125728.91200000001</v>
      </c>
      <c r="Z91">
        <v>1</v>
      </c>
      <c r="AA91">
        <f t="shared" si="40"/>
        <v>125728.91200000001</v>
      </c>
      <c r="AB91">
        <f t="shared" si="41"/>
        <v>125728.91200000001</v>
      </c>
      <c r="AC91">
        <f t="shared" si="42"/>
        <v>31432.228000000003</v>
      </c>
      <c r="AD91">
        <f t="shared" si="29"/>
        <v>2007.6666666666667</v>
      </c>
      <c r="AE91">
        <f t="shared" si="30"/>
        <v>2018.0833333333333</v>
      </c>
      <c r="AF91">
        <f t="shared" si="31"/>
        <v>2014.6666666666667</v>
      </c>
      <c r="AG91">
        <f t="shared" si="32"/>
        <v>2017.0833333333333</v>
      </c>
      <c r="AH91">
        <f t="shared" si="33"/>
        <v>-8.3333333333333329E-2</v>
      </c>
      <c r="AJ91">
        <f t="shared" si="43"/>
        <v>10477.409333333335</v>
      </c>
      <c r="AL91">
        <f t="shared" si="44"/>
        <v>10477.409333333335</v>
      </c>
      <c r="AN91">
        <f t="shared" si="45"/>
        <v>-31432.228000000003</v>
      </c>
      <c r="AP91">
        <f t="shared" si="46"/>
        <v>0</v>
      </c>
      <c r="AR91">
        <f t="shared" si="47"/>
        <v>0</v>
      </c>
    </row>
    <row r="92" spans="1:44">
      <c r="A92" t="s">
        <v>283</v>
      </c>
      <c r="B92">
        <v>114285</v>
      </c>
      <c r="C92">
        <v>4062</v>
      </c>
      <c r="D92" t="s">
        <v>551</v>
      </c>
      <c r="E92">
        <v>2007</v>
      </c>
      <c r="F92">
        <v>11</v>
      </c>
      <c r="G92">
        <v>0.2</v>
      </c>
      <c r="I92" t="s">
        <v>78</v>
      </c>
      <c r="J92">
        <v>7</v>
      </c>
      <c r="K92">
        <f>E92+J92</f>
        <v>2014</v>
      </c>
      <c r="N92">
        <v>163233.62</v>
      </c>
      <c r="P92">
        <f t="shared" si="27"/>
        <v>130586.89599999999</v>
      </c>
      <c r="Q92">
        <f t="shared" si="28"/>
        <v>1554.6059047619046</v>
      </c>
      <c r="R92">
        <f t="shared" si="34"/>
        <v>0</v>
      </c>
      <c r="S92">
        <f t="shared" si="35"/>
        <v>0</v>
      </c>
      <c r="T92">
        <f t="shared" si="36"/>
        <v>0</v>
      </c>
      <c r="U92">
        <v>1</v>
      </c>
      <c r="V92">
        <f t="shared" si="37"/>
        <v>0</v>
      </c>
      <c r="X92">
        <f t="shared" si="38"/>
        <v>130586.89599999999</v>
      </c>
      <c r="Y92">
        <f t="shared" si="39"/>
        <v>130586.89599999999</v>
      </c>
      <c r="Z92">
        <v>1</v>
      </c>
      <c r="AA92">
        <f t="shared" si="40"/>
        <v>130586.89599999999</v>
      </c>
      <c r="AB92">
        <f t="shared" si="41"/>
        <v>130586.89599999999</v>
      </c>
      <c r="AC92">
        <f t="shared" si="42"/>
        <v>32646.724000000002</v>
      </c>
      <c r="AD92">
        <f t="shared" si="29"/>
        <v>2007.8333333333333</v>
      </c>
      <c r="AE92">
        <f t="shared" si="30"/>
        <v>2018.0833333333333</v>
      </c>
      <c r="AF92">
        <f t="shared" si="31"/>
        <v>2014.8333333333333</v>
      </c>
      <c r="AG92">
        <f t="shared" si="32"/>
        <v>2017.0833333333333</v>
      </c>
      <c r="AH92">
        <f t="shared" si="33"/>
        <v>-8.3333333333333329E-2</v>
      </c>
      <c r="AJ92">
        <f t="shared" si="43"/>
        <v>10882.241333333333</v>
      </c>
      <c r="AL92">
        <f t="shared" si="44"/>
        <v>10882.241333333333</v>
      </c>
      <c r="AN92">
        <f t="shared" si="45"/>
        <v>-32646.724000000002</v>
      </c>
      <c r="AP92">
        <f t="shared" si="46"/>
        <v>0</v>
      </c>
      <c r="AR92">
        <f t="shared" si="47"/>
        <v>0</v>
      </c>
    </row>
    <row r="93" spans="1:44">
      <c r="A93" t="s">
        <v>283</v>
      </c>
      <c r="C93">
        <v>4068</v>
      </c>
      <c r="D93" t="s">
        <v>425</v>
      </c>
      <c r="E93">
        <v>2008</v>
      </c>
      <c r="F93">
        <v>10</v>
      </c>
      <c r="G93">
        <v>0.2</v>
      </c>
      <c r="I93" t="s">
        <v>78</v>
      </c>
      <c r="J93">
        <v>7</v>
      </c>
      <c r="K93">
        <f t="shared" si="26"/>
        <v>2015</v>
      </c>
      <c r="N93">
        <v>165485.70000000001</v>
      </c>
      <c r="P93">
        <f t="shared" si="27"/>
        <v>132388.56</v>
      </c>
      <c r="Q93">
        <f t="shared" si="28"/>
        <v>1576.0542857142857</v>
      </c>
      <c r="R93">
        <f t="shared" si="34"/>
        <v>0</v>
      </c>
      <c r="S93">
        <f t="shared" si="35"/>
        <v>0</v>
      </c>
      <c r="T93">
        <f t="shared" si="36"/>
        <v>0</v>
      </c>
      <c r="U93">
        <v>1</v>
      </c>
      <c r="V93">
        <f t="shared" si="37"/>
        <v>0</v>
      </c>
      <c r="X93">
        <f t="shared" si="38"/>
        <v>132388.56</v>
      </c>
      <c r="Y93">
        <f t="shared" si="39"/>
        <v>132388.56</v>
      </c>
      <c r="Z93">
        <v>1</v>
      </c>
      <c r="AA93">
        <f t="shared" si="40"/>
        <v>132388.56</v>
      </c>
      <c r="AB93">
        <f t="shared" si="41"/>
        <v>132388.56</v>
      </c>
      <c r="AC93">
        <f t="shared" si="42"/>
        <v>33097.140000000014</v>
      </c>
      <c r="AD93">
        <f t="shared" si="29"/>
        <v>2008.75</v>
      </c>
      <c r="AE93">
        <f t="shared" si="30"/>
        <v>2018.0833333333333</v>
      </c>
      <c r="AF93">
        <f t="shared" si="31"/>
        <v>2015.75</v>
      </c>
      <c r="AG93">
        <f t="shared" si="32"/>
        <v>2017.0833333333333</v>
      </c>
      <c r="AH93">
        <f t="shared" si="33"/>
        <v>-8.3333333333333329E-2</v>
      </c>
      <c r="AJ93">
        <f t="shared" si="43"/>
        <v>11032.380000000005</v>
      </c>
      <c r="AL93">
        <f t="shared" si="44"/>
        <v>11032.380000000005</v>
      </c>
      <c r="AN93">
        <f t="shared" si="45"/>
        <v>-33097.140000000014</v>
      </c>
      <c r="AP93">
        <f t="shared" si="46"/>
        <v>0</v>
      </c>
      <c r="AR93">
        <f t="shared" si="47"/>
        <v>0</v>
      </c>
    </row>
    <row r="94" spans="1:44">
      <c r="A94" t="s">
        <v>283</v>
      </c>
      <c r="C94">
        <v>4033</v>
      </c>
      <c r="D94" t="s">
        <v>82</v>
      </c>
      <c r="E94">
        <v>2009</v>
      </c>
      <c r="F94">
        <v>5</v>
      </c>
      <c r="G94">
        <v>0</v>
      </c>
      <c r="I94" t="s">
        <v>78</v>
      </c>
      <c r="J94">
        <v>3</v>
      </c>
      <c r="K94">
        <f>E94+J94</f>
        <v>2012</v>
      </c>
      <c r="N94">
        <v>3577.2</v>
      </c>
      <c r="P94">
        <f t="shared" si="27"/>
        <v>3577.2</v>
      </c>
      <c r="Q94">
        <f t="shared" si="28"/>
        <v>99.36666666666666</v>
      </c>
      <c r="R94">
        <f t="shared" si="34"/>
        <v>0</v>
      </c>
      <c r="S94">
        <f t="shared" si="35"/>
        <v>0</v>
      </c>
      <c r="T94">
        <f t="shared" si="36"/>
        <v>0</v>
      </c>
      <c r="U94">
        <v>1</v>
      </c>
      <c r="V94">
        <f t="shared" si="37"/>
        <v>0</v>
      </c>
      <c r="X94">
        <f t="shared" si="38"/>
        <v>3577.2</v>
      </c>
      <c r="Y94">
        <f t="shared" si="39"/>
        <v>3577.2</v>
      </c>
      <c r="Z94">
        <v>1</v>
      </c>
      <c r="AA94">
        <f t="shared" si="40"/>
        <v>3577.2</v>
      </c>
      <c r="AB94">
        <f t="shared" si="41"/>
        <v>3577.2</v>
      </c>
      <c r="AC94">
        <f t="shared" si="42"/>
        <v>0</v>
      </c>
      <c r="AD94">
        <f t="shared" si="29"/>
        <v>2009.3333333333333</v>
      </c>
      <c r="AE94">
        <f t="shared" si="30"/>
        <v>2018.0833333333333</v>
      </c>
      <c r="AF94">
        <f t="shared" si="31"/>
        <v>2012.3333333333333</v>
      </c>
      <c r="AG94">
        <f t="shared" si="32"/>
        <v>2017.0833333333333</v>
      </c>
      <c r="AH94">
        <f t="shared" si="33"/>
        <v>-8.3333333333333329E-2</v>
      </c>
      <c r="AJ94">
        <f t="shared" si="43"/>
        <v>0</v>
      </c>
      <c r="AL94">
        <f t="shared" si="44"/>
        <v>0</v>
      </c>
      <c r="AN94">
        <f t="shared" si="45"/>
        <v>0</v>
      </c>
      <c r="AP94">
        <f t="shared" si="46"/>
        <v>0</v>
      </c>
      <c r="AR94">
        <f t="shared" si="47"/>
        <v>0</v>
      </c>
    </row>
    <row r="95" spans="1:44">
      <c r="A95" t="s">
        <v>283</v>
      </c>
      <c r="C95">
        <v>4033</v>
      </c>
      <c r="D95" t="s">
        <v>331</v>
      </c>
      <c r="E95">
        <v>2009</v>
      </c>
      <c r="F95">
        <v>5</v>
      </c>
      <c r="G95">
        <v>0</v>
      </c>
      <c r="I95" t="s">
        <v>78</v>
      </c>
      <c r="J95">
        <v>3</v>
      </c>
      <c r="K95">
        <f>E95+J95</f>
        <v>2012</v>
      </c>
      <c r="N95">
        <v>5775.33</v>
      </c>
      <c r="P95">
        <f t="shared" si="27"/>
        <v>5775.33</v>
      </c>
      <c r="Q95">
        <f t="shared" si="28"/>
        <v>160.42583333333332</v>
      </c>
      <c r="R95">
        <f t="shared" si="34"/>
        <v>0</v>
      </c>
      <c r="S95">
        <f t="shared" si="35"/>
        <v>0</v>
      </c>
      <c r="T95">
        <f t="shared" si="36"/>
        <v>0</v>
      </c>
      <c r="U95">
        <v>1</v>
      </c>
      <c r="V95">
        <f t="shared" si="37"/>
        <v>0</v>
      </c>
      <c r="X95">
        <f t="shared" si="38"/>
        <v>5775.33</v>
      </c>
      <c r="Y95">
        <f t="shared" si="39"/>
        <v>5775.33</v>
      </c>
      <c r="Z95">
        <v>1</v>
      </c>
      <c r="AA95">
        <f t="shared" si="40"/>
        <v>5775.33</v>
      </c>
      <c r="AB95">
        <f t="shared" si="41"/>
        <v>5775.33</v>
      </c>
      <c r="AC95">
        <f t="shared" si="42"/>
        <v>0</v>
      </c>
      <c r="AD95">
        <f t="shared" si="29"/>
        <v>2009.3333333333333</v>
      </c>
      <c r="AE95">
        <f t="shared" si="30"/>
        <v>2018.0833333333333</v>
      </c>
      <c r="AF95">
        <f t="shared" si="31"/>
        <v>2012.3333333333333</v>
      </c>
      <c r="AG95">
        <f t="shared" si="32"/>
        <v>2017.0833333333333</v>
      </c>
      <c r="AH95">
        <f t="shared" si="33"/>
        <v>-8.3333333333333329E-2</v>
      </c>
      <c r="AJ95">
        <f t="shared" si="43"/>
        <v>0</v>
      </c>
      <c r="AL95">
        <f t="shared" si="44"/>
        <v>0</v>
      </c>
      <c r="AN95">
        <f t="shared" si="45"/>
        <v>0</v>
      </c>
      <c r="AP95">
        <f t="shared" si="46"/>
        <v>0</v>
      </c>
      <c r="AR95">
        <f t="shared" si="47"/>
        <v>0</v>
      </c>
    </row>
    <row r="96" spans="1:44">
      <c r="A96" t="s">
        <v>283</v>
      </c>
      <c r="C96">
        <v>4025</v>
      </c>
      <c r="D96" t="s">
        <v>329</v>
      </c>
      <c r="E96">
        <v>2009</v>
      </c>
      <c r="F96">
        <v>6</v>
      </c>
      <c r="G96">
        <v>0</v>
      </c>
      <c r="I96" t="s">
        <v>78</v>
      </c>
      <c r="J96">
        <v>3</v>
      </c>
      <c r="K96">
        <f t="shared" si="26"/>
        <v>2012</v>
      </c>
      <c r="N96">
        <v>4615.03</v>
      </c>
      <c r="P96">
        <f t="shared" si="27"/>
        <v>4615.03</v>
      </c>
      <c r="Q96">
        <f t="shared" si="28"/>
        <v>128.19527777777776</v>
      </c>
      <c r="R96">
        <f t="shared" si="34"/>
        <v>0</v>
      </c>
      <c r="S96">
        <f t="shared" si="35"/>
        <v>0</v>
      </c>
      <c r="T96">
        <f t="shared" si="36"/>
        <v>0</v>
      </c>
      <c r="U96">
        <v>1</v>
      </c>
      <c r="V96">
        <f t="shared" si="37"/>
        <v>0</v>
      </c>
      <c r="X96">
        <f t="shared" si="38"/>
        <v>4615.03</v>
      </c>
      <c r="Y96">
        <f t="shared" si="39"/>
        <v>4615.03</v>
      </c>
      <c r="Z96">
        <v>1</v>
      </c>
      <c r="AA96">
        <f t="shared" si="40"/>
        <v>4615.03</v>
      </c>
      <c r="AB96">
        <f t="shared" si="41"/>
        <v>4615.03</v>
      </c>
      <c r="AC96">
        <f t="shared" si="42"/>
        <v>0</v>
      </c>
      <c r="AD96">
        <f t="shared" si="29"/>
        <v>2009.4166666666667</v>
      </c>
      <c r="AE96">
        <f t="shared" si="30"/>
        <v>2018.0833333333333</v>
      </c>
      <c r="AF96">
        <f t="shared" si="31"/>
        <v>2012.4166666666667</v>
      </c>
      <c r="AG96">
        <f t="shared" si="32"/>
        <v>2017.0833333333333</v>
      </c>
      <c r="AH96">
        <f t="shared" si="33"/>
        <v>-8.3333333333333329E-2</v>
      </c>
      <c r="AJ96">
        <f t="shared" si="43"/>
        <v>0</v>
      </c>
      <c r="AL96">
        <f t="shared" si="44"/>
        <v>0</v>
      </c>
      <c r="AN96">
        <f t="shared" si="45"/>
        <v>0</v>
      </c>
      <c r="AP96">
        <f t="shared" si="46"/>
        <v>0</v>
      </c>
      <c r="AR96">
        <f t="shared" si="47"/>
        <v>0</v>
      </c>
    </row>
    <row r="97" spans="1:44">
      <c r="A97" t="s">
        <v>283</v>
      </c>
      <c r="C97">
        <v>4030</v>
      </c>
      <c r="D97" t="s">
        <v>330</v>
      </c>
      <c r="E97">
        <v>2009</v>
      </c>
      <c r="F97">
        <v>6</v>
      </c>
      <c r="G97">
        <v>0</v>
      </c>
      <c r="I97" t="s">
        <v>78</v>
      </c>
      <c r="J97">
        <v>3</v>
      </c>
      <c r="K97">
        <f t="shared" si="26"/>
        <v>2012</v>
      </c>
      <c r="N97">
        <v>2556.91</v>
      </c>
      <c r="P97">
        <f t="shared" si="27"/>
        <v>2556.91</v>
      </c>
      <c r="Q97">
        <f t="shared" si="28"/>
        <v>71.025277777777774</v>
      </c>
      <c r="R97">
        <f t="shared" si="34"/>
        <v>0</v>
      </c>
      <c r="S97">
        <f t="shared" si="35"/>
        <v>0</v>
      </c>
      <c r="T97">
        <f t="shared" si="36"/>
        <v>0</v>
      </c>
      <c r="U97">
        <v>1</v>
      </c>
      <c r="V97">
        <f t="shared" si="37"/>
        <v>0</v>
      </c>
      <c r="X97">
        <f t="shared" si="38"/>
        <v>2556.91</v>
      </c>
      <c r="Y97">
        <f t="shared" si="39"/>
        <v>2556.91</v>
      </c>
      <c r="Z97">
        <v>1</v>
      </c>
      <c r="AA97">
        <f t="shared" si="40"/>
        <v>2556.91</v>
      </c>
      <c r="AB97">
        <f t="shared" si="41"/>
        <v>2556.91</v>
      </c>
      <c r="AC97">
        <f t="shared" si="42"/>
        <v>0</v>
      </c>
      <c r="AD97">
        <f t="shared" si="29"/>
        <v>2009.4166666666667</v>
      </c>
      <c r="AE97">
        <f t="shared" si="30"/>
        <v>2018.0833333333333</v>
      </c>
      <c r="AF97">
        <f t="shared" si="31"/>
        <v>2012.4166666666667</v>
      </c>
      <c r="AG97">
        <f t="shared" si="32"/>
        <v>2017.0833333333333</v>
      </c>
      <c r="AH97">
        <f t="shared" si="33"/>
        <v>-8.3333333333333329E-2</v>
      </c>
      <c r="AJ97">
        <f t="shared" si="43"/>
        <v>0</v>
      </c>
      <c r="AL97">
        <f t="shared" si="44"/>
        <v>0</v>
      </c>
      <c r="AN97">
        <f t="shared" si="45"/>
        <v>0</v>
      </c>
      <c r="AP97">
        <f t="shared" si="46"/>
        <v>0</v>
      </c>
      <c r="AR97">
        <f t="shared" si="47"/>
        <v>0</v>
      </c>
    </row>
    <row r="98" spans="1:44">
      <c r="B98">
        <v>88721</v>
      </c>
      <c r="D98" t="s">
        <v>437</v>
      </c>
      <c r="E98">
        <v>2011</v>
      </c>
      <c r="F98">
        <v>12</v>
      </c>
      <c r="G98">
        <v>0</v>
      </c>
      <c r="I98" t="s">
        <v>78</v>
      </c>
      <c r="J98">
        <v>5</v>
      </c>
      <c r="K98">
        <f t="shared" si="26"/>
        <v>2016</v>
      </c>
      <c r="N98">
        <f>487.65*11</f>
        <v>5364.15</v>
      </c>
      <c r="P98">
        <f t="shared" si="27"/>
        <v>5364.15</v>
      </c>
      <c r="Q98">
        <f t="shared" si="28"/>
        <v>89.402499999999989</v>
      </c>
      <c r="R98">
        <f t="shared" si="34"/>
        <v>0</v>
      </c>
      <c r="S98">
        <f t="shared" si="35"/>
        <v>0</v>
      </c>
      <c r="T98">
        <f t="shared" si="36"/>
        <v>0</v>
      </c>
      <c r="U98">
        <v>1</v>
      </c>
      <c r="V98">
        <f t="shared" si="37"/>
        <v>0</v>
      </c>
      <c r="X98">
        <f t="shared" si="38"/>
        <v>5364.15</v>
      </c>
      <c r="Y98">
        <f t="shared" si="39"/>
        <v>5364.15</v>
      </c>
      <c r="Z98">
        <v>1</v>
      </c>
      <c r="AA98">
        <f t="shared" si="40"/>
        <v>5364.15</v>
      </c>
      <c r="AB98">
        <f t="shared" si="41"/>
        <v>5364.15</v>
      </c>
      <c r="AC98">
        <f t="shared" si="42"/>
        <v>0</v>
      </c>
      <c r="AD98">
        <f t="shared" si="29"/>
        <v>2011.9166666666667</v>
      </c>
      <c r="AE98">
        <f t="shared" si="30"/>
        <v>2018.0833333333333</v>
      </c>
      <c r="AF98">
        <f t="shared" si="31"/>
        <v>2016.9166666666667</v>
      </c>
      <c r="AG98">
        <f t="shared" si="32"/>
        <v>2017.0833333333333</v>
      </c>
      <c r="AH98">
        <f t="shared" si="33"/>
        <v>-8.3333333333333329E-2</v>
      </c>
      <c r="AJ98">
        <f t="shared" si="43"/>
        <v>0</v>
      </c>
      <c r="AL98">
        <f t="shared" si="44"/>
        <v>0</v>
      </c>
      <c r="AN98">
        <f t="shared" si="45"/>
        <v>0</v>
      </c>
      <c r="AP98">
        <f t="shared" si="46"/>
        <v>0</v>
      </c>
      <c r="AR98">
        <f t="shared" si="47"/>
        <v>0</v>
      </c>
    </row>
    <row r="99" spans="1:44">
      <c r="B99">
        <v>95840</v>
      </c>
      <c r="C99">
        <v>4030</v>
      </c>
      <c r="D99" t="s">
        <v>467</v>
      </c>
      <c r="E99">
        <v>2012</v>
      </c>
      <c r="F99">
        <v>7</v>
      </c>
      <c r="G99">
        <v>0</v>
      </c>
      <c r="I99" t="s">
        <v>78</v>
      </c>
      <c r="J99">
        <v>7</v>
      </c>
      <c r="K99">
        <f t="shared" si="26"/>
        <v>2019</v>
      </c>
      <c r="N99">
        <v>45311</v>
      </c>
      <c r="P99">
        <f t="shared" si="27"/>
        <v>45311</v>
      </c>
      <c r="Q99">
        <f t="shared" si="28"/>
        <v>539.41666666666663</v>
      </c>
      <c r="R99">
        <f t="shared" si="34"/>
        <v>6473</v>
      </c>
      <c r="S99">
        <f t="shared" si="35"/>
        <v>0</v>
      </c>
      <c r="T99">
        <f t="shared" si="36"/>
        <v>6473</v>
      </c>
      <c r="U99">
        <v>1</v>
      </c>
      <c r="V99">
        <f t="shared" si="37"/>
        <v>6473</v>
      </c>
      <c r="X99">
        <f t="shared" si="38"/>
        <v>29667.916666666173</v>
      </c>
      <c r="Y99">
        <f t="shared" si="39"/>
        <v>29667.916666666173</v>
      </c>
      <c r="Z99">
        <v>1</v>
      </c>
      <c r="AA99">
        <f t="shared" si="40"/>
        <v>29667.916666666173</v>
      </c>
      <c r="AB99">
        <f t="shared" si="41"/>
        <v>36140.916666666177</v>
      </c>
      <c r="AC99">
        <f t="shared" si="42"/>
        <v>12406.583333333825</v>
      </c>
      <c r="AD99">
        <f t="shared" si="29"/>
        <v>2012.5</v>
      </c>
      <c r="AE99">
        <f t="shared" si="30"/>
        <v>2018.0833333333333</v>
      </c>
      <c r="AF99">
        <f t="shared" si="31"/>
        <v>2019.5</v>
      </c>
      <c r="AG99">
        <f t="shared" si="32"/>
        <v>2017.0833333333333</v>
      </c>
      <c r="AH99">
        <f t="shared" si="33"/>
        <v>-8.3333333333333329E-2</v>
      </c>
      <c r="AJ99">
        <f t="shared" si="43"/>
        <v>0</v>
      </c>
      <c r="AL99">
        <f t="shared" si="44"/>
        <v>6473</v>
      </c>
      <c r="AN99">
        <f t="shared" si="45"/>
        <v>0</v>
      </c>
      <c r="AP99">
        <f t="shared" si="46"/>
        <v>0</v>
      </c>
      <c r="AR99">
        <f t="shared" si="47"/>
        <v>12406.583333333825</v>
      </c>
    </row>
    <row r="100" spans="1:44">
      <c r="B100">
        <v>114284</v>
      </c>
      <c r="C100">
        <v>4049</v>
      </c>
      <c r="D100" t="s">
        <v>553</v>
      </c>
      <c r="E100">
        <v>2013</v>
      </c>
      <c r="F100">
        <v>10</v>
      </c>
      <c r="G100">
        <v>0.2</v>
      </c>
      <c r="I100" t="s">
        <v>78</v>
      </c>
      <c r="J100">
        <v>7</v>
      </c>
      <c r="K100">
        <f>E100+J100</f>
        <v>2020</v>
      </c>
      <c r="N100">
        <v>8837.86</v>
      </c>
      <c r="P100">
        <f t="shared" si="27"/>
        <v>7070.2880000000005</v>
      </c>
      <c r="Q100">
        <f t="shared" si="28"/>
        <v>84.170095238095243</v>
      </c>
      <c r="R100">
        <f t="shared" si="34"/>
        <v>1010.0411428571429</v>
      </c>
      <c r="S100">
        <f t="shared" si="35"/>
        <v>0</v>
      </c>
      <c r="T100">
        <f t="shared" si="36"/>
        <v>1010.0411428571429</v>
      </c>
      <c r="U100">
        <v>1</v>
      </c>
      <c r="V100">
        <f t="shared" si="37"/>
        <v>1010.0411428571429</v>
      </c>
      <c r="X100">
        <f t="shared" si="38"/>
        <v>3366.803809523733</v>
      </c>
      <c r="Y100">
        <f t="shared" si="39"/>
        <v>3366.803809523733</v>
      </c>
      <c r="Z100">
        <v>1</v>
      </c>
      <c r="AA100">
        <f t="shared" si="40"/>
        <v>3366.803809523733</v>
      </c>
      <c r="AB100">
        <f t="shared" si="41"/>
        <v>4376.8449523808758</v>
      </c>
      <c r="AC100">
        <f t="shared" si="42"/>
        <v>4966.0356190476959</v>
      </c>
      <c r="AD100">
        <f t="shared" si="29"/>
        <v>2013.75</v>
      </c>
      <c r="AE100">
        <f t="shared" si="30"/>
        <v>2018.0833333333333</v>
      </c>
      <c r="AF100">
        <f t="shared" si="31"/>
        <v>2020.75</v>
      </c>
      <c r="AG100">
        <f t="shared" si="32"/>
        <v>2017.0833333333333</v>
      </c>
      <c r="AH100">
        <f t="shared" si="33"/>
        <v>-8.3333333333333329E-2</v>
      </c>
      <c r="AJ100">
        <f t="shared" si="43"/>
        <v>482.06509090908099</v>
      </c>
      <c r="AL100">
        <f t="shared" si="44"/>
        <v>1492.1062337662238</v>
      </c>
      <c r="AN100">
        <f t="shared" si="45"/>
        <v>0</v>
      </c>
      <c r="AP100">
        <f t="shared" si="46"/>
        <v>4725.0030735931559</v>
      </c>
      <c r="AR100">
        <f t="shared" si="47"/>
        <v>4725.0030735931559</v>
      </c>
    </row>
    <row r="101" spans="1:44">
      <c r="B101">
        <v>114286</v>
      </c>
      <c r="C101">
        <v>4062</v>
      </c>
      <c r="D101" t="s">
        <v>552</v>
      </c>
      <c r="E101">
        <v>2013</v>
      </c>
      <c r="F101">
        <v>11</v>
      </c>
      <c r="G101">
        <v>0.2</v>
      </c>
      <c r="I101" t="s">
        <v>78</v>
      </c>
      <c r="J101">
        <v>7</v>
      </c>
      <c r="K101">
        <f>E101+J101</f>
        <v>2020</v>
      </c>
      <c r="N101">
        <v>8837.86</v>
      </c>
      <c r="P101">
        <f t="shared" si="27"/>
        <v>7070.2880000000005</v>
      </c>
      <c r="Q101">
        <f t="shared" si="28"/>
        <v>84.170095238095243</v>
      </c>
      <c r="R101">
        <f t="shared" si="34"/>
        <v>1010.0411428571429</v>
      </c>
      <c r="S101">
        <f t="shared" si="35"/>
        <v>0</v>
      </c>
      <c r="T101">
        <f t="shared" si="36"/>
        <v>1010.0411428571429</v>
      </c>
      <c r="U101">
        <v>1</v>
      </c>
      <c r="V101">
        <f t="shared" si="37"/>
        <v>1010.0411428571429</v>
      </c>
      <c r="X101">
        <f t="shared" si="38"/>
        <v>3282.6337142857146</v>
      </c>
      <c r="Y101">
        <f t="shared" si="39"/>
        <v>3282.6337142857146</v>
      </c>
      <c r="Z101">
        <v>1</v>
      </c>
      <c r="AA101">
        <f t="shared" si="40"/>
        <v>3282.6337142857146</v>
      </c>
      <c r="AB101">
        <f t="shared" si="41"/>
        <v>4292.6748571428579</v>
      </c>
      <c r="AC101">
        <f t="shared" si="42"/>
        <v>5050.2057142857138</v>
      </c>
      <c r="AD101">
        <f t="shared" si="29"/>
        <v>2013.8333333333333</v>
      </c>
      <c r="AE101">
        <f t="shared" si="30"/>
        <v>2018.0833333333333</v>
      </c>
      <c r="AF101">
        <f t="shared" si="31"/>
        <v>2020.8333333333333</v>
      </c>
      <c r="AG101">
        <f t="shared" si="32"/>
        <v>2017.0833333333333</v>
      </c>
      <c r="AH101">
        <f t="shared" si="33"/>
        <v>-8.3333333333333329E-2</v>
      </c>
      <c r="AJ101">
        <f t="shared" si="43"/>
        <v>471.35253333333338</v>
      </c>
      <c r="AL101">
        <f t="shared" si="44"/>
        <v>1481.3936761904763</v>
      </c>
      <c r="AN101">
        <f t="shared" si="45"/>
        <v>0</v>
      </c>
      <c r="AP101">
        <f t="shared" si="46"/>
        <v>4814.5294476190475</v>
      </c>
      <c r="AR101">
        <f t="shared" si="47"/>
        <v>4814.5294476190475</v>
      </c>
    </row>
    <row r="102" spans="1:44">
      <c r="B102">
        <v>109182</v>
      </c>
      <c r="C102">
        <v>4046</v>
      </c>
      <c r="D102" t="s">
        <v>494</v>
      </c>
      <c r="E102">
        <v>2013</v>
      </c>
      <c r="F102">
        <v>10</v>
      </c>
      <c r="G102">
        <v>0.2</v>
      </c>
      <c r="I102" t="s">
        <v>78</v>
      </c>
      <c r="J102">
        <v>7</v>
      </c>
      <c r="K102">
        <f t="shared" si="26"/>
        <v>2020</v>
      </c>
      <c r="N102">
        <v>8837.86</v>
      </c>
      <c r="P102">
        <f t="shared" si="27"/>
        <v>7070.2880000000005</v>
      </c>
      <c r="Q102">
        <f t="shared" si="28"/>
        <v>84.170095238095243</v>
      </c>
      <c r="R102">
        <f t="shared" si="34"/>
        <v>1010.0411428571429</v>
      </c>
      <c r="S102">
        <f t="shared" si="35"/>
        <v>0</v>
      </c>
      <c r="T102">
        <f t="shared" si="36"/>
        <v>1010.0411428571429</v>
      </c>
      <c r="U102">
        <v>1</v>
      </c>
      <c r="V102">
        <f t="shared" si="37"/>
        <v>1010.0411428571429</v>
      </c>
      <c r="X102">
        <f t="shared" si="38"/>
        <v>3366.803809523733</v>
      </c>
      <c r="Y102">
        <f t="shared" si="39"/>
        <v>3366.803809523733</v>
      </c>
      <c r="Z102">
        <v>1</v>
      </c>
      <c r="AA102">
        <f t="shared" si="40"/>
        <v>3366.803809523733</v>
      </c>
      <c r="AB102">
        <f t="shared" si="41"/>
        <v>4376.8449523808758</v>
      </c>
      <c r="AC102">
        <f t="shared" si="42"/>
        <v>4966.0356190476959</v>
      </c>
      <c r="AD102">
        <f t="shared" si="29"/>
        <v>2013.75</v>
      </c>
      <c r="AE102">
        <f t="shared" si="30"/>
        <v>2018.0833333333333</v>
      </c>
      <c r="AF102">
        <f t="shared" si="31"/>
        <v>2020.75</v>
      </c>
      <c r="AG102">
        <f t="shared" si="32"/>
        <v>2017.0833333333333</v>
      </c>
      <c r="AH102">
        <f t="shared" si="33"/>
        <v>-8.3333333333333329E-2</v>
      </c>
      <c r="AJ102">
        <f t="shared" si="43"/>
        <v>482.06509090908099</v>
      </c>
      <c r="AL102">
        <f t="shared" si="44"/>
        <v>1492.1062337662238</v>
      </c>
      <c r="AN102">
        <f t="shared" si="45"/>
        <v>0</v>
      </c>
      <c r="AP102">
        <f t="shared" si="46"/>
        <v>4725.0030735931559</v>
      </c>
      <c r="AR102">
        <f t="shared" si="47"/>
        <v>4725.0030735931559</v>
      </c>
    </row>
    <row r="103" spans="1:44">
      <c r="B103">
        <v>109180</v>
      </c>
      <c r="C103">
        <v>4047</v>
      </c>
      <c r="D103" t="s">
        <v>495</v>
      </c>
      <c r="E103">
        <v>2013</v>
      </c>
      <c r="F103">
        <v>10</v>
      </c>
      <c r="G103">
        <v>0.2</v>
      </c>
      <c r="I103" t="s">
        <v>78</v>
      </c>
      <c r="J103">
        <v>7</v>
      </c>
      <c r="K103">
        <f t="shared" si="26"/>
        <v>2020</v>
      </c>
      <c r="N103">
        <v>8837.86</v>
      </c>
      <c r="P103">
        <f t="shared" si="27"/>
        <v>7070.2880000000005</v>
      </c>
      <c r="Q103">
        <f t="shared" si="28"/>
        <v>84.170095238095243</v>
      </c>
      <c r="R103">
        <f t="shared" si="34"/>
        <v>1010.0411428571429</v>
      </c>
      <c r="S103">
        <f t="shared" si="35"/>
        <v>0</v>
      </c>
      <c r="T103">
        <f t="shared" si="36"/>
        <v>1010.0411428571429</v>
      </c>
      <c r="U103">
        <v>1</v>
      </c>
      <c r="V103">
        <f t="shared" si="37"/>
        <v>1010.0411428571429</v>
      </c>
      <c r="X103">
        <f t="shared" si="38"/>
        <v>3366.803809523733</v>
      </c>
      <c r="Y103">
        <f t="shared" si="39"/>
        <v>3366.803809523733</v>
      </c>
      <c r="Z103">
        <v>1</v>
      </c>
      <c r="AA103">
        <f t="shared" si="40"/>
        <v>3366.803809523733</v>
      </c>
      <c r="AB103">
        <f t="shared" si="41"/>
        <v>4376.8449523808758</v>
      </c>
      <c r="AC103">
        <f t="shared" si="42"/>
        <v>4966.0356190476959</v>
      </c>
      <c r="AD103">
        <f t="shared" si="29"/>
        <v>2013.75</v>
      </c>
      <c r="AE103">
        <f t="shared" si="30"/>
        <v>2018.0833333333333</v>
      </c>
      <c r="AF103">
        <f t="shared" si="31"/>
        <v>2020.75</v>
      </c>
      <c r="AG103">
        <f t="shared" si="32"/>
        <v>2017.0833333333333</v>
      </c>
      <c r="AH103">
        <f t="shared" si="33"/>
        <v>-8.3333333333333329E-2</v>
      </c>
      <c r="AJ103">
        <f t="shared" si="43"/>
        <v>482.06509090908099</v>
      </c>
      <c r="AL103">
        <f t="shared" si="44"/>
        <v>1492.1062337662238</v>
      </c>
      <c r="AN103">
        <f t="shared" si="45"/>
        <v>0</v>
      </c>
      <c r="AP103">
        <f t="shared" si="46"/>
        <v>4725.0030735931559</v>
      </c>
      <c r="AR103">
        <f t="shared" si="47"/>
        <v>4725.0030735931559</v>
      </c>
    </row>
    <row r="104" spans="1:44">
      <c r="B104">
        <v>109181</v>
      </c>
      <c r="C104">
        <v>4061</v>
      </c>
      <c r="D104" t="s">
        <v>496</v>
      </c>
      <c r="E104">
        <v>2013</v>
      </c>
      <c r="F104">
        <v>10</v>
      </c>
      <c r="G104">
        <v>0.2</v>
      </c>
      <c r="I104" t="s">
        <v>78</v>
      </c>
      <c r="J104">
        <v>7</v>
      </c>
      <c r="K104">
        <f t="shared" si="26"/>
        <v>2020</v>
      </c>
      <c r="N104">
        <v>8837.86</v>
      </c>
      <c r="P104">
        <f t="shared" si="27"/>
        <v>7070.2880000000005</v>
      </c>
      <c r="Q104">
        <f t="shared" si="28"/>
        <v>84.170095238095243</v>
      </c>
      <c r="R104">
        <f t="shared" si="34"/>
        <v>1010.0411428571429</v>
      </c>
      <c r="S104">
        <f t="shared" si="35"/>
        <v>0</v>
      </c>
      <c r="T104">
        <f t="shared" si="36"/>
        <v>1010.0411428571429</v>
      </c>
      <c r="U104">
        <v>1</v>
      </c>
      <c r="V104">
        <f t="shared" si="37"/>
        <v>1010.0411428571429</v>
      </c>
      <c r="X104">
        <f t="shared" si="38"/>
        <v>3366.803809523733</v>
      </c>
      <c r="Y104">
        <f t="shared" si="39"/>
        <v>3366.803809523733</v>
      </c>
      <c r="Z104">
        <v>1</v>
      </c>
      <c r="AA104">
        <f t="shared" si="40"/>
        <v>3366.803809523733</v>
      </c>
      <c r="AB104">
        <f t="shared" si="41"/>
        <v>4376.8449523808758</v>
      </c>
      <c r="AC104">
        <f t="shared" si="42"/>
        <v>4966.0356190476959</v>
      </c>
      <c r="AD104">
        <f t="shared" si="29"/>
        <v>2013.75</v>
      </c>
      <c r="AE104">
        <f t="shared" si="30"/>
        <v>2018.0833333333333</v>
      </c>
      <c r="AF104">
        <f t="shared" si="31"/>
        <v>2020.75</v>
      </c>
      <c r="AG104">
        <f t="shared" si="32"/>
        <v>2017.0833333333333</v>
      </c>
      <c r="AH104">
        <f t="shared" si="33"/>
        <v>-8.3333333333333329E-2</v>
      </c>
      <c r="AJ104">
        <f t="shared" si="43"/>
        <v>482.06509090908099</v>
      </c>
      <c r="AL104">
        <f t="shared" si="44"/>
        <v>1492.1062337662238</v>
      </c>
      <c r="AN104">
        <f t="shared" si="45"/>
        <v>0</v>
      </c>
      <c r="AP104">
        <f t="shared" si="46"/>
        <v>4725.0030735931559</v>
      </c>
      <c r="AR104">
        <f t="shared" si="47"/>
        <v>4725.0030735931559</v>
      </c>
    </row>
    <row r="105" spans="1:44">
      <c r="B105">
        <v>108675</v>
      </c>
      <c r="C105">
        <v>4054</v>
      </c>
      <c r="D105" t="s">
        <v>498</v>
      </c>
      <c r="E105">
        <v>2013</v>
      </c>
      <c r="F105">
        <v>11</v>
      </c>
      <c r="G105">
        <v>0.2</v>
      </c>
      <c r="I105" t="s">
        <v>78</v>
      </c>
      <c r="J105">
        <v>7</v>
      </c>
      <c r="K105">
        <f t="shared" si="26"/>
        <v>2020</v>
      </c>
      <c r="N105">
        <v>8837.86</v>
      </c>
      <c r="P105">
        <f t="shared" si="27"/>
        <v>7070.2880000000005</v>
      </c>
      <c r="Q105">
        <f t="shared" si="28"/>
        <v>84.170095238095243</v>
      </c>
      <c r="R105">
        <f t="shared" si="34"/>
        <v>1010.0411428571429</v>
      </c>
      <c r="S105">
        <f t="shared" si="35"/>
        <v>0</v>
      </c>
      <c r="T105">
        <f t="shared" si="36"/>
        <v>1010.0411428571429</v>
      </c>
      <c r="U105">
        <v>1</v>
      </c>
      <c r="V105">
        <f t="shared" si="37"/>
        <v>1010.0411428571429</v>
      </c>
      <c r="X105">
        <f t="shared" si="38"/>
        <v>3282.6337142857146</v>
      </c>
      <c r="Y105">
        <f t="shared" si="39"/>
        <v>3282.6337142857146</v>
      </c>
      <c r="Z105">
        <v>1</v>
      </c>
      <c r="AA105">
        <f t="shared" si="40"/>
        <v>3282.6337142857146</v>
      </c>
      <c r="AB105">
        <f t="shared" si="41"/>
        <v>4292.6748571428579</v>
      </c>
      <c r="AC105">
        <f t="shared" si="42"/>
        <v>5050.2057142857138</v>
      </c>
      <c r="AD105">
        <f t="shared" si="29"/>
        <v>2013.8333333333333</v>
      </c>
      <c r="AE105">
        <f t="shared" si="30"/>
        <v>2018.0833333333333</v>
      </c>
      <c r="AF105">
        <f t="shared" si="31"/>
        <v>2020.8333333333333</v>
      </c>
      <c r="AG105">
        <f t="shared" si="32"/>
        <v>2017.0833333333333</v>
      </c>
      <c r="AH105">
        <f t="shared" si="33"/>
        <v>-8.3333333333333329E-2</v>
      </c>
      <c r="AJ105">
        <f t="shared" si="43"/>
        <v>471.35253333333338</v>
      </c>
      <c r="AL105">
        <f t="shared" si="44"/>
        <v>1481.3936761904763</v>
      </c>
      <c r="AN105">
        <f t="shared" si="45"/>
        <v>0</v>
      </c>
      <c r="AP105">
        <f t="shared" si="46"/>
        <v>4814.5294476190475</v>
      </c>
      <c r="AR105">
        <f t="shared" si="47"/>
        <v>4814.5294476190475</v>
      </c>
    </row>
    <row r="106" spans="1:44">
      <c r="B106">
        <v>108676</v>
      </c>
      <c r="C106">
        <v>4068</v>
      </c>
      <c r="D106" t="s">
        <v>497</v>
      </c>
      <c r="E106">
        <v>2013</v>
      </c>
      <c r="F106">
        <v>11</v>
      </c>
      <c r="G106">
        <v>0.2</v>
      </c>
      <c r="I106" t="s">
        <v>78</v>
      </c>
      <c r="J106">
        <v>7</v>
      </c>
      <c r="K106">
        <f t="shared" si="26"/>
        <v>2020</v>
      </c>
      <c r="N106">
        <v>8837.86</v>
      </c>
      <c r="P106">
        <f t="shared" si="27"/>
        <v>7070.2880000000005</v>
      </c>
      <c r="Q106">
        <f t="shared" si="28"/>
        <v>84.170095238095243</v>
      </c>
      <c r="R106">
        <f t="shared" si="34"/>
        <v>1010.0411428571429</v>
      </c>
      <c r="S106">
        <f t="shared" si="35"/>
        <v>0</v>
      </c>
      <c r="T106">
        <f t="shared" si="36"/>
        <v>1010.0411428571429</v>
      </c>
      <c r="U106">
        <v>1</v>
      </c>
      <c r="V106">
        <f t="shared" si="37"/>
        <v>1010.0411428571429</v>
      </c>
      <c r="X106">
        <f t="shared" si="38"/>
        <v>3282.6337142857146</v>
      </c>
      <c r="Y106">
        <f t="shared" si="39"/>
        <v>3282.6337142857146</v>
      </c>
      <c r="Z106">
        <v>1</v>
      </c>
      <c r="AA106">
        <f t="shared" si="40"/>
        <v>3282.6337142857146</v>
      </c>
      <c r="AB106">
        <f t="shared" si="41"/>
        <v>4292.6748571428579</v>
      </c>
      <c r="AC106">
        <f t="shared" si="42"/>
        <v>5050.2057142857138</v>
      </c>
      <c r="AD106">
        <f t="shared" si="29"/>
        <v>2013.8333333333333</v>
      </c>
      <c r="AE106">
        <f t="shared" si="30"/>
        <v>2018.0833333333333</v>
      </c>
      <c r="AF106">
        <f t="shared" si="31"/>
        <v>2020.8333333333333</v>
      </c>
      <c r="AG106">
        <f t="shared" si="32"/>
        <v>2017.0833333333333</v>
      </c>
      <c r="AH106">
        <f t="shared" si="33"/>
        <v>-8.3333333333333329E-2</v>
      </c>
      <c r="AJ106">
        <f t="shared" si="43"/>
        <v>471.35253333333338</v>
      </c>
      <c r="AL106">
        <f t="shared" si="44"/>
        <v>1481.3936761904763</v>
      </c>
      <c r="AN106">
        <f t="shared" si="45"/>
        <v>0</v>
      </c>
      <c r="AP106">
        <f t="shared" si="46"/>
        <v>4814.5294476190475</v>
      </c>
      <c r="AR106">
        <f t="shared" si="47"/>
        <v>4814.5294476190475</v>
      </c>
    </row>
    <row r="107" spans="1:44">
      <c r="B107">
        <v>117825</v>
      </c>
      <c r="C107">
        <v>4033</v>
      </c>
      <c r="D107" t="s">
        <v>530</v>
      </c>
      <c r="E107">
        <v>2014</v>
      </c>
      <c r="F107">
        <v>11</v>
      </c>
      <c r="G107">
        <v>0</v>
      </c>
      <c r="I107" t="s">
        <v>78</v>
      </c>
      <c r="J107">
        <v>3</v>
      </c>
      <c r="K107">
        <f t="shared" si="26"/>
        <v>2017</v>
      </c>
      <c r="N107">
        <v>7331.82</v>
      </c>
      <c r="P107">
        <f t="shared" si="27"/>
        <v>7331.82</v>
      </c>
      <c r="Q107">
        <f t="shared" si="28"/>
        <v>203.66166666666666</v>
      </c>
      <c r="R107">
        <f t="shared" si="34"/>
        <v>1832.9549999999999</v>
      </c>
      <c r="S107">
        <f t="shared" si="35"/>
        <v>0</v>
      </c>
      <c r="T107">
        <f t="shared" si="36"/>
        <v>1832.9549999999999</v>
      </c>
      <c r="U107">
        <v>1</v>
      </c>
      <c r="V107">
        <f t="shared" si="37"/>
        <v>1832.9549999999999</v>
      </c>
      <c r="X107">
        <f t="shared" si="38"/>
        <v>5498.8649999999998</v>
      </c>
      <c r="Y107">
        <f t="shared" si="39"/>
        <v>5498.8649999999998</v>
      </c>
      <c r="Z107">
        <v>1</v>
      </c>
      <c r="AA107">
        <f t="shared" si="40"/>
        <v>5498.8649999999998</v>
      </c>
      <c r="AB107">
        <f t="shared" si="41"/>
        <v>7331.82</v>
      </c>
      <c r="AC107">
        <f t="shared" si="42"/>
        <v>916.47749999999996</v>
      </c>
      <c r="AD107">
        <f t="shared" si="29"/>
        <v>2014.8333333333333</v>
      </c>
      <c r="AE107">
        <f t="shared" si="30"/>
        <v>2018.0833333333333</v>
      </c>
      <c r="AF107">
        <f t="shared" si="31"/>
        <v>2017.8333333333333</v>
      </c>
      <c r="AG107">
        <f t="shared" si="32"/>
        <v>2017.0833333333333</v>
      </c>
      <c r="AH107">
        <f t="shared" si="33"/>
        <v>-8.3333333333333329E-2</v>
      </c>
      <c r="AJ107">
        <f t="shared" si="43"/>
        <v>0</v>
      </c>
      <c r="AL107">
        <f t="shared" si="44"/>
        <v>1832.9549999999999</v>
      </c>
      <c r="AN107">
        <f t="shared" si="45"/>
        <v>0</v>
      </c>
      <c r="AP107">
        <f t="shared" si="46"/>
        <v>0</v>
      </c>
      <c r="AR107">
        <f t="shared" si="47"/>
        <v>916.47749999999996</v>
      </c>
    </row>
    <row r="108" spans="1:44">
      <c r="B108">
        <v>122012</v>
      </c>
      <c r="C108">
        <v>4061</v>
      </c>
      <c r="D108" t="s">
        <v>571</v>
      </c>
      <c r="E108">
        <v>2015</v>
      </c>
      <c r="F108">
        <v>2</v>
      </c>
      <c r="G108">
        <v>0</v>
      </c>
      <c r="I108" t="s">
        <v>78</v>
      </c>
      <c r="J108">
        <v>3</v>
      </c>
      <c r="K108">
        <f t="shared" si="26"/>
        <v>2018</v>
      </c>
      <c r="N108">
        <v>5574.98</v>
      </c>
      <c r="P108">
        <f t="shared" si="27"/>
        <v>5574.98</v>
      </c>
      <c r="Q108">
        <f t="shared" si="28"/>
        <v>154.86055555555555</v>
      </c>
      <c r="R108">
        <f>IF(O108&gt;0,0,IF(OR(AD108&gt;AE108,AF108&lt;AG108),0,IF(AND(AF108&gt;=AG108,AF108&lt;=AE108),Q108*((AF108-AG108)*12),IF(AND(AG108&lt;=AD108,AE108&gt;=AD108),((AE108-AD108)*12)*Q108,IF(AF108&gt;AE108,12*Q108,0)))))</f>
        <v>1858.3266666666666</v>
      </c>
      <c r="S108">
        <f>IF(O108=0,0,IF(AND(AH108&gt;=AG108,AH108&lt;=AF108),((AH108-AG108)*12)*Q108,0))</f>
        <v>0</v>
      </c>
      <c r="T108">
        <f>IF(S108&gt;0,S108,R108)</f>
        <v>1858.3266666666666</v>
      </c>
      <c r="U108">
        <v>1</v>
      </c>
      <c r="V108">
        <f>U108*SUM(R108:S108)</f>
        <v>1858.3266666666666</v>
      </c>
      <c r="X108">
        <f>IF(AD108&gt;AE108,0,IF(AF108&lt;AG108,P108,IF(AND(AF108&gt;=AG108,AF108&lt;=AE108),(P108-T108),IF(AND(AG108&lt;=AD108,AE108&gt;=AD108),0,IF(AF108&gt;AE108,((AG108-AD108)*12)*Q108,0)))))</f>
        <v>3716.6533333333327</v>
      </c>
      <c r="Y108">
        <f>X108*U108</f>
        <v>3716.6533333333327</v>
      </c>
      <c r="Z108">
        <v>1</v>
      </c>
      <c r="AA108">
        <f>Y108*Z108</f>
        <v>3716.6533333333327</v>
      </c>
      <c r="AB108">
        <f>IF(O108&gt;0,0,AA108+V108*Z108)*Z108</f>
        <v>5574.98</v>
      </c>
      <c r="AC108">
        <f>IF(O108&gt;0,(N108-AA108)/2,IF(AD108&gt;=AG108,(((N108*U108)*Z108)-AB108)/2,((((N108*U108)*Z108)-AA108)+(((N108*U108)*Z108)-AB108))/2))</f>
        <v>929.16333333333341</v>
      </c>
      <c r="AD108">
        <f t="shared" si="29"/>
        <v>2015.0833333333333</v>
      </c>
      <c r="AE108">
        <f t="shared" si="30"/>
        <v>2018.0833333333333</v>
      </c>
      <c r="AF108">
        <f t="shared" si="31"/>
        <v>2018.0833333333333</v>
      </c>
      <c r="AG108">
        <f t="shared" si="32"/>
        <v>2017.0833333333333</v>
      </c>
      <c r="AH108">
        <f t="shared" si="33"/>
        <v>-8.3333333333333329E-2</v>
      </c>
      <c r="AJ108">
        <f t="shared" si="43"/>
        <v>0</v>
      </c>
      <c r="AL108">
        <f t="shared" si="44"/>
        <v>1858.3266666666666</v>
      </c>
      <c r="AN108">
        <f t="shared" si="45"/>
        <v>0</v>
      </c>
      <c r="AP108">
        <f t="shared" si="46"/>
        <v>0</v>
      </c>
      <c r="AR108">
        <f t="shared" si="47"/>
        <v>929.16333333333341</v>
      </c>
    </row>
    <row r="109" spans="1:44">
      <c r="B109" t="s">
        <v>593</v>
      </c>
      <c r="D109" t="s">
        <v>592</v>
      </c>
      <c r="E109">
        <v>2016</v>
      </c>
      <c r="F109">
        <v>4</v>
      </c>
      <c r="G109">
        <v>0</v>
      </c>
      <c r="I109" t="s">
        <v>78</v>
      </c>
      <c r="J109">
        <v>1</v>
      </c>
      <c r="K109">
        <f t="shared" si="26"/>
        <v>2017</v>
      </c>
      <c r="N109">
        <f>((14612.94+16641.82+675)/75)*2</f>
        <v>851.46026666666671</v>
      </c>
      <c r="P109">
        <f t="shared" si="27"/>
        <v>851.46026666666671</v>
      </c>
      <c r="Q109">
        <f t="shared" si="28"/>
        <v>70.955022222222226</v>
      </c>
      <c r="R109">
        <f>IF(O109&gt;0,0,IF(OR(AD109&gt;AE109,AF109&lt;AG109),0,IF(AND(AF109&gt;=AG109,AF109&lt;=AE109),Q109*((AF109-AG109)*12),IF(AND(AG109&lt;=AD109,AE109&gt;=AD109),((AE109-AD109)*12)*Q109,IF(AF109&gt;AE109,12*Q109,0)))))</f>
        <v>141.910044444509</v>
      </c>
      <c r="S109">
        <f>IF(O109=0,0,IF(AND(AH109&gt;=AG109,AH109&lt;=AF109),((AH109-AG109)*12)*Q109,0))</f>
        <v>0</v>
      </c>
      <c r="T109">
        <f>IF(S109&gt;0,S109,R109)</f>
        <v>141.910044444509</v>
      </c>
      <c r="U109">
        <v>1</v>
      </c>
      <c r="V109">
        <f>U109*SUM(R109:S109)</f>
        <v>141.910044444509</v>
      </c>
      <c r="X109">
        <f>IF(AD109&gt;AE109,0,IF(AF109&lt;AG109,P109,IF(AND(AF109&gt;=AG109,AF109&lt;=AE109),(P109-T109),IF(AND(AG109&lt;=AD109,AE109&gt;=AD109),0,IF(AF109&gt;AE109,((AG109-AD109)*12)*Q109,0)))))</f>
        <v>709.55022222215769</v>
      </c>
      <c r="Y109">
        <f>X109*U109</f>
        <v>709.55022222215769</v>
      </c>
      <c r="Z109">
        <v>1</v>
      </c>
      <c r="AA109">
        <f>Y109*Z109</f>
        <v>709.55022222215769</v>
      </c>
      <c r="AB109">
        <f>IF(O109&gt;0,0,AA109+V109*Z109)*Z109</f>
        <v>851.46026666666671</v>
      </c>
      <c r="AC109">
        <f>IF(O109&gt;0,(N109-AA109)/2,IF(AD109&gt;=AG109,(((N109*U109)*Z109)-AB109)/2,((((N109*U109)*Z109)-AA109)+(((N109*U109)*Z109)-AB109))/2))</f>
        <v>70.955022222254513</v>
      </c>
      <c r="AD109">
        <f t="shared" si="29"/>
        <v>2016.25</v>
      </c>
      <c r="AE109">
        <f t="shared" si="30"/>
        <v>2018.0833333333333</v>
      </c>
      <c r="AF109">
        <f t="shared" si="31"/>
        <v>2017.25</v>
      </c>
      <c r="AG109">
        <f t="shared" si="32"/>
        <v>2017.0833333333333</v>
      </c>
      <c r="AH109">
        <f t="shared" si="33"/>
        <v>-8.3333333333333329E-2</v>
      </c>
      <c r="AJ109">
        <f t="shared" si="43"/>
        <v>0</v>
      </c>
      <c r="AL109">
        <f t="shared" si="44"/>
        <v>141.910044444509</v>
      </c>
      <c r="AN109">
        <f t="shared" si="45"/>
        <v>0</v>
      </c>
      <c r="AP109">
        <f t="shared" si="46"/>
        <v>0</v>
      </c>
      <c r="AR109">
        <f t="shared" si="47"/>
        <v>70.955022222254513</v>
      </c>
    </row>
    <row r="110" spans="1:44">
      <c r="B110">
        <v>169041</v>
      </c>
      <c r="C110">
        <v>4076</v>
      </c>
      <c r="D110" t="s">
        <v>597</v>
      </c>
      <c r="E110">
        <v>2016</v>
      </c>
      <c r="F110">
        <v>10</v>
      </c>
      <c r="G110">
        <v>0</v>
      </c>
      <c r="I110" t="s">
        <v>78</v>
      </c>
      <c r="J110">
        <v>10</v>
      </c>
      <c r="K110">
        <f>E110+J110</f>
        <v>2026</v>
      </c>
      <c r="N110">
        <v>231607.35</v>
      </c>
      <c r="P110">
        <f t="shared" si="27"/>
        <v>231607.35</v>
      </c>
      <c r="Q110">
        <f t="shared" si="28"/>
        <v>1930.06125</v>
      </c>
      <c r="R110">
        <f>IF(O110&gt;0,0,IF(OR(AD110&gt;AE110,AF110&lt;AG110),0,IF(AND(AF110&gt;=AG110,AF110&lt;=AE110),Q110*((AF110-AG110)*12),IF(AND(AG110&lt;=AD110,AE110&gt;=AD110),((AE110-AD110)*12)*Q110,IF(AF110&gt;AE110,12*Q110,0)))))</f>
        <v>23160.735000000001</v>
      </c>
      <c r="S110">
        <f>IF(O110=0,0,IF(AND(AH110&gt;=AG110,AH110&lt;=AF110),((AH110-AG110)*12)*Q110,0))</f>
        <v>0</v>
      </c>
      <c r="T110">
        <f>IF(S110&gt;0,S110,R110)</f>
        <v>23160.735000000001</v>
      </c>
      <c r="U110">
        <v>1</v>
      </c>
      <c r="V110">
        <f>U110*SUM(R110:S110)</f>
        <v>23160.735000000001</v>
      </c>
      <c r="X110">
        <f>IF(AD110&gt;AE110,0,IF(AF110&lt;AG110,P110,IF(AND(AF110&gt;=AG110,AF110&lt;=AE110),(P110-T110),IF(AND(AG110&lt;=AD110,AE110&gt;=AD110),0,IF(AF110&gt;AE110,((AG110-AD110)*12)*Q110,0)))))</f>
        <v>7720.2449999982446</v>
      </c>
      <c r="Y110">
        <f>X110*U110</f>
        <v>7720.2449999982446</v>
      </c>
      <c r="Z110">
        <v>1</v>
      </c>
      <c r="AA110">
        <f>Y110*Z110</f>
        <v>7720.2449999982446</v>
      </c>
      <c r="AB110">
        <f>IF(O110&gt;0,0,AA110+V110*Z110)*Z110</f>
        <v>30880.979999998246</v>
      </c>
      <c r="AC110">
        <f>IF(O110&gt;0,(N110-AA110)/2,IF(AD110&gt;=AG110,(((N110*U110)*Z110)-AB110)/2,((((N110*U110)*Z110)-AA110)+(((N110*U110)*Z110)-AB110))/2))</f>
        <v>212306.73750000176</v>
      </c>
      <c r="AD110">
        <f t="shared" si="29"/>
        <v>2016.75</v>
      </c>
      <c r="AE110">
        <f t="shared" si="30"/>
        <v>2018.0833333333333</v>
      </c>
      <c r="AF110">
        <f t="shared" si="31"/>
        <v>2026.75</v>
      </c>
      <c r="AG110">
        <f t="shared" si="32"/>
        <v>2017.0833333333333</v>
      </c>
      <c r="AH110">
        <f t="shared" si="33"/>
        <v>-8.3333333333333329E-2</v>
      </c>
      <c r="AJ110">
        <f t="shared" si="43"/>
        <v>0</v>
      </c>
      <c r="AL110">
        <f t="shared" si="44"/>
        <v>23160.735000000001</v>
      </c>
      <c r="AN110">
        <f t="shared" si="45"/>
        <v>0</v>
      </c>
      <c r="AP110">
        <f t="shared" si="46"/>
        <v>0</v>
      </c>
      <c r="AR110">
        <f t="shared" si="47"/>
        <v>212306.73750000176</v>
      </c>
    </row>
    <row r="111" spans="1:44">
      <c r="B111" t="s">
        <v>629</v>
      </c>
      <c r="D111" t="s">
        <v>631</v>
      </c>
      <c r="E111">
        <v>2017</v>
      </c>
      <c r="F111">
        <v>9</v>
      </c>
      <c r="G111">
        <v>0</v>
      </c>
      <c r="I111" t="s">
        <v>78</v>
      </c>
      <c r="J111">
        <v>3</v>
      </c>
      <c r="K111">
        <f>E111+J111</f>
        <v>2020</v>
      </c>
      <c r="N111">
        <v>59424.88</v>
      </c>
      <c r="P111">
        <f t="shared" si="27"/>
        <v>59424.88</v>
      </c>
      <c r="Q111">
        <f t="shared" si="28"/>
        <v>1650.691111111111</v>
      </c>
      <c r="R111">
        <f>IF(O111&gt;0,0,IF(OR(AD111&gt;AE111,AF111&lt;AG111),0,IF(AND(AF111&gt;=AG111,AF111&lt;=AE111),Q111*((AF111-AG111)*12),IF(AND(AG111&lt;=AD111,AE111&gt;=AD111),((AE111-AD111)*12)*Q111,IF(AF111&gt;AE111,12*Q111,0)))))</f>
        <v>8253.4555555525531</v>
      </c>
      <c r="S111">
        <f>IF(O111=0,0,IF(AND(AH111&gt;=AG111,AH111&lt;=AF111),((AH111-AG111)*12)*Q111,0))</f>
        <v>0</v>
      </c>
      <c r="T111">
        <f>IF(S111&gt;0,S111,R111)</f>
        <v>8253.4555555525531</v>
      </c>
      <c r="U111">
        <v>1</v>
      </c>
      <c r="V111">
        <f>U111*SUM(R111:S111)</f>
        <v>8253.4555555525531</v>
      </c>
      <c r="X111">
        <f>IF(AD111&gt;AE111,0,IF(AF111&lt;AG111,P111,IF(AND(AF111&gt;=AG111,AF111&lt;=AE111),(P111-T111),IF(AND(AG111&lt;=AD111,AE111&gt;=AD111),0,IF(AF111&gt;AE111,((AG111-AD111)*12)*Q111,0)))))</f>
        <v>0</v>
      </c>
      <c r="Y111">
        <f>X111*U111</f>
        <v>0</v>
      </c>
      <c r="Z111">
        <v>1</v>
      </c>
      <c r="AA111">
        <f>Y111*Z111</f>
        <v>0</v>
      </c>
      <c r="AB111">
        <f>IF(O111&gt;0,0,AA111+V111*Z111)*Z111</f>
        <v>8253.4555555525531</v>
      </c>
      <c r="AC111">
        <f>IF(O111&gt;0,(N111-AA111)/2,IF(AD111&gt;=AG111,(((N111*U111)*Z111)-AB111)/2,((((N111*U111)*Z111)-AA111)+(((N111*U111)*Z111)-AB111))/2))</f>
        <v>25585.712222223723</v>
      </c>
      <c r="AD111">
        <f t="shared" si="29"/>
        <v>2017.6666666666667</v>
      </c>
      <c r="AE111">
        <f t="shared" si="30"/>
        <v>2018.0833333333333</v>
      </c>
      <c r="AF111">
        <f t="shared" si="31"/>
        <v>2020.6666666666667</v>
      </c>
      <c r="AG111">
        <f t="shared" si="32"/>
        <v>2017.0833333333333</v>
      </c>
      <c r="AH111">
        <f t="shared" si="33"/>
        <v>-8.3333333333333329E-2</v>
      </c>
      <c r="AJ111">
        <f t="shared" si="43"/>
        <v>0</v>
      </c>
      <c r="AL111">
        <f t="shared" si="44"/>
        <v>8253.4555555525531</v>
      </c>
      <c r="AN111">
        <f t="shared" si="45"/>
        <v>0</v>
      </c>
      <c r="AP111">
        <f t="shared" si="46"/>
        <v>0</v>
      </c>
      <c r="AR111">
        <f t="shared" si="47"/>
        <v>25585.712222223723</v>
      </c>
    </row>
    <row r="112" spans="1:44">
      <c r="B112" t="s">
        <v>630</v>
      </c>
      <c r="D112" t="s">
        <v>631</v>
      </c>
      <c r="E112">
        <v>2017</v>
      </c>
      <c r="F112">
        <v>9</v>
      </c>
      <c r="G112">
        <v>0</v>
      </c>
      <c r="I112" t="s">
        <v>78</v>
      </c>
      <c r="J112">
        <v>3</v>
      </c>
      <c r="K112">
        <f>E112+J112</f>
        <v>2020</v>
      </c>
      <c r="N112">
        <v>59424.88</v>
      </c>
      <c r="P112">
        <f t="shared" si="27"/>
        <v>59424.88</v>
      </c>
      <c r="Q112">
        <f t="shared" si="28"/>
        <v>1650.691111111111</v>
      </c>
      <c r="R112">
        <f>IF(O112&gt;0,0,IF(OR(AD112&gt;AE112,AF112&lt;AG112),0,IF(AND(AF112&gt;=AG112,AF112&lt;=AE112),Q112*((AF112-AG112)*12),IF(AND(AG112&lt;=AD112,AE112&gt;=AD112),((AE112-AD112)*12)*Q112,IF(AF112&gt;AE112,12*Q112,0)))))</f>
        <v>8253.4555555525531</v>
      </c>
      <c r="S112">
        <f>IF(O112=0,0,IF(AND(AH112&gt;=AG112,AH112&lt;=AF112),((AH112-AG112)*12)*Q112,0))</f>
        <v>0</v>
      </c>
      <c r="T112">
        <f>IF(S112&gt;0,S112,R112)</f>
        <v>8253.4555555525531</v>
      </c>
      <c r="U112">
        <v>1</v>
      </c>
      <c r="V112">
        <f>U112*SUM(R112:S112)</f>
        <v>8253.4555555525531</v>
      </c>
      <c r="X112">
        <f>IF(AD112&gt;AE112,0,IF(AF112&lt;AG112,P112,IF(AND(AF112&gt;=AG112,AF112&lt;=AE112),(P112-T112),IF(AND(AG112&lt;=AD112,AE112&gt;=AD112),0,IF(AF112&gt;AE112,((AG112-AD112)*12)*Q112,0)))))</f>
        <v>0</v>
      </c>
      <c r="Y112">
        <f>X112*U112</f>
        <v>0</v>
      </c>
      <c r="Z112">
        <v>1</v>
      </c>
      <c r="AA112">
        <f>Y112*Z112</f>
        <v>0</v>
      </c>
      <c r="AB112">
        <f>IF(O112&gt;0,0,AA112+V112*Z112)*Z112</f>
        <v>8253.4555555525531</v>
      </c>
      <c r="AC112">
        <f>IF(O112&gt;0,(N112-AA112)/2,IF(AD112&gt;=AG112,(((N112*U112)*Z112)-AB112)/2,((((N112*U112)*Z112)-AA112)+(((N112*U112)*Z112)-AB112))/2))</f>
        <v>25585.712222223723</v>
      </c>
      <c r="AD112">
        <f t="shared" si="29"/>
        <v>2017.6666666666667</v>
      </c>
      <c r="AE112">
        <f t="shared" si="30"/>
        <v>2018.0833333333333</v>
      </c>
      <c r="AF112">
        <f t="shared" si="31"/>
        <v>2020.6666666666667</v>
      </c>
      <c r="AG112">
        <f t="shared" si="32"/>
        <v>2017.0833333333333</v>
      </c>
      <c r="AH112">
        <f t="shared" si="33"/>
        <v>-8.3333333333333329E-2</v>
      </c>
      <c r="AJ112">
        <f t="shared" si="43"/>
        <v>0</v>
      </c>
      <c r="AL112">
        <f t="shared" si="44"/>
        <v>8253.4555555525531</v>
      </c>
      <c r="AN112">
        <f t="shared" si="45"/>
        <v>0</v>
      </c>
      <c r="AP112">
        <f t="shared" si="46"/>
        <v>0</v>
      </c>
      <c r="AR112">
        <f t="shared" si="47"/>
        <v>25585.712222223723</v>
      </c>
    </row>
    <row r="114" spans="1:44">
      <c r="C114">
        <v>11</v>
      </c>
      <c r="D114" t="s">
        <v>146</v>
      </c>
      <c r="N114">
        <f>SUM(N82:N113)</f>
        <v>1891696.0202666672</v>
      </c>
      <c r="P114">
        <f>SUM(P82:P113)</f>
        <v>1599639.8142666661</v>
      </c>
      <c r="Q114">
        <f>SUM(Q82:Q113)</f>
        <v>20656.191319841273</v>
      </c>
      <c r="R114">
        <f>SUM(R82:R113)</f>
        <v>57044.125822216272</v>
      </c>
      <c r="V114">
        <f>SUM(V82:V113)</f>
        <v>57044.125822216272</v>
      </c>
      <c r="AA114">
        <f>SUM(AA82:AA113)</f>
        <v>1211249.7746031722</v>
      </c>
      <c r="AB114">
        <f>SUM(AB82:AB113)</f>
        <v>1268293.9004253889</v>
      </c>
      <c r="AC114">
        <f>SUM(AC82:AC113)</f>
        <v>592499.30275238666</v>
      </c>
      <c r="AJ114">
        <f t="shared" ref="AJ114:AR114" si="48">SUM(AJ82:AJ113)</f>
        <v>96570.051963636317</v>
      </c>
      <c r="AL114">
        <f t="shared" si="48"/>
        <v>153614.17778585263</v>
      </c>
      <c r="AN114">
        <f t="shared" si="48"/>
        <v>-279683.20199999999</v>
      </c>
      <c r="AP114">
        <f t="shared" si="48"/>
        <v>33343.600637229763</v>
      </c>
      <c r="AR114">
        <f t="shared" si="48"/>
        <v>311144.94177056837</v>
      </c>
    </row>
    <row r="117" spans="1:44">
      <c r="D117" t="s">
        <v>386</v>
      </c>
    </row>
    <row r="119" spans="1:44">
      <c r="A119" t="s">
        <v>290</v>
      </c>
      <c r="C119">
        <v>5036</v>
      </c>
      <c r="D119" t="s">
        <v>450</v>
      </c>
      <c r="E119">
        <v>1998</v>
      </c>
      <c r="F119">
        <v>1</v>
      </c>
      <c r="G119">
        <v>0.2</v>
      </c>
      <c r="I119" t="s">
        <v>78</v>
      </c>
      <c r="J119">
        <v>7</v>
      </c>
      <c r="K119">
        <f t="shared" ref="K119:K143" si="49">E119+J119</f>
        <v>2005</v>
      </c>
      <c r="N119">
        <v>43902</v>
      </c>
      <c r="P119">
        <f t="shared" ref="P119:P143" si="50">N119-N119*G119</f>
        <v>35121.599999999999</v>
      </c>
      <c r="Q119">
        <f t="shared" ref="Q119:Q143" si="51">P119/J119/12</f>
        <v>418.1142857142857</v>
      </c>
      <c r="R119">
        <f t="shared" ref="R119:R143" si="52">IF(O119&gt;0,0,IF(OR(AD119&gt;AE119,AF119&lt;AG119),0,IF(AND(AF119&gt;=AG119,AF119&lt;=AE119),Q119*((AF119-AG119)*12),IF(AND(AG119&lt;=AD119,AE119&gt;=AD119),((AE119-AD119)*12)*Q119,IF(AF119&gt;AE119,12*Q119,0)))))</f>
        <v>0</v>
      </c>
      <c r="S119">
        <f t="shared" ref="S119:S143" si="53">IF(O119=0,0,IF(AND(AH119&gt;=AG119,AH119&lt;=AF119),((AH119-AG119)*12)*Q119,0))</f>
        <v>0</v>
      </c>
      <c r="T119">
        <f t="shared" ref="T119:T143" si="54">IF(S119&gt;0,S119,R119)</f>
        <v>0</v>
      </c>
      <c r="U119">
        <v>1</v>
      </c>
      <c r="V119">
        <f t="shared" ref="V119:V143" si="55">U119*SUM(R119:S119)</f>
        <v>0</v>
      </c>
      <c r="X119">
        <f t="shared" ref="X119:X143" si="56">IF(AD119&gt;AE119,0,IF(AF119&lt;AG119,P119,IF(AND(AF119&gt;=AG119,AF119&lt;=AE119),(P119-T119),IF(AND(AG119&lt;=AD119,AE119&gt;=AD119),0,IF(AF119&gt;AE119,((AG119-AD119)*12)*Q119,0)))))</f>
        <v>35121.599999999999</v>
      </c>
      <c r="Y119">
        <f t="shared" ref="Y119:Y143" si="57">X119*U119</f>
        <v>35121.599999999999</v>
      </c>
      <c r="Z119">
        <v>1</v>
      </c>
      <c r="AA119">
        <f t="shared" ref="AA119:AA143" si="58">Y119*Z119</f>
        <v>35121.599999999999</v>
      </c>
      <c r="AB119">
        <f t="shared" ref="AB119:AB143" si="59">IF(O119&gt;0,0,AA119+V119*Z119)*Z119</f>
        <v>35121.599999999999</v>
      </c>
      <c r="AC119">
        <f t="shared" ref="AC119:AC143" si="60">IF(O119&gt;0,(N119-AA119)/2,IF(AD119&gt;=AG119,(((N119*U119)*Z119)-AB119)/2,((((N119*U119)*Z119)-AA119)+(((N119*U119)*Z119)-AB119))/2))</f>
        <v>8780.4000000000015</v>
      </c>
      <c r="AD119">
        <f t="shared" ref="AD119:AD143" si="61">$E119+(($F119-1)/12)</f>
        <v>1998</v>
      </c>
      <c r="AE119">
        <f t="shared" ref="AE119:AE143" si="62">($P$5+1)-($P$2/12)</f>
        <v>2018.0833333333333</v>
      </c>
      <c r="AF119">
        <f t="shared" ref="AF119:AF143" si="63">$K119+(($F119-1)/12)</f>
        <v>2005</v>
      </c>
      <c r="AG119">
        <f t="shared" ref="AG119:AG143" si="64">$P$4+($P$3/12)</f>
        <v>2017.0833333333333</v>
      </c>
      <c r="AH119">
        <f t="shared" ref="AH119:AH143" si="65">$L119+(($M119-1)/12)</f>
        <v>-8.3333333333333329E-2</v>
      </c>
      <c r="AJ119">
        <f>+IF((AF119-AG119)&gt;3,((N119-P119)/(AF119-AG119)),(N119-P119)/3)</f>
        <v>2926.8000000000006</v>
      </c>
      <c r="AL119">
        <f>+AJ119+V119</f>
        <v>2926.8000000000006</v>
      </c>
      <c r="AN119">
        <f>+IF(AF119&lt;AG119,-AC119,0)</f>
        <v>-8780.4000000000015</v>
      </c>
      <c r="AP119">
        <f>IF(AF119&gt;AG119,IF(AJ119&gt;0,IF(O119&gt;0,(N119-AA119)/2,IF(AD119&gt;=AG119,(((N119*U119)*Z119)-(AB119+AJ119))/2,((((N119*U119)*Z119)-AA119)+(((N119*U119)*Z119)-(AB119+AJ119)))/2)),0),0)</f>
        <v>0</v>
      </c>
      <c r="AR119">
        <f>+AC119+AN119+(IF(AP119&gt;0,(AP119-AC119),0))</f>
        <v>0</v>
      </c>
    </row>
    <row r="120" spans="1:44">
      <c r="A120" t="s">
        <v>290</v>
      </c>
      <c r="C120">
        <v>5035</v>
      </c>
      <c r="D120" t="s">
        <v>457</v>
      </c>
      <c r="E120">
        <v>1998</v>
      </c>
      <c r="F120">
        <v>12</v>
      </c>
      <c r="G120">
        <v>0.2</v>
      </c>
      <c r="I120" t="s">
        <v>78</v>
      </c>
      <c r="J120">
        <v>7</v>
      </c>
      <c r="K120">
        <f t="shared" si="49"/>
        <v>2005</v>
      </c>
      <c r="N120">
        <v>43902</v>
      </c>
      <c r="P120">
        <f t="shared" si="50"/>
        <v>35121.599999999999</v>
      </c>
      <c r="Q120">
        <f t="shared" si="51"/>
        <v>418.1142857142857</v>
      </c>
      <c r="R120">
        <f t="shared" si="52"/>
        <v>0</v>
      </c>
      <c r="S120">
        <f t="shared" si="53"/>
        <v>0</v>
      </c>
      <c r="T120">
        <f t="shared" si="54"/>
        <v>0</v>
      </c>
      <c r="U120">
        <v>1</v>
      </c>
      <c r="V120">
        <f t="shared" si="55"/>
        <v>0</v>
      </c>
      <c r="X120">
        <f t="shared" si="56"/>
        <v>35121.599999999999</v>
      </c>
      <c r="Y120">
        <f t="shared" si="57"/>
        <v>35121.599999999999</v>
      </c>
      <c r="Z120">
        <v>1</v>
      </c>
      <c r="AA120">
        <f t="shared" si="58"/>
        <v>35121.599999999999</v>
      </c>
      <c r="AB120">
        <f t="shared" si="59"/>
        <v>35121.599999999999</v>
      </c>
      <c r="AC120">
        <f t="shared" si="60"/>
        <v>8780.4000000000015</v>
      </c>
      <c r="AD120">
        <f t="shared" si="61"/>
        <v>1998.9166666666667</v>
      </c>
      <c r="AE120">
        <f t="shared" si="62"/>
        <v>2018.0833333333333</v>
      </c>
      <c r="AF120">
        <f t="shared" si="63"/>
        <v>2005.9166666666667</v>
      </c>
      <c r="AG120">
        <f t="shared" si="64"/>
        <v>2017.0833333333333</v>
      </c>
      <c r="AH120">
        <f t="shared" si="65"/>
        <v>-8.3333333333333329E-2</v>
      </c>
      <c r="AJ120">
        <f t="shared" ref="AJ120:AJ143" si="66">+IF((AF120-AG120)&gt;3,((N120-P120)/(AF120-AG120)),(N120-P120)/3)</f>
        <v>2926.8000000000006</v>
      </c>
      <c r="AL120">
        <f t="shared" ref="AL120:AL143" si="67">+AJ120+V120</f>
        <v>2926.8000000000006</v>
      </c>
      <c r="AN120">
        <f t="shared" ref="AN120:AN143" si="68">+IF(AF120&lt;AG120,-AC120,0)</f>
        <v>-8780.4000000000015</v>
      </c>
      <c r="AP120">
        <f t="shared" ref="AP120:AP143" si="69">IF(AF120&gt;AG120,IF(AJ120&gt;0,IF(O120&gt;0,(N120-AA120)/2,IF(AD120&gt;=AG120,(((N120*U120)*Z120)-(AB120+AJ120))/2,((((N120*U120)*Z120)-AA120)+(((N120*U120)*Z120)-(AB120+AJ120)))/2)),0),0)</f>
        <v>0</v>
      </c>
      <c r="AR120">
        <f t="shared" ref="AR120:AR143" si="70">+AC120+AN120+(IF(AP120&gt;0,(AP120-AC120),0))</f>
        <v>0</v>
      </c>
    </row>
    <row r="121" spans="1:44">
      <c r="A121" t="s">
        <v>290</v>
      </c>
      <c r="C121">
        <v>5035</v>
      </c>
      <c r="D121" t="s">
        <v>305</v>
      </c>
      <c r="E121">
        <v>1999</v>
      </c>
      <c r="F121">
        <v>8</v>
      </c>
      <c r="G121">
        <v>0.2</v>
      </c>
      <c r="I121" t="s">
        <v>78</v>
      </c>
      <c r="J121">
        <v>7</v>
      </c>
      <c r="K121">
        <f t="shared" si="49"/>
        <v>2006</v>
      </c>
      <c r="N121">
        <v>21720</v>
      </c>
      <c r="P121">
        <f t="shared" si="50"/>
        <v>17376</v>
      </c>
      <c r="Q121">
        <f t="shared" si="51"/>
        <v>206.85714285714286</v>
      </c>
      <c r="R121">
        <f t="shared" si="52"/>
        <v>0</v>
      </c>
      <c r="S121">
        <f t="shared" si="53"/>
        <v>0</v>
      </c>
      <c r="T121">
        <f t="shared" si="54"/>
        <v>0</v>
      </c>
      <c r="U121">
        <v>1</v>
      </c>
      <c r="V121">
        <f t="shared" si="55"/>
        <v>0</v>
      </c>
      <c r="X121">
        <f t="shared" si="56"/>
        <v>17376</v>
      </c>
      <c r="Y121">
        <f t="shared" si="57"/>
        <v>17376</v>
      </c>
      <c r="Z121">
        <v>1</v>
      </c>
      <c r="AA121">
        <f t="shared" si="58"/>
        <v>17376</v>
      </c>
      <c r="AB121">
        <f t="shared" si="59"/>
        <v>17376</v>
      </c>
      <c r="AC121">
        <f t="shared" si="60"/>
        <v>4344</v>
      </c>
      <c r="AD121">
        <f t="shared" si="61"/>
        <v>1999.5833333333333</v>
      </c>
      <c r="AE121">
        <f t="shared" si="62"/>
        <v>2018.0833333333333</v>
      </c>
      <c r="AF121">
        <f t="shared" si="63"/>
        <v>2006.5833333333333</v>
      </c>
      <c r="AG121">
        <f t="shared" si="64"/>
        <v>2017.0833333333333</v>
      </c>
      <c r="AH121">
        <f t="shared" si="65"/>
        <v>-8.3333333333333329E-2</v>
      </c>
      <c r="AJ121">
        <f t="shared" si="66"/>
        <v>1448</v>
      </c>
      <c r="AL121">
        <f t="shared" si="67"/>
        <v>1448</v>
      </c>
      <c r="AN121">
        <f t="shared" si="68"/>
        <v>-4344</v>
      </c>
      <c r="AP121">
        <f t="shared" si="69"/>
        <v>0</v>
      </c>
      <c r="AR121">
        <f t="shared" si="70"/>
        <v>0</v>
      </c>
    </row>
    <row r="122" spans="1:44">
      <c r="A122" t="s">
        <v>290</v>
      </c>
      <c r="C122">
        <v>5036</v>
      </c>
      <c r="D122" t="s">
        <v>451</v>
      </c>
      <c r="E122">
        <v>1999</v>
      </c>
      <c r="F122">
        <v>10</v>
      </c>
      <c r="G122">
        <v>0.2</v>
      </c>
      <c r="I122" t="s">
        <v>78</v>
      </c>
      <c r="J122">
        <v>7</v>
      </c>
      <c r="K122">
        <f t="shared" si="49"/>
        <v>2006</v>
      </c>
      <c r="N122">
        <v>21680</v>
      </c>
      <c r="P122">
        <f t="shared" si="50"/>
        <v>17344</v>
      </c>
      <c r="Q122">
        <f t="shared" si="51"/>
        <v>206.47619047619048</v>
      </c>
      <c r="R122">
        <f t="shared" si="52"/>
        <v>0</v>
      </c>
      <c r="S122">
        <f t="shared" si="53"/>
        <v>0</v>
      </c>
      <c r="T122">
        <f t="shared" si="54"/>
        <v>0</v>
      </c>
      <c r="U122">
        <v>1</v>
      </c>
      <c r="V122">
        <f t="shared" si="55"/>
        <v>0</v>
      </c>
      <c r="X122">
        <f t="shared" si="56"/>
        <v>17344</v>
      </c>
      <c r="Y122">
        <f t="shared" si="57"/>
        <v>17344</v>
      </c>
      <c r="Z122">
        <v>1</v>
      </c>
      <c r="AA122">
        <f t="shared" si="58"/>
        <v>17344</v>
      </c>
      <c r="AB122">
        <f t="shared" si="59"/>
        <v>17344</v>
      </c>
      <c r="AC122">
        <f t="shared" si="60"/>
        <v>4336</v>
      </c>
      <c r="AD122">
        <f t="shared" si="61"/>
        <v>1999.75</v>
      </c>
      <c r="AE122">
        <f t="shared" si="62"/>
        <v>2018.0833333333333</v>
      </c>
      <c r="AF122">
        <f t="shared" si="63"/>
        <v>2006.75</v>
      </c>
      <c r="AG122">
        <f t="shared" si="64"/>
        <v>2017.0833333333333</v>
      </c>
      <c r="AH122">
        <f t="shared" si="65"/>
        <v>-8.3333333333333329E-2</v>
      </c>
      <c r="AJ122">
        <f t="shared" si="66"/>
        <v>1445.3333333333333</v>
      </c>
      <c r="AL122">
        <f t="shared" si="67"/>
        <v>1445.3333333333333</v>
      </c>
      <c r="AN122">
        <f t="shared" si="68"/>
        <v>-4336</v>
      </c>
      <c r="AP122">
        <f t="shared" si="69"/>
        <v>0</v>
      </c>
      <c r="AR122">
        <f t="shared" si="70"/>
        <v>0</v>
      </c>
    </row>
    <row r="123" spans="1:44">
      <c r="A123" t="s">
        <v>288</v>
      </c>
      <c r="C123">
        <v>5041</v>
      </c>
      <c r="D123" t="s">
        <v>333</v>
      </c>
      <c r="E123">
        <v>2001</v>
      </c>
      <c r="F123">
        <v>11</v>
      </c>
      <c r="G123">
        <v>0.2</v>
      </c>
      <c r="I123" t="s">
        <v>78</v>
      </c>
      <c r="J123">
        <v>7</v>
      </c>
      <c r="K123">
        <f t="shared" si="49"/>
        <v>2008</v>
      </c>
      <c r="N123">
        <v>63164.77</v>
      </c>
      <c r="P123">
        <f t="shared" si="50"/>
        <v>50531.815999999999</v>
      </c>
      <c r="Q123">
        <f t="shared" si="51"/>
        <v>601.56923809523812</v>
      </c>
      <c r="R123">
        <f t="shared" si="52"/>
        <v>0</v>
      </c>
      <c r="S123">
        <f t="shared" si="53"/>
        <v>0</v>
      </c>
      <c r="T123">
        <f t="shared" si="54"/>
        <v>0</v>
      </c>
      <c r="U123">
        <v>1</v>
      </c>
      <c r="V123">
        <f t="shared" si="55"/>
        <v>0</v>
      </c>
      <c r="X123">
        <f t="shared" si="56"/>
        <v>50531.815999999999</v>
      </c>
      <c r="Y123">
        <f t="shared" si="57"/>
        <v>50531.815999999999</v>
      </c>
      <c r="Z123">
        <v>1</v>
      </c>
      <c r="AA123">
        <f t="shared" si="58"/>
        <v>50531.815999999999</v>
      </c>
      <c r="AB123">
        <f t="shared" si="59"/>
        <v>50531.815999999999</v>
      </c>
      <c r="AC123">
        <f t="shared" si="60"/>
        <v>12632.953999999998</v>
      </c>
      <c r="AD123">
        <f t="shared" si="61"/>
        <v>2001.8333333333333</v>
      </c>
      <c r="AE123">
        <f t="shared" si="62"/>
        <v>2018.0833333333333</v>
      </c>
      <c r="AF123">
        <f t="shared" si="63"/>
        <v>2008.8333333333333</v>
      </c>
      <c r="AG123">
        <f t="shared" si="64"/>
        <v>2017.0833333333333</v>
      </c>
      <c r="AH123">
        <f t="shared" si="65"/>
        <v>-8.3333333333333329E-2</v>
      </c>
      <c r="AJ123">
        <f t="shared" si="66"/>
        <v>4210.9846666666663</v>
      </c>
      <c r="AL123">
        <f t="shared" si="67"/>
        <v>4210.9846666666663</v>
      </c>
      <c r="AN123">
        <f t="shared" si="68"/>
        <v>-12632.953999999998</v>
      </c>
      <c r="AP123">
        <f t="shared" si="69"/>
        <v>0</v>
      </c>
      <c r="AR123">
        <f t="shared" si="70"/>
        <v>0</v>
      </c>
    </row>
    <row r="124" spans="1:44">
      <c r="A124" t="s">
        <v>292</v>
      </c>
      <c r="C124">
        <v>5042</v>
      </c>
      <c r="D124" t="s">
        <v>452</v>
      </c>
      <c r="E124">
        <v>2002</v>
      </c>
      <c r="F124">
        <v>6</v>
      </c>
      <c r="G124">
        <v>0.2</v>
      </c>
      <c r="I124" t="s">
        <v>78</v>
      </c>
      <c r="J124">
        <v>7</v>
      </c>
      <c r="K124">
        <f t="shared" si="49"/>
        <v>2009</v>
      </c>
      <c r="N124">
        <v>75792.84</v>
      </c>
      <c r="P124">
        <f t="shared" si="50"/>
        <v>60634.271999999997</v>
      </c>
      <c r="Q124">
        <f t="shared" si="51"/>
        <v>721.83657142857146</v>
      </c>
      <c r="R124">
        <f t="shared" si="52"/>
        <v>0</v>
      </c>
      <c r="S124">
        <f t="shared" si="53"/>
        <v>0</v>
      </c>
      <c r="T124">
        <f t="shared" si="54"/>
        <v>0</v>
      </c>
      <c r="U124">
        <v>1</v>
      </c>
      <c r="V124">
        <f t="shared" si="55"/>
        <v>0</v>
      </c>
      <c r="X124">
        <f t="shared" si="56"/>
        <v>60634.271999999997</v>
      </c>
      <c r="Y124">
        <f t="shared" si="57"/>
        <v>60634.271999999997</v>
      </c>
      <c r="Z124">
        <v>1</v>
      </c>
      <c r="AA124">
        <f t="shared" si="58"/>
        <v>60634.271999999997</v>
      </c>
      <c r="AB124">
        <f t="shared" si="59"/>
        <v>60634.271999999997</v>
      </c>
      <c r="AC124">
        <f t="shared" si="60"/>
        <v>15158.567999999999</v>
      </c>
      <c r="AD124">
        <f t="shared" si="61"/>
        <v>2002.4166666666667</v>
      </c>
      <c r="AE124">
        <f t="shared" si="62"/>
        <v>2018.0833333333333</v>
      </c>
      <c r="AF124">
        <f t="shared" si="63"/>
        <v>2009.4166666666667</v>
      </c>
      <c r="AG124">
        <f t="shared" si="64"/>
        <v>2017.0833333333333</v>
      </c>
      <c r="AH124">
        <f t="shared" si="65"/>
        <v>-8.3333333333333329E-2</v>
      </c>
      <c r="AJ124">
        <f t="shared" si="66"/>
        <v>5052.8559999999998</v>
      </c>
      <c r="AL124">
        <f t="shared" si="67"/>
        <v>5052.8559999999998</v>
      </c>
      <c r="AN124">
        <f t="shared" si="68"/>
        <v>-15158.567999999999</v>
      </c>
      <c r="AP124">
        <f t="shared" si="69"/>
        <v>0</v>
      </c>
      <c r="AR124">
        <f t="shared" si="70"/>
        <v>0</v>
      </c>
    </row>
    <row r="125" spans="1:44">
      <c r="A125" t="s">
        <v>292</v>
      </c>
      <c r="C125">
        <v>5043</v>
      </c>
      <c r="D125" t="s">
        <v>452</v>
      </c>
      <c r="E125">
        <v>2002</v>
      </c>
      <c r="F125">
        <v>6</v>
      </c>
      <c r="G125">
        <v>0.2</v>
      </c>
      <c r="I125" t="s">
        <v>78</v>
      </c>
      <c r="J125">
        <v>7</v>
      </c>
      <c r="K125">
        <f t="shared" si="49"/>
        <v>2009</v>
      </c>
      <c r="N125">
        <v>74182.33</v>
      </c>
      <c r="P125">
        <f t="shared" si="50"/>
        <v>59345.864000000001</v>
      </c>
      <c r="Q125">
        <f t="shared" si="51"/>
        <v>706.49838095238101</v>
      </c>
      <c r="R125">
        <f t="shared" si="52"/>
        <v>0</v>
      </c>
      <c r="S125">
        <f t="shared" si="53"/>
        <v>0</v>
      </c>
      <c r="T125">
        <f t="shared" si="54"/>
        <v>0</v>
      </c>
      <c r="U125">
        <v>1</v>
      </c>
      <c r="V125">
        <f t="shared" si="55"/>
        <v>0</v>
      </c>
      <c r="X125">
        <f t="shared" si="56"/>
        <v>59345.864000000001</v>
      </c>
      <c r="Y125">
        <f t="shared" si="57"/>
        <v>59345.864000000001</v>
      </c>
      <c r="Z125">
        <v>1</v>
      </c>
      <c r="AA125">
        <f t="shared" si="58"/>
        <v>59345.864000000001</v>
      </c>
      <c r="AB125">
        <f t="shared" si="59"/>
        <v>59345.864000000001</v>
      </c>
      <c r="AC125">
        <f t="shared" si="60"/>
        <v>14836.466</v>
      </c>
      <c r="AD125">
        <f t="shared" si="61"/>
        <v>2002.4166666666667</v>
      </c>
      <c r="AE125">
        <f t="shared" si="62"/>
        <v>2018.0833333333333</v>
      </c>
      <c r="AF125">
        <f t="shared" si="63"/>
        <v>2009.4166666666667</v>
      </c>
      <c r="AG125">
        <f t="shared" si="64"/>
        <v>2017.0833333333333</v>
      </c>
      <c r="AH125">
        <f t="shared" si="65"/>
        <v>-8.3333333333333329E-2</v>
      </c>
      <c r="AJ125">
        <f t="shared" si="66"/>
        <v>4945.4886666666671</v>
      </c>
      <c r="AL125">
        <f t="shared" si="67"/>
        <v>4945.4886666666671</v>
      </c>
      <c r="AN125">
        <f t="shared" si="68"/>
        <v>-14836.466</v>
      </c>
      <c r="AP125">
        <f t="shared" si="69"/>
        <v>0</v>
      </c>
      <c r="AR125">
        <f t="shared" si="70"/>
        <v>0</v>
      </c>
    </row>
    <row r="126" spans="1:44">
      <c r="A126" t="s">
        <v>292</v>
      </c>
      <c r="C126">
        <v>5045</v>
      </c>
      <c r="D126" t="s">
        <v>452</v>
      </c>
      <c r="E126">
        <v>2002</v>
      </c>
      <c r="F126">
        <v>6</v>
      </c>
      <c r="G126">
        <v>0.2</v>
      </c>
      <c r="I126" t="s">
        <v>78</v>
      </c>
      <c r="J126">
        <v>7</v>
      </c>
      <c r="K126">
        <f t="shared" si="49"/>
        <v>2009</v>
      </c>
      <c r="N126">
        <v>75139.73</v>
      </c>
      <c r="P126">
        <f t="shared" si="50"/>
        <v>60111.784</v>
      </c>
      <c r="Q126">
        <f t="shared" si="51"/>
        <v>715.61647619047619</v>
      </c>
      <c r="R126">
        <f t="shared" si="52"/>
        <v>0</v>
      </c>
      <c r="S126">
        <f t="shared" si="53"/>
        <v>0</v>
      </c>
      <c r="T126">
        <f t="shared" si="54"/>
        <v>0</v>
      </c>
      <c r="U126">
        <v>1</v>
      </c>
      <c r="V126">
        <f t="shared" si="55"/>
        <v>0</v>
      </c>
      <c r="X126">
        <f t="shared" si="56"/>
        <v>60111.784</v>
      </c>
      <c r="Y126">
        <f t="shared" si="57"/>
        <v>60111.784</v>
      </c>
      <c r="Z126">
        <v>1</v>
      </c>
      <c r="AA126">
        <f t="shared" si="58"/>
        <v>60111.784</v>
      </c>
      <c r="AB126">
        <f t="shared" si="59"/>
        <v>60111.784</v>
      </c>
      <c r="AC126">
        <f t="shared" si="60"/>
        <v>15027.945999999996</v>
      </c>
      <c r="AD126">
        <f t="shared" si="61"/>
        <v>2002.4166666666667</v>
      </c>
      <c r="AE126">
        <f t="shared" si="62"/>
        <v>2018.0833333333333</v>
      </c>
      <c r="AF126">
        <f t="shared" si="63"/>
        <v>2009.4166666666667</v>
      </c>
      <c r="AG126">
        <f t="shared" si="64"/>
        <v>2017.0833333333333</v>
      </c>
      <c r="AH126">
        <f t="shared" si="65"/>
        <v>-8.3333333333333329E-2</v>
      </c>
      <c r="AJ126">
        <f t="shared" si="66"/>
        <v>5009.3153333333321</v>
      </c>
      <c r="AL126">
        <f t="shared" si="67"/>
        <v>5009.3153333333321</v>
      </c>
      <c r="AN126">
        <f t="shared" si="68"/>
        <v>-15027.945999999996</v>
      </c>
      <c r="AP126">
        <f t="shared" si="69"/>
        <v>0</v>
      </c>
      <c r="AR126">
        <f t="shared" si="70"/>
        <v>0</v>
      </c>
    </row>
    <row r="127" spans="1:44">
      <c r="A127" t="s">
        <v>284</v>
      </c>
      <c r="C127">
        <v>3598</v>
      </c>
      <c r="D127" t="s">
        <v>161</v>
      </c>
      <c r="E127">
        <v>2007</v>
      </c>
      <c r="F127">
        <v>3</v>
      </c>
      <c r="G127">
        <v>0.2</v>
      </c>
      <c r="I127" t="s">
        <v>78</v>
      </c>
      <c r="J127">
        <v>7</v>
      </c>
      <c r="K127">
        <f t="shared" si="49"/>
        <v>2014</v>
      </c>
      <c r="N127">
        <v>194705.04</v>
      </c>
      <c r="P127">
        <f t="shared" si="50"/>
        <v>155764.03200000001</v>
      </c>
      <c r="Q127">
        <f t="shared" si="51"/>
        <v>1854.3337142857144</v>
      </c>
      <c r="R127">
        <f t="shared" si="52"/>
        <v>0</v>
      </c>
      <c r="S127">
        <f t="shared" si="53"/>
        <v>0</v>
      </c>
      <c r="T127">
        <f t="shared" si="54"/>
        <v>0</v>
      </c>
      <c r="U127">
        <v>1</v>
      </c>
      <c r="V127">
        <f t="shared" si="55"/>
        <v>0</v>
      </c>
      <c r="X127">
        <f t="shared" si="56"/>
        <v>155764.03200000001</v>
      </c>
      <c r="Y127">
        <f t="shared" si="57"/>
        <v>155764.03200000001</v>
      </c>
      <c r="Z127">
        <v>1</v>
      </c>
      <c r="AA127">
        <f t="shared" si="58"/>
        <v>155764.03200000001</v>
      </c>
      <c r="AB127">
        <f t="shared" si="59"/>
        <v>155764.03200000001</v>
      </c>
      <c r="AC127">
        <f t="shared" si="60"/>
        <v>38941.008000000002</v>
      </c>
      <c r="AD127">
        <f t="shared" si="61"/>
        <v>2007.1666666666667</v>
      </c>
      <c r="AE127">
        <f t="shared" si="62"/>
        <v>2018.0833333333333</v>
      </c>
      <c r="AF127">
        <f t="shared" si="63"/>
        <v>2014.1666666666667</v>
      </c>
      <c r="AG127">
        <f t="shared" si="64"/>
        <v>2017.0833333333333</v>
      </c>
      <c r="AH127">
        <f t="shared" si="65"/>
        <v>-8.3333333333333329E-2</v>
      </c>
      <c r="AJ127">
        <f t="shared" si="66"/>
        <v>12980.336000000001</v>
      </c>
      <c r="AL127">
        <f t="shared" si="67"/>
        <v>12980.336000000001</v>
      </c>
      <c r="AN127">
        <f t="shared" si="68"/>
        <v>-38941.008000000002</v>
      </c>
      <c r="AP127">
        <f t="shared" si="69"/>
        <v>0</v>
      </c>
      <c r="AR127">
        <f t="shared" si="70"/>
        <v>0</v>
      </c>
    </row>
    <row r="128" spans="1:44">
      <c r="A128" t="s">
        <v>284</v>
      </c>
      <c r="C128">
        <v>3599</v>
      </c>
      <c r="D128" t="s">
        <v>161</v>
      </c>
      <c r="E128">
        <v>2007</v>
      </c>
      <c r="F128">
        <v>3</v>
      </c>
      <c r="G128">
        <v>0.2</v>
      </c>
      <c r="I128" t="s">
        <v>78</v>
      </c>
      <c r="J128">
        <v>7</v>
      </c>
      <c r="K128">
        <f t="shared" si="49"/>
        <v>2014</v>
      </c>
      <c r="N128">
        <v>195238.16</v>
      </c>
      <c r="P128">
        <f t="shared" si="50"/>
        <v>156190.52799999999</v>
      </c>
      <c r="Q128">
        <f t="shared" si="51"/>
        <v>1859.4110476190474</v>
      </c>
      <c r="R128">
        <f t="shared" si="52"/>
        <v>0</v>
      </c>
      <c r="S128">
        <f t="shared" si="53"/>
        <v>0</v>
      </c>
      <c r="T128">
        <f t="shared" si="54"/>
        <v>0</v>
      </c>
      <c r="U128">
        <v>1</v>
      </c>
      <c r="V128">
        <f t="shared" si="55"/>
        <v>0</v>
      </c>
      <c r="X128">
        <f t="shared" si="56"/>
        <v>156190.52799999999</v>
      </c>
      <c r="Y128">
        <f t="shared" si="57"/>
        <v>156190.52799999999</v>
      </c>
      <c r="Z128">
        <v>1</v>
      </c>
      <c r="AA128">
        <f t="shared" si="58"/>
        <v>156190.52799999999</v>
      </c>
      <c r="AB128">
        <f t="shared" si="59"/>
        <v>156190.52799999999</v>
      </c>
      <c r="AC128">
        <f t="shared" si="60"/>
        <v>39047.632000000012</v>
      </c>
      <c r="AD128">
        <f t="shared" si="61"/>
        <v>2007.1666666666667</v>
      </c>
      <c r="AE128">
        <f t="shared" si="62"/>
        <v>2018.0833333333333</v>
      </c>
      <c r="AF128">
        <f t="shared" si="63"/>
        <v>2014.1666666666667</v>
      </c>
      <c r="AG128">
        <f t="shared" si="64"/>
        <v>2017.0833333333333</v>
      </c>
      <c r="AH128">
        <f t="shared" si="65"/>
        <v>-8.3333333333333329E-2</v>
      </c>
      <c r="AJ128">
        <f t="shared" si="66"/>
        <v>13015.877333333337</v>
      </c>
      <c r="AL128">
        <f t="shared" si="67"/>
        <v>13015.877333333337</v>
      </c>
      <c r="AN128">
        <f t="shared" si="68"/>
        <v>-39047.632000000012</v>
      </c>
      <c r="AP128">
        <f t="shared" si="69"/>
        <v>0</v>
      </c>
      <c r="AR128">
        <f t="shared" si="70"/>
        <v>0</v>
      </c>
    </row>
    <row r="129" spans="1:44">
      <c r="A129" t="s">
        <v>284</v>
      </c>
      <c r="C129">
        <v>3600</v>
      </c>
      <c r="D129" t="s">
        <v>161</v>
      </c>
      <c r="E129">
        <v>2007</v>
      </c>
      <c r="F129">
        <v>3</v>
      </c>
      <c r="G129">
        <v>0.2</v>
      </c>
      <c r="I129" t="s">
        <v>78</v>
      </c>
      <c r="J129">
        <v>7</v>
      </c>
      <c r="K129">
        <f t="shared" si="49"/>
        <v>2014</v>
      </c>
      <c r="N129">
        <v>194705.04</v>
      </c>
      <c r="P129">
        <f t="shared" si="50"/>
        <v>155764.03200000001</v>
      </c>
      <c r="Q129">
        <f t="shared" si="51"/>
        <v>1854.3337142857144</v>
      </c>
      <c r="R129">
        <f t="shared" si="52"/>
        <v>0</v>
      </c>
      <c r="S129">
        <f t="shared" si="53"/>
        <v>0</v>
      </c>
      <c r="T129">
        <f t="shared" si="54"/>
        <v>0</v>
      </c>
      <c r="U129">
        <v>1</v>
      </c>
      <c r="V129">
        <f t="shared" si="55"/>
        <v>0</v>
      </c>
      <c r="X129">
        <f t="shared" si="56"/>
        <v>155764.03200000001</v>
      </c>
      <c r="Y129">
        <f t="shared" si="57"/>
        <v>155764.03200000001</v>
      </c>
      <c r="Z129">
        <v>1</v>
      </c>
      <c r="AA129">
        <f t="shared" si="58"/>
        <v>155764.03200000001</v>
      </c>
      <c r="AB129">
        <f t="shared" si="59"/>
        <v>155764.03200000001</v>
      </c>
      <c r="AC129">
        <f t="shared" si="60"/>
        <v>38941.008000000002</v>
      </c>
      <c r="AD129">
        <f t="shared" si="61"/>
        <v>2007.1666666666667</v>
      </c>
      <c r="AE129">
        <f t="shared" si="62"/>
        <v>2018.0833333333333</v>
      </c>
      <c r="AF129">
        <f t="shared" si="63"/>
        <v>2014.1666666666667</v>
      </c>
      <c r="AG129">
        <f t="shared" si="64"/>
        <v>2017.0833333333333</v>
      </c>
      <c r="AH129">
        <f t="shared" si="65"/>
        <v>-8.3333333333333329E-2</v>
      </c>
      <c r="AJ129">
        <f t="shared" si="66"/>
        <v>12980.336000000001</v>
      </c>
      <c r="AL129">
        <f t="shared" si="67"/>
        <v>12980.336000000001</v>
      </c>
      <c r="AN129">
        <f t="shared" si="68"/>
        <v>-38941.008000000002</v>
      </c>
      <c r="AP129">
        <f t="shared" si="69"/>
        <v>0</v>
      </c>
      <c r="AR129">
        <f t="shared" si="70"/>
        <v>0</v>
      </c>
    </row>
    <row r="130" spans="1:44">
      <c r="A130" t="s">
        <v>284</v>
      </c>
      <c r="C130">
        <v>3601</v>
      </c>
      <c r="D130" t="s">
        <v>161</v>
      </c>
      <c r="E130">
        <v>2007</v>
      </c>
      <c r="F130">
        <v>3</v>
      </c>
      <c r="G130">
        <v>0.2</v>
      </c>
      <c r="I130" t="s">
        <v>78</v>
      </c>
      <c r="J130">
        <v>7</v>
      </c>
      <c r="K130">
        <f t="shared" si="49"/>
        <v>2014</v>
      </c>
      <c r="N130">
        <v>194705.04</v>
      </c>
      <c r="P130">
        <f t="shared" si="50"/>
        <v>155764.03200000001</v>
      </c>
      <c r="Q130">
        <f t="shared" si="51"/>
        <v>1854.3337142857144</v>
      </c>
      <c r="R130">
        <f t="shared" si="52"/>
        <v>0</v>
      </c>
      <c r="S130">
        <f t="shared" si="53"/>
        <v>0</v>
      </c>
      <c r="T130">
        <f t="shared" si="54"/>
        <v>0</v>
      </c>
      <c r="U130">
        <v>1</v>
      </c>
      <c r="V130">
        <f t="shared" si="55"/>
        <v>0</v>
      </c>
      <c r="X130">
        <f t="shared" si="56"/>
        <v>155764.03200000001</v>
      </c>
      <c r="Y130">
        <f t="shared" si="57"/>
        <v>155764.03200000001</v>
      </c>
      <c r="Z130">
        <v>1</v>
      </c>
      <c r="AA130">
        <f t="shared" si="58"/>
        <v>155764.03200000001</v>
      </c>
      <c r="AB130">
        <f t="shared" si="59"/>
        <v>155764.03200000001</v>
      </c>
      <c r="AC130">
        <f t="shared" si="60"/>
        <v>38941.008000000002</v>
      </c>
      <c r="AD130">
        <f t="shared" si="61"/>
        <v>2007.1666666666667</v>
      </c>
      <c r="AE130">
        <f t="shared" si="62"/>
        <v>2018.0833333333333</v>
      </c>
      <c r="AF130">
        <f t="shared" si="63"/>
        <v>2014.1666666666667</v>
      </c>
      <c r="AG130">
        <f t="shared" si="64"/>
        <v>2017.0833333333333</v>
      </c>
      <c r="AH130">
        <f t="shared" si="65"/>
        <v>-8.3333333333333329E-2</v>
      </c>
      <c r="AJ130">
        <f t="shared" si="66"/>
        <v>12980.336000000001</v>
      </c>
      <c r="AL130">
        <f t="shared" si="67"/>
        <v>12980.336000000001</v>
      </c>
      <c r="AN130">
        <f t="shared" si="68"/>
        <v>-38941.008000000002</v>
      </c>
      <c r="AP130">
        <f t="shared" si="69"/>
        <v>0</v>
      </c>
      <c r="AR130">
        <f t="shared" si="70"/>
        <v>0</v>
      </c>
    </row>
    <row r="131" spans="1:44">
      <c r="A131" t="s">
        <v>284</v>
      </c>
      <c r="C131">
        <v>3602</v>
      </c>
      <c r="D131" t="s">
        <v>161</v>
      </c>
      <c r="E131">
        <v>2007</v>
      </c>
      <c r="F131">
        <v>3</v>
      </c>
      <c r="G131">
        <v>0.2</v>
      </c>
      <c r="I131" t="s">
        <v>78</v>
      </c>
      <c r="J131">
        <v>7</v>
      </c>
      <c r="K131">
        <f t="shared" si="49"/>
        <v>2014</v>
      </c>
      <c r="N131">
        <v>194705.04</v>
      </c>
      <c r="P131">
        <f t="shared" si="50"/>
        <v>155764.03200000001</v>
      </c>
      <c r="Q131">
        <f t="shared" si="51"/>
        <v>1854.3337142857144</v>
      </c>
      <c r="R131">
        <f t="shared" si="52"/>
        <v>0</v>
      </c>
      <c r="S131">
        <f t="shared" si="53"/>
        <v>0</v>
      </c>
      <c r="T131">
        <f t="shared" si="54"/>
        <v>0</v>
      </c>
      <c r="U131">
        <v>1</v>
      </c>
      <c r="V131">
        <f t="shared" si="55"/>
        <v>0</v>
      </c>
      <c r="X131">
        <f t="shared" si="56"/>
        <v>155764.03200000001</v>
      </c>
      <c r="Y131">
        <f t="shared" si="57"/>
        <v>155764.03200000001</v>
      </c>
      <c r="Z131">
        <v>1</v>
      </c>
      <c r="AA131">
        <f t="shared" si="58"/>
        <v>155764.03200000001</v>
      </c>
      <c r="AB131">
        <f t="shared" si="59"/>
        <v>155764.03200000001</v>
      </c>
      <c r="AC131">
        <f t="shared" si="60"/>
        <v>38941.008000000002</v>
      </c>
      <c r="AD131">
        <f t="shared" si="61"/>
        <v>2007.1666666666667</v>
      </c>
      <c r="AE131">
        <f t="shared" si="62"/>
        <v>2018.0833333333333</v>
      </c>
      <c r="AF131">
        <f t="shared" si="63"/>
        <v>2014.1666666666667</v>
      </c>
      <c r="AG131">
        <f t="shared" si="64"/>
        <v>2017.0833333333333</v>
      </c>
      <c r="AH131">
        <f t="shared" si="65"/>
        <v>-8.3333333333333329E-2</v>
      </c>
      <c r="AJ131">
        <f t="shared" si="66"/>
        <v>12980.336000000001</v>
      </c>
      <c r="AL131">
        <f t="shared" si="67"/>
        <v>12980.336000000001</v>
      </c>
      <c r="AN131">
        <f t="shared" si="68"/>
        <v>-38941.008000000002</v>
      </c>
      <c r="AP131">
        <f t="shared" si="69"/>
        <v>0</v>
      </c>
      <c r="AR131">
        <f t="shared" si="70"/>
        <v>0</v>
      </c>
    </row>
    <row r="132" spans="1:44">
      <c r="A132" t="s">
        <v>284</v>
      </c>
      <c r="C132">
        <v>3604</v>
      </c>
      <c r="D132" t="s">
        <v>162</v>
      </c>
      <c r="E132">
        <v>2007</v>
      </c>
      <c r="F132">
        <v>4</v>
      </c>
      <c r="G132">
        <v>0.2</v>
      </c>
      <c r="I132" t="s">
        <v>78</v>
      </c>
      <c r="J132">
        <v>7</v>
      </c>
      <c r="K132">
        <f t="shared" si="49"/>
        <v>2014</v>
      </c>
      <c r="N132">
        <v>194705.04</v>
      </c>
      <c r="P132">
        <f t="shared" si="50"/>
        <v>155764.03200000001</v>
      </c>
      <c r="Q132">
        <f t="shared" si="51"/>
        <v>1854.3337142857144</v>
      </c>
      <c r="R132">
        <f t="shared" si="52"/>
        <v>0</v>
      </c>
      <c r="S132">
        <f t="shared" si="53"/>
        <v>0</v>
      </c>
      <c r="T132">
        <f t="shared" si="54"/>
        <v>0</v>
      </c>
      <c r="U132">
        <v>1</v>
      </c>
      <c r="V132">
        <f t="shared" si="55"/>
        <v>0</v>
      </c>
      <c r="X132">
        <f t="shared" si="56"/>
        <v>155764.03200000001</v>
      </c>
      <c r="Y132">
        <f t="shared" si="57"/>
        <v>155764.03200000001</v>
      </c>
      <c r="Z132">
        <v>1</v>
      </c>
      <c r="AA132">
        <f t="shared" si="58"/>
        <v>155764.03200000001</v>
      </c>
      <c r="AB132">
        <f t="shared" si="59"/>
        <v>155764.03200000001</v>
      </c>
      <c r="AC132">
        <f t="shared" si="60"/>
        <v>38941.008000000002</v>
      </c>
      <c r="AD132">
        <f t="shared" si="61"/>
        <v>2007.25</v>
      </c>
      <c r="AE132">
        <f t="shared" si="62"/>
        <v>2018.0833333333333</v>
      </c>
      <c r="AF132">
        <f t="shared" si="63"/>
        <v>2014.25</v>
      </c>
      <c r="AG132">
        <f t="shared" si="64"/>
        <v>2017.0833333333333</v>
      </c>
      <c r="AH132">
        <f t="shared" si="65"/>
        <v>-8.3333333333333329E-2</v>
      </c>
      <c r="AJ132">
        <f t="shared" si="66"/>
        <v>12980.336000000001</v>
      </c>
      <c r="AL132">
        <f t="shared" si="67"/>
        <v>12980.336000000001</v>
      </c>
      <c r="AN132">
        <f t="shared" si="68"/>
        <v>-38941.008000000002</v>
      </c>
      <c r="AP132">
        <f t="shared" si="69"/>
        <v>0</v>
      </c>
      <c r="AR132">
        <f t="shared" si="70"/>
        <v>0</v>
      </c>
    </row>
    <row r="133" spans="1:44">
      <c r="A133" t="s">
        <v>288</v>
      </c>
      <c r="C133">
        <v>5041</v>
      </c>
      <c r="D133" t="s">
        <v>323</v>
      </c>
      <c r="E133">
        <v>2007</v>
      </c>
      <c r="F133">
        <v>7</v>
      </c>
      <c r="G133">
        <v>0.33</v>
      </c>
      <c r="I133" t="s">
        <v>78</v>
      </c>
      <c r="J133">
        <v>5</v>
      </c>
      <c r="K133">
        <f>E133+J133</f>
        <v>2012</v>
      </c>
      <c r="N133">
        <v>11924</v>
      </c>
      <c r="P133">
        <f t="shared" si="50"/>
        <v>7989.08</v>
      </c>
      <c r="Q133">
        <f t="shared" si="51"/>
        <v>133.15133333333333</v>
      </c>
      <c r="R133">
        <f>IF(O133&gt;0,0,IF(OR(AD133&gt;AE133,AF133&lt;AG133),0,IF(AND(AF133&gt;=AG133,AF133&lt;=AE133),Q133*((AF133-AG133)*12),IF(AND(AG133&lt;=AD133,AE133&gt;=AD133),((AE133-AD133)*12)*Q133,IF(AF133&gt;AE133,12*Q133,0)))))</f>
        <v>0</v>
      </c>
      <c r="S133">
        <f>IF(O133=0,0,IF(AND(AH133&gt;=AG133,AH133&lt;=AF133),((AH133-AG133)*12)*Q133,0))</f>
        <v>0</v>
      </c>
      <c r="T133">
        <f>IF(S133&gt;0,S133,R133)</f>
        <v>0</v>
      </c>
      <c r="U133">
        <v>1</v>
      </c>
      <c r="V133">
        <f>U133*SUM(R133:S133)</f>
        <v>0</v>
      </c>
      <c r="X133">
        <f>IF(AD133&gt;AE133,0,IF(AF133&lt;AG133,P133,IF(AND(AF133&gt;=AG133,AF133&lt;=AE133),(P133-T133),IF(AND(AG133&lt;=AD133,AE133&gt;=AD133),0,IF(AF133&gt;AE133,((AG133-AD133)*12)*Q133,0)))))</f>
        <v>7989.08</v>
      </c>
      <c r="Y133">
        <f>X133*U133</f>
        <v>7989.08</v>
      </c>
      <c r="Z133">
        <v>1</v>
      </c>
      <c r="AA133">
        <f>Y133*Z133</f>
        <v>7989.08</v>
      </c>
      <c r="AB133">
        <f>IF(O133&gt;0,0,AA133+V133*Z133)*Z133</f>
        <v>7989.08</v>
      </c>
      <c r="AC133">
        <f>IF(O133&gt;0,(N133-AA133)/2,IF(AD133&gt;=AG133,(((N133*U133)*Z133)-AB133)/2,((((N133*U133)*Z133)-AA133)+(((N133*U133)*Z133)-AB133))/2))</f>
        <v>3934.92</v>
      </c>
      <c r="AD133">
        <f>$E133+(($F133-1)/12)</f>
        <v>2007.5</v>
      </c>
      <c r="AE133">
        <f t="shared" si="62"/>
        <v>2018.0833333333333</v>
      </c>
      <c r="AF133">
        <f>$K133+(($F133-1)/12)</f>
        <v>2012.5</v>
      </c>
      <c r="AG133">
        <f t="shared" si="64"/>
        <v>2017.0833333333333</v>
      </c>
      <c r="AH133">
        <f t="shared" si="65"/>
        <v>-8.3333333333333329E-2</v>
      </c>
      <c r="AJ133">
        <f t="shared" si="66"/>
        <v>1311.64</v>
      </c>
      <c r="AL133">
        <f t="shared" si="67"/>
        <v>1311.64</v>
      </c>
      <c r="AN133">
        <f t="shared" si="68"/>
        <v>-3934.92</v>
      </c>
      <c r="AP133">
        <f t="shared" si="69"/>
        <v>0</v>
      </c>
      <c r="AR133">
        <f t="shared" si="70"/>
        <v>0</v>
      </c>
    </row>
    <row r="134" spans="1:44">
      <c r="A134" t="s">
        <v>284</v>
      </c>
      <c r="C134">
        <v>3615</v>
      </c>
      <c r="D134" t="s">
        <v>162</v>
      </c>
      <c r="E134">
        <v>2007</v>
      </c>
      <c r="F134">
        <v>8</v>
      </c>
      <c r="G134">
        <v>0.2</v>
      </c>
      <c r="I134" t="s">
        <v>78</v>
      </c>
      <c r="J134">
        <v>7</v>
      </c>
      <c r="K134">
        <f t="shared" si="49"/>
        <v>2014</v>
      </c>
      <c r="N134">
        <v>194705.04</v>
      </c>
      <c r="P134">
        <f t="shared" si="50"/>
        <v>155764.03200000001</v>
      </c>
      <c r="Q134">
        <f t="shared" si="51"/>
        <v>1854.3337142857144</v>
      </c>
      <c r="R134">
        <f t="shared" si="52"/>
        <v>0</v>
      </c>
      <c r="S134">
        <f t="shared" si="53"/>
        <v>0</v>
      </c>
      <c r="T134">
        <f t="shared" si="54"/>
        <v>0</v>
      </c>
      <c r="U134">
        <v>1</v>
      </c>
      <c r="V134">
        <f t="shared" si="55"/>
        <v>0</v>
      </c>
      <c r="X134">
        <f t="shared" si="56"/>
        <v>155764.03200000001</v>
      </c>
      <c r="Y134">
        <f t="shared" si="57"/>
        <v>155764.03200000001</v>
      </c>
      <c r="Z134">
        <v>1</v>
      </c>
      <c r="AA134">
        <f t="shared" si="58"/>
        <v>155764.03200000001</v>
      </c>
      <c r="AB134">
        <f t="shared" si="59"/>
        <v>155764.03200000001</v>
      </c>
      <c r="AC134">
        <f t="shared" si="60"/>
        <v>38941.008000000002</v>
      </c>
      <c r="AD134">
        <f t="shared" si="61"/>
        <v>2007.5833333333333</v>
      </c>
      <c r="AE134">
        <f t="shared" si="62"/>
        <v>2018.0833333333333</v>
      </c>
      <c r="AF134">
        <f t="shared" si="63"/>
        <v>2014.5833333333333</v>
      </c>
      <c r="AG134">
        <f t="shared" si="64"/>
        <v>2017.0833333333333</v>
      </c>
      <c r="AH134">
        <f t="shared" si="65"/>
        <v>-8.3333333333333329E-2</v>
      </c>
      <c r="AJ134">
        <f t="shared" si="66"/>
        <v>12980.336000000001</v>
      </c>
      <c r="AL134">
        <f t="shared" si="67"/>
        <v>12980.336000000001</v>
      </c>
      <c r="AN134">
        <f t="shared" si="68"/>
        <v>-38941.008000000002</v>
      </c>
      <c r="AP134">
        <f t="shared" si="69"/>
        <v>0</v>
      </c>
      <c r="AR134">
        <f t="shared" si="70"/>
        <v>0</v>
      </c>
    </row>
    <row r="135" spans="1:44">
      <c r="A135" t="s">
        <v>292</v>
      </c>
      <c r="C135">
        <v>5042</v>
      </c>
      <c r="D135" t="s">
        <v>334</v>
      </c>
      <c r="E135">
        <v>2009</v>
      </c>
      <c r="F135">
        <v>5</v>
      </c>
      <c r="G135">
        <v>0</v>
      </c>
      <c r="I135" t="s">
        <v>78</v>
      </c>
      <c r="J135">
        <v>3</v>
      </c>
      <c r="K135">
        <f t="shared" si="49"/>
        <v>2012</v>
      </c>
      <c r="N135">
        <v>7094.74</v>
      </c>
      <c r="P135">
        <f t="shared" si="50"/>
        <v>7094.74</v>
      </c>
      <c r="Q135">
        <f t="shared" si="51"/>
        <v>197.07611111111112</v>
      </c>
      <c r="R135">
        <f t="shared" si="52"/>
        <v>0</v>
      </c>
      <c r="S135">
        <f t="shared" si="53"/>
        <v>0</v>
      </c>
      <c r="T135">
        <f t="shared" si="54"/>
        <v>0</v>
      </c>
      <c r="U135">
        <v>1</v>
      </c>
      <c r="V135">
        <f t="shared" si="55"/>
        <v>0</v>
      </c>
      <c r="X135">
        <f t="shared" si="56"/>
        <v>7094.74</v>
      </c>
      <c r="Y135">
        <f t="shared" si="57"/>
        <v>7094.74</v>
      </c>
      <c r="Z135">
        <v>1</v>
      </c>
      <c r="AA135">
        <f t="shared" si="58"/>
        <v>7094.74</v>
      </c>
      <c r="AB135">
        <f t="shared" si="59"/>
        <v>7094.74</v>
      </c>
      <c r="AC135">
        <f>IF(O135&gt;0,(N135-AA135)/2,IF(AD135&gt;=AG135,(((N135*U135)*Z135)-AB135)/2,((((N135*U135)*Z135)-AA135)+(((N135*U135)*Z135)-AB135))/2))</f>
        <v>0</v>
      </c>
      <c r="AD135">
        <f t="shared" si="61"/>
        <v>2009.3333333333333</v>
      </c>
      <c r="AE135">
        <f t="shared" si="62"/>
        <v>2018.0833333333333</v>
      </c>
      <c r="AF135">
        <f t="shared" si="63"/>
        <v>2012.3333333333333</v>
      </c>
      <c r="AG135">
        <f t="shared" si="64"/>
        <v>2017.0833333333333</v>
      </c>
      <c r="AH135">
        <f t="shared" si="65"/>
        <v>-8.3333333333333329E-2</v>
      </c>
      <c r="AJ135">
        <f t="shared" si="66"/>
        <v>0</v>
      </c>
      <c r="AL135">
        <f t="shared" si="67"/>
        <v>0</v>
      </c>
      <c r="AN135">
        <f t="shared" si="68"/>
        <v>0</v>
      </c>
      <c r="AP135">
        <f t="shared" si="69"/>
        <v>0</v>
      </c>
      <c r="AR135">
        <f t="shared" si="70"/>
        <v>0</v>
      </c>
    </row>
    <row r="136" spans="1:44">
      <c r="A136" t="s">
        <v>292</v>
      </c>
      <c r="C136">
        <v>5043</v>
      </c>
      <c r="D136" t="s">
        <v>335</v>
      </c>
      <c r="E136">
        <v>2009</v>
      </c>
      <c r="F136">
        <v>5</v>
      </c>
      <c r="G136">
        <v>0</v>
      </c>
      <c r="I136" t="s">
        <v>78</v>
      </c>
      <c r="J136">
        <v>3</v>
      </c>
      <c r="K136">
        <f t="shared" si="49"/>
        <v>2012</v>
      </c>
      <c r="N136">
        <v>2801.33</v>
      </c>
      <c r="P136">
        <f t="shared" si="50"/>
        <v>2801.33</v>
      </c>
      <c r="Q136">
        <f t="shared" si="51"/>
        <v>77.814722222222215</v>
      </c>
      <c r="R136">
        <f t="shared" si="52"/>
        <v>0</v>
      </c>
      <c r="S136">
        <f t="shared" si="53"/>
        <v>0</v>
      </c>
      <c r="T136">
        <f t="shared" si="54"/>
        <v>0</v>
      </c>
      <c r="U136">
        <v>1</v>
      </c>
      <c r="V136">
        <f t="shared" si="55"/>
        <v>0</v>
      </c>
      <c r="X136">
        <f t="shared" si="56"/>
        <v>2801.33</v>
      </c>
      <c r="Y136">
        <f t="shared" si="57"/>
        <v>2801.33</v>
      </c>
      <c r="Z136">
        <v>1</v>
      </c>
      <c r="AA136">
        <f t="shared" si="58"/>
        <v>2801.33</v>
      </c>
      <c r="AB136">
        <f t="shared" si="59"/>
        <v>2801.33</v>
      </c>
      <c r="AC136">
        <f t="shared" si="60"/>
        <v>0</v>
      </c>
      <c r="AD136">
        <f t="shared" si="61"/>
        <v>2009.3333333333333</v>
      </c>
      <c r="AE136">
        <f t="shared" si="62"/>
        <v>2018.0833333333333</v>
      </c>
      <c r="AF136">
        <f t="shared" si="63"/>
        <v>2012.3333333333333</v>
      </c>
      <c r="AG136">
        <f t="shared" si="64"/>
        <v>2017.0833333333333</v>
      </c>
      <c r="AH136">
        <f t="shared" si="65"/>
        <v>-8.3333333333333329E-2</v>
      </c>
      <c r="AJ136">
        <f t="shared" si="66"/>
        <v>0</v>
      </c>
      <c r="AL136">
        <f t="shared" si="67"/>
        <v>0</v>
      </c>
      <c r="AN136">
        <f t="shared" si="68"/>
        <v>0</v>
      </c>
      <c r="AP136">
        <f t="shared" si="69"/>
        <v>0</v>
      </c>
      <c r="AR136">
        <f t="shared" si="70"/>
        <v>0</v>
      </c>
    </row>
    <row r="137" spans="1:44">
      <c r="A137" t="s">
        <v>311</v>
      </c>
      <c r="C137">
        <v>68612</v>
      </c>
      <c r="D137" t="s">
        <v>325</v>
      </c>
      <c r="E137">
        <v>2009</v>
      </c>
      <c r="F137">
        <v>7</v>
      </c>
      <c r="G137">
        <v>0.33</v>
      </c>
      <c r="I137" t="s">
        <v>78</v>
      </c>
      <c r="J137">
        <v>5</v>
      </c>
      <c r="K137">
        <f t="shared" si="49"/>
        <v>2014</v>
      </c>
      <c r="N137">
        <v>14393.06</v>
      </c>
      <c r="P137">
        <f t="shared" si="50"/>
        <v>9643.3502000000008</v>
      </c>
      <c r="Q137">
        <f t="shared" si="51"/>
        <v>160.72250333333335</v>
      </c>
      <c r="R137">
        <f t="shared" si="52"/>
        <v>0</v>
      </c>
      <c r="S137">
        <f t="shared" si="53"/>
        <v>0</v>
      </c>
      <c r="T137">
        <f t="shared" si="54"/>
        <v>0</v>
      </c>
      <c r="U137">
        <v>1</v>
      </c>
      <c r="V137">
        <f t="shared" si="55"/>
        <v>0</v>
      </c>
      <c r="X137">
        <f t="shared" si="56"/>
        <v>9643.3502000000008</v>
      </c>
      <c r="Y137">
        <f t="shared" si="57"/>
        <v>9643.3502000000008</v>
      </c>
      <c r="Z137">
        <v>1</v>
      </c>
      <c r="AA137">
        <f t="shared" si="58"/>
        <v>9643.3502000000008</v>
      </c>
      <c r="AB137">
        <f t="shared" si="59"/>
        <v>9643.3502000000008</v>
      </c>
      <c r="AC137">
        <f t="shared" si="60"/>
        <v>4749.7097999999987</v>
      </c>
      <c r="AD137">
        <f t="shared" si="61"/>
        <v>2009.5</v>
      </c>
      <c r="AE137">
        <f t="shared" si="62"/>
        <v>2018.0833333333333</v>
      </c>
      <c r="AF137">
        <f t="shared" si="63"/>
        <v>2014.5</v>
      </c>
      <c r="AG137">
        <f t="shared" si="64"/>
        <v>2017.0833333333333</v>
      </c>
      <c r="AH137">
        <f t="shared" si="65"/>
        <v>-8.3333333333333329E-2</v>
      </c>
      <c r="AJ137">
        <f t="shared" si="66"/>
        <v>1583.2365999999995</v>
      </c>
      <c r="AL137">
        <f t="shared" si="67"/>
        <v>1583.2365999999995</v>
      </c>
      <c r="AN137">
        <f t="shared" si="68"/>
        <v>-4749.7097999999987</v>
      </c>
      <c r="AP137">
        <f t="shared" si="69"/>
        <v>0</v>
      </c>
      <c r="AR137">
        <f t="shared" si="70"/>
        <v>0</v>
      </c>
    </row>
    <row r="138" spans="1:44">
      <c r="B138">
        <v>88721</v>
      </c>
      <c r="D138" t="s">
        <v>438</v>
      </c>
      <c r="E138">
        <v>2011</v>
      </c>
      <c r="F138">
        <v>12</v>
      </c>
      <c r="G138">
        <v>0</v>
      </c>
      <c r="I138" t="s">
        <v>78</v>
      </c>
      <c r="J138">
        <v>5</v>
      </c>
      <c r="K138">
        <f t="shared" si="49"/>
        <v>2016</v>
      </c>
      <c r="N138">
        <f>487.65*18</f>
        <v>8777.6999999999989</v>
      </c>
      <c r="P138">
        <f t="shared" si="50"/>
        <v>8777.6999999999989</v>
      </c>
      <c r="Q138">
        <f t="shared" si="51"/>
        <v>146.29499999999999</v>
      </c>
      <c r="R138">
        <f t="shared" si="52"/>
        <v>0</v>
      </c>
      <c r="S138">
        <f t="shared" si="53"/>
        <v>0</v>
      </c>
      <c r="T138">
        <f t="shared" si="54"/>
        <v>0</v>
      </c>
      <c r="U138">
        <v>1</v>
      </c>
      <c r="V138">
        <f t="shared" si="55"/>
        <v>0</v>
      </c>
      <c r="X138">
        <f t="shared" si="56"/>
        <v>8777.6999999999989</v>
      </c>
      <c r="Y138">
        <f t="shared" si="57"/>
        <v>8777.6999999999989</v>
      </c>
      <c r="Z138">
        <v>1</v>
      </c>
      <c r="AA138">
        <f t="shared" si="58"/>
        <v>8777.6999999999989</v>
      </c>
      <c r="AB138">
        <f t="shared" si="59"/>
        <v>8777.6999999999989</v>
      </c>
      <c r="AC138">
        <f t="shared" si="60"/>
        <v>0</v>
      </c>
      <c r="AD138">
        <f t="shared" si="61"/>
        <v>2011.9166666666667</v>
      </c>
      <c r="AE138">
        <f t="shared" si="62"/>
        <v>2018.0833333333333</v>
      </c>
      <c r="AF138">
        <f t="shared" si="63"/>
        <v>2016.9166666666667</v>
      </c>
      <c r="AG138">
        <f t="shared" si="64"/>
        <v>2017.0833333333333</v>
      </c>
      <c r="AH138">
        <f t="shared" si="65"/>
        <v>-8.3333333333333329E-2</v>
      </c>
      <c r="AJ138">
        <f t="shared" si="66"/>
        <v>0</v>
      </c>
      <c r="AL138">
        <f t="shared" si="67"/>
        <v>0</v>
      </c>
      <c r="AN138">
        <f t="shared" si="68"/>
        <v>0</v>
      </c>
      <c r="AP138">
        <f t="shared" si="69"/>
        <v>0</v>
      </c>
      <c r="AR138">
        <f t="shared" si="70"/>
        <v>0</v>
      </c>
    </row>
    <row r="139" spans="1:44">
      <c r="B139">
        <v>108086</v>
      </c>
      <c r="C139">
        <v>3604</v>
      </c>
      <c r="D139" t="s">
        <v>487</v>
      </c>
      <c r="E139">
        <v>2013</v>
      </c>
      <c r="F139">
        <v>10</v>
      </c>
      <c r="G139">
        <v>0</v>
      </c>
      <c r="I139" t="s">
        <v>78</v>
      </c>
      <c r="J139">
        <v>3</v>
      </c>
      <c r="K139">
        <f t="shared" si="49"/>
        <v>2016</v>
      </c>
      <c r="N139">
        <v>23561.96</v>
      </c>
      <c r="P139">
        <f t="shared" si="50"/>
        <v>23561.96</v>
      </c>
      <c r="Q139">
        <f t="shared" si="51"/>
        <v>654.49888888888893</v>
      </c>
      <c r="R139">
        <f t="shared" si="52"/>
        <v>0</v>
      </c>
      <c r="S139">
        <f t="shared" si="53"/>
        <v>0</v>
      </c>
      <c r="T139">
        <f t="shared" si="54"/>
        <v>0</v>
      </c>
      <c r="U139">
        <v>1</v>
      </c>
      <c r="V139">
        <f t="shared" si="55"/>
        <v>0</v>
      </c>
      <c r="X139">
        <f t="shared" si="56"/>
        <v>23561.96</v>
      </c>
      <c r="Y139">
        <f t="shared" si="57"/>
        <v>23561.96</v>
      </c>
      <c r="Z139">
        <v>1</v>
      </c>
      <c r="AA139">
        <f t="shared" si="58"/>
        <v>23561.96</v>
      </c>
      <c r="AB139">
        <f t="shared" si="59"/>
        <v>23561.96</v>
      </c>
      <c r="AC139">
        <f t="shared" si="60"/>
        <v>0</v>
      </c>
      <c r="AD139">
        <f t="shared" si="61"/>
        <v>2013.75</v>
      </c>
      <c r="AE139">
        <f t="shared" si="62"/>
        <v>2018.0833333333333</v>
      </c>
      <c r="AF139">
        <f t="shared" si="63"/>
        <v>2016.75</v>
      </c>
      <c r="AG139">
        <f t="shared" si="64"/>
        <v>2017.0833333333333</v>
      </c>
      <c r="AH139">
        <f t="shared" si="65"/>
        <v>-8.3333333333333329E-2</v>
      </c>
      <c r="AJ139">
        <f t="shared" si="66"/>
        <v>0</v>
      </c>
      <c r="AL139">
        <f t="shared" si="67"/>
        <v>0</v>
      </c>
      <c r="AN139">
        <f t="shared" si="68"/>
        <v>0</v>
      </c>
      <c r="AP139">
        <f t="shared" si="69"/>
        <v>0</v>
      </c>
      <c r="AR139">
        <f t="shared" si="70"/>
        <v>0</v>
      </c>
    </row>
    <row r="140" spans="1:44">
      <c r="B140" t="s">
        <v>593</v>
      </c>
      <c r="D140" t="s">
        <v>589</v>
      </c>
      <c r="E140">
        <v>2016</v>
      </c>
      <c r="F140">
        <v>4</v>
      </c>
      <c r="G140">
        <v>0</v>
      </c>
      <c r="I140" t="s">
        <v>78</v>
      </c>
      <c r="J140">
        <v>1</v>
      </c>
      <c r="K140">
        <f t="shared" si="49"/>
        <v>2017</v>
      </c>
      <c r="N140">
        <f>((14612.94+16641.82+675)/75)*14</f>
        <v>5960.2218666666668</v>
      </c>
      <c r="P140">
        <f t="shared" si="50"/>
        <v>5960.2218666666668</v>
      </c>
      <c r="Q140">
        <f t="shared" si="51"/>
        <v>496.68515555555558</v>
      </c>
      <c r="R140">
        <f t="shared" si="52"/>
        <v>993.37031111156284</v>
      </c>
      <c r="S140">
        <f t="shared" si="53"/>
        <v>0</v>
      </c>
      <c r="T140">
        <f t="shared" si="54"/>
        <v>993.37031111156284</v>
      </c>
      <c r="U140">
        <v>1</v>
      </c>
      <c r="V140">
        <f t="shared" si="55"/>
        <v>993.37031111156284</v>
      </c>
      <c r="X140">
        <f t="shared" si="56"/>
        <v>4966.8515555551039</v>
      </c>
      <c r="Y140">
        <f t="shared" si="57"/>
        <v>4966.8515555551039</v>
      </c>
      <c r="Z140">
        <v>1</v>
      </c>
      <c r="AA140">
        <f t="shared" si="58"/>
        <v>4966.8515555551039</v>
      </c>
      <c r="AB140">
        <f t="shared" si="59"/>
        <v>5960.2218666666668</v>
      </c>
      <c r="AC140">
        <f t="shared" si="60"/>
        <v>496.68515555578142</v>
      </c>
      <c r="AD140">
        <f t="shared" si="61"/>
        <v>2016.25</v>
      </c>
      <c r="AE140">
        <f t="shared" si="62"/>
        <v>2018.0833333333333</v>
      </c>
      <c r="AF140">
        <f t="shared" si="63"/>
        <v>2017.25</v>
      </c>
      <c r="AG140">
        <f t="shared" si="64"/>
        <v>2017.0833333333333</v>
      </c>
      <c r="AH140">
        <f t="shared" si="65"/>
        <v>-8.3333333333333329E-2</v>
      </c>
      <c r="AJ140">
        <f t="shared" si="66"/>
        <v>0</v>
      </c>
      <c r="AL140">
        <f t="shared" si="67"/>
        <v>993.37031111156284</v>
      </c>
      <c r="AN140">
        <f t="shared" si="68"/>
        <v>0</v>
      </c>
      <c r="AP140">
        <f t="shared" si="69"/>
        <v>0</v>
      </c>
      <c r="AR140">
        <f t="shared" si="70"/>
        <v>496.68515555578142</v>
      </c>
    </row>
    <row r="141" spans="1:44">
      <c r="B141" t="s">
        <v>599</v>
      </c>
      <c r="C141">
        <v>5049</v>
      </c>
      <c r="D141" t="s">
        <v>600</v>
      </c>
      <c r="E141">
        <v>2016</v>
      </c>
      <c r="F141">
        <v>11</v>
      </c>
      <c r="G141">
        <v>0</v>
      </c>
      <c r="I141" t="s">
        <v>78</v>
      </c>
      <c r="J141">
        <v>10</v>
      </c>
      <c r="K141">
        <f t="shared" si="49"/>
        <v>2026</v>
      </c>
      <c r="N141">
        <f>230356.84+152.33</f>
        <v>230509.16999999998</v>
      </c>
      <c r="P141">
        <f t="shared" si="50"/>
        <v>230509.16999999998</v>
      </c>
      <c r="Q141">
        <f t="shared" si="51"/>
        <v>1920.9097499999998</v>
      </c>
      <c r="R141">
        <f t="shared" si="52"/>
        <v>23050.916999999998</v>
      </c>
      <c r="S141">
        <f t="shared" si="53"/>
        <v>0</v>
      </c>
      <c r="T141">
        <f t="shared" si="54"/>
        <v>23050.916999999998</v>
      </c>
      <c r="U141">
        <v>1</v>
      </c>
      <c r="V141">
        <f t="shared" si="55"/>
        <v>23050.916999999998</v>
      </c>
      <c r="X141">
        <f t="shared" si="56"/>
        <v>5762.7292499999994</v>
      </c>
      <c r="Y141">
        <f t="shared" si="57"/>
        <v>5762.7292499999994</v>
      </c>
      <c r="Z141">
        <v>1</v>
      </c>
      <c r="AA141">
        <f t="shared" si="58"/>
        <v>5762.7292499999994</v>
      </c>
      <c r="AB141">
        <f t="shared" si="59"/>
        <v>28813.646249999998</v>
      </c>
      <c r="AC141">
        <f t="shared" si="60"/>
        <v>213220.98225</v>
      </c>
      <c r="AD141">
        <f t="shared" si="61"/>
        <v>2016.8333333333333</v>
      </c>
      <c r="AE141">
        <f t="shared" si="62"/>
        <v>2018.0833333333333</v>
      </c>
      <c r="AF141">
        <f t="shared" si="63"/>
        <v>2026.8333333333333</v>
      </c>
      <c r="AG141">
        <f t="shared" si="64"/>
        <v>2017.0833333333333</v>
      </c>
      <c r="AH141">
        <f t="shared" si="65"/>
        <v>-8.3333333333333329E-2</v>
      </c>
      <c r="AJ141">
        <f t="shared" si="66"/>
        <v>0</v>
      </c>
      <c r="AL141">
        <f t="shared" si="67"/>
        <v>23050.916999999998</v>
      </c>
      <c r="AN141">
        <f t="shared" si="68"/>
        <v>0</v>
      </c>
      <c r="AP141">
        <f t="shared" si="69"/>
        <v>0</v>
      </c>
      <c r="AR141">
        <f t="shared" si="70"/>
        <v>213220.98225</v>
      </c>
    </row>
    <row r="142" spans="1:44">
      <c r="B142">
        <v>170000</v>
      </c>
      <c r="C142">
        <v>5048</v>
      </c>
      <c r="D142" t="s">
        <v>598</v>
      </c>
      <c r="E142">
        <v>2016</v>
      </c>
      <c r="F142">
        <v>11</v>
      </c>
      <c r="G142">
        <v>0</v>
      </c>
      <c r="I142" t="s">
        <v>78</v>
      </c>
      <c r="J142">
        <v>10</v>
      </c>
      <c r="K142">
        <f t="shared" si="49"/>
        <v>2026</v>
      </c>
      <c r="N142">
        <v>230356.84</v>
      </c>
      <c r="P142">
        <f t="shared" si="50"/>
        <v>230356.84</v>
      </c>
      <c r="Q142">
        <f t="shared" si="51"/>
        <v>1919.6403333333335</v>
      </c>
      <c r="R142">
        <f t="shared" si="52"/>
        <v>23035.684000000001</v>
      </c>
      <c r="S142">
        <f t="shared" si="53"/>
        <v>0</v>
      </c>
      <c r="T142">
        <f t="shared" si="54"/>
        <v>23035.684000000001</v>
      </c>
      <c r="U142">
        <v>1</v>
      </c>
      <c r="V142">
        <f t="shared" si="55"/>
        <v>23035.684000000001</v>
      </c>
      <c r="X142">
        <f t="shared" si="56"/>
        <v>5758.9210000000003</v>
      </c>
      <c r="Y142">
        <f t="shared" si="57"/>
        <v>5758.9210000000003</v>
      </c>
      <c r="Z142">
        <v>1</v>
      </c>
      <c r="AA142">
        <f t="shared" si="58"/>
        <v>5758.9210000000003</v>
      </c>
      <c r="AB142">
        <f t="shared" si="59"/>
        <v>28794.605000000003</v>
      </c>
      <c r="AC142">
        <f t="shared" si="60"/>
        <v>213080.07699999999</v>
      </c>
      <c r="AD142">
        <f t="shared" si="61"/>
        <v>2016.8333333333333</v>
      </c>
      <c r="AE142">
        <f t="shared" si="62"/>
        <v>2018.0833333333333</v>
      </c>
      <c r="AF142">
        <f t="shared" si="63"/>
        <v>2026.8333333333333</v>
      </c>
      <c r="AG142">
        <f t="shared" si="64"/>
        <v>2017.0833333333333</v>
      </c>
      <c r="AH142">
        <f t="shared" si="65"/>
        <v>-8.3333333333333329E-2</v>
      </c>
      <c r="AJ142">
        <f t="shared" si="66"/>
        <v>0</v>
      </c>
      <c r="AL142">
        <f t="shared" si="67"/>
        <v>23035.684000000001</v>
      </c>
      <c r="AN142">
        <f t="shared" si="68"/>
        <v>0</v>
      </c>
      <c r="AP142">
        <f t="shared" si="69"/>
        <v>0</v>
      </c>
      <c r="AR142">
        <f t="shared" si="70"/>
        <v>213080.07699999999</v>
      </c>
    </row>
    <row r="143" spans="1:44">
      <c r="B143" t="s">
        <v>601</v>
      </c>
      <c r="C143">
        <v>5047</v>
      </c>
      <c r="D143" t="s">
        <v>600</v>
      </c>
      <c r="E143">
        <v>2016</v>
      </c>
      <c r="F143">
        <v>11</v>
      </c>
      <c r="G143">
        <v>0</v>
      </c>
      <c r="I143" t="s">
        <v>78</v>
      </c>
      <c r="J143">
        <v>10</v>
      </c>
      <c r="K143">
        <f t="shared" si="49"/>
        <v>2026</v>
      </c>
      <c r="N143">
        <f>230356.84+152.33</f>
        <v>230509.16999999998</v>
      </c>
      <c r="P143">
        <f t="shared" si="50"/>
        <v>230509.16999999998</v>
      </c>
      <c r="Q143">
        <f t="shared" si="51"/>
        <v>1920.9097499999998</v>
      </c>
      <c r="R143">
        <f t="shared" si="52"/>
        <v>23050.916999999998</v>
      </c>
      <c r="S143">
        <f t="shared" si="53"/>
        <v>0</v>
      </c>
      <c r="T143">
        <f t="shared" si="54"/>
        <v>23050.916999999998</v>
      </c>
      <c r="U143">
        <v>1</v>
      </c>
      <c r="V143">
        <f t="shared" si="55"/>
        <v>23050.916999999998</v>
      </c>
      <c r="X143">
        <f t="shared" si="56"/>
        <v>5762.7292499999994</v>
      </c>
      <c r="Y143">
        <f t="shared" si="57"/>
        <v>5762.7292499999994</v>
      </c>
      <c r="Z143">
        <v>1</v>
      </c>
      <c r="AA143">
        <f t="shared" si="58"/>
        <v>5762.7292499999994</v>
      </c>
      <c r="AB143">
        <f t="shared" si="59"/>
        <v>28813.646249999998</v>
      </c>
      <c r="AC143">
        <f t="shared" si="60"/>
        <v>213220.98225</v>
      </c>
      <c r="AD143">
        <f t="shared" si="61"/>
        <v>2016.8333333333333</v>
      </c>
      <c r="AE143">
        <f t="shared" si="62"/>
        <v>2018.0833333333333</v>
      </c>
      <c r="AF143">
        <f t="shared" si="63"/>
        <v>2026.8333333333333</v>
      </c>
      <c r="AG143">
        <f t="shared" si="64"/>
        <v>2017.0833333333333</v>
      </c>
      <c r="AH143">
        <f t="shared" si="65"/>
        <v>-8.3333333333333329E-2</v>
      </c>
      <c r="AJ143">
        <f t="shared" si="66"/>
        <v>0</v>
      </c>
      <c r="AL143">
        <f t="shared" si="67"/>
        <v>23050.916999999998</v>
      </c>
      <c r="AN143">
        <f t="shared" si="68"/>
        <v>0</v>
      </c>
      <c r="AP143">
        <f t="shared" si="69"/>
        <v>0</v>
      </c>
      <c r="AR143">
        <f t="shared" si="70"/>
        <v>213220.98225</v>
      </c>
    </row>
    <row r="145" spans="1:44">
      <c r="C145">
        <v>18</v>
      </c>
      <c r="D145" t="s">
        <v>405</v>
      </c>
      <c r="N145">
        <f>SUM(N119:N144)</f>
        <v>2548840.2618666664</v>
      </c>
      <c r="P145">
        <f>SUM(P119:P144)</f>
        <v>2183565.2180666672</v>
      </c>
      <c r="Q145">
        <f>SUM(Q119:Q144)</f>
        <v>24608.199452539677</v>
      </c>
      <c r="R145">
        <f>SUM(R119:R144)</f>
        <v>70130.888311111557</v>
      </c>
      <c r="V145">
        <f>SUM(V119:V144)</f>
        <v>70130.888311111557</v>
      </c>
      <c r="AA145">
        <f>SUM(AA119:AA144)</f>
        <v>1508481.0472555559</v>
      </c>
      <c r="AB145">
        <f>SUM(AB119:AB144)</f>
        <v>1578611.935566667</v>
      </c>
      <c r="AC145">
        <f>SUM(AC119:AC144)</f>
        <v>1005293.7704555559</v>
      </c>
      <c r="AJ145">
        <f t="shared" ref="AJ145:AR145" si="71">SUM(AJ119:AJ144)</f>
        <v>121758.34793333332</v>
      </c>
      <c r="AL145">
        <f t="shared" si="71"/>
        <v>191889.23624444488</v>
      </c>
      <c r="AN145">
        <f t="shared" si="71"/>
        <v>-365275.04380000004</v>
      </c>
      <c r="AP145">
        <f t="shared" si="71"/>
        <v>0</v>
      </c>
      <c r="AR145">
        <f t="shared" si="71"/>
        <v>640018.72665555577</v>
      </c>
    </row>
    <row r="148" spans="1:44">
      <c r="D148" t="s">
        <v>387</v>
      </c>
    </row>
    <row r="151" spans="1:44">
      <c r="C151">
        <v>2</v>
      </c>
      <c r="D151" t="s">
        <v>406</v>
      </c>
      <c r="N151">
        <f>SUM(N150:N150)</f>
        <v>0</v>
      </c>
      <c r="P151">
        <f>SUM(P150:P150)</f>
        <v>0</v>
      </c>
      <c r="Q151">
        <f>SUM(Q150:Q150)</f>
        <v>0</v>
      </c>
      <c r="R151">
        <f>SUM(R150:R150)</f>
        <v>0</v>
      </c>
      <c r="V151">
        <f>SUM(V150:V150)</f>
        <v>0</v>
      </c>
      <c r="AA151">
        <f>SUM(AA150:AA150)</f>
        <v>0</v>
      </c>
      <c r="AB151">
        <f>SUM(AB150:AB150)</f>
        <v>0</v>
      </c>
      <c r="AC151">
        <f>SUM(AC150:AC150)</f>
        <v>0</v>
      </c>
    </row>
    <row r="154" spans="1:44">
      <c r="D154" t="s">
        <v>295</v>
      </c>
    </row>
    <row r="156" spans="1:44">
      <c r="A156" t="s">
        <v>284</v>
      </c>
      <c r="C156">
        <v>3558</v>
      </c>
      <c r="D156" t="s">
        <v>379</v>
      </c>
      <c r="E156">
        <v>2000</v>
      </c>
      <c r="F156">
        <v>5</v>
      </c>
      <c r="G156">
        <v>0.2</v>
      </c>
      <c r="I156" t="s">
        <v>78</v>
      </c>
      <c r="J156">
        <v>7</v>
      </c>
      <c r="K156">
        <f t="shared" ref="K156:K162" si="72">E156+J156</f>
        <v>2007</v>
      </c>
      <c r="N156">
        <v>150337.32</v>
      </c>
      <c r="P156">
        <f t="shared" ref="P156:P162" si="73">N156-N156*G156</f>
        <v>120269.856</v>
      </c>
      <c r="Q156">
        <f t="shared" ref="Q156:Q162" si="74">P156/J156/12</f>
        <v>1431.7839999999999</v>
      </c>
      <c r="R156">
        <f t="shared" ref="R156:R161" si="75">IF(O156&gt;0,0,IF(OR(AD156&gt;AE156,AF156&lt;AG156),0,IF(AND(AF156&gt;=AG156,AF156&lt;=AE156),Q156*((AF156-AG156)*12),IF(AND(AG156&lt;=AD156,AE156&gt;=AD156),((AE156-AD156)*12)*Q156,IF(AF156&gt;AE156,12*Q156,0)))))</f>
        <v>0</v>
      </c>
      <c r="S156">
        <f t="shared" ref="S156:S161" si="76">IF(O156=0,0,IF(AND(AH156&gt;=AG156,AH156&lt;=AF156),((AH156-AG156)*12)*Q156,0))</f>
        <v>0</v>
      </c>
      <c r="T156">
        <f t="shared" ref="T156:T161" si="77">IF(S156&gt;0,S156,R156)</f>
        <v>0</v>
      </c>
      <c r="U156">
        <v>1</v>
      </c>
      <c r="V156">
        <f t="shared" ref="V156:V161" si="78">U156*SUM(R156:S156)</f>
        <v>0</v>
      </c>
      <c r="X156">
        <f t="shared" ref="X156:X161" si="79">IF(AD156&gt;AE156,0,IF(AF156&lt;AG156,P156,IF(AND(AF156&gt;=AG156,AF156&lt;=AE156),(P156-T156),IF(AND(AG156&lt;=AD156,AE156&gt;=AD156),0,IF(AF156&gt;AE156,((AG156-AD156)*12)*Q156,0)))))</f>
        <v>120269.856</v>
      </c>
      <c r="Y156">
        <f t="shared" ref="Y156:Y161" si="80">X156*U156</f>
        <v>120269.856</v>
      </c>
      <c r="Z156">
        <v>1</v>
      </c>
      <c r="AA156">
        <f t="shared" ref="AA156:AA161" si="81">Y156*Z156</f>
        <v>120269.856</v>
      </c>
      <c r="AB156">
        <f t="shared" ref="AB156:AB161" si="82">IF(O156&gt;0,0,AA156+V156*Z156)*Z156</f>
        <v>120269.856</v>
      </c>
      <c r="AC156">
        <f t="shared" ref="AC156:AC161" si="83">IF(O156&gt;0,(N156-AA156)/2,IF(AD156&gt;=AG156,(((N156*U156)*Z156)-AB156)/2,((((N156*U156)*Z156)-AA156)+(((N156*U156)*Z156)-AB156))/2))</f>
        <v>30067.464000000007</v>
      </c>
      <c r="AD156">
        <f t="shared" ref="AD156:AD162" si="84">$E156+(($F156-1)/12)</f>
        <v>2000.3333333333333</v>
      </c>
      <c r="AE156">
        <f t="shared" ref="AE156:AE162" si="85">($P$5+1)-($P$2/12)</f>
        <v>2018.0833333333333</v>
      </c>
      <c r="AF156">
        <f t="shared" ref="AF156:AF162" si="86">$K156+(($F156-1)/12)</f>
        <v>2007.3333333333333</v>
      </c>
      <c r="AG156">
        <f t="shared" ref="AG156:AG162" si="87">$P$4+($P$3/12)</f>
        <v>2017.0833333333333</v>
      </c>
      <c r="AH156">
        <f t="shared" ref="AH156:AH162" si="88">$L156+(($M156-1)/12)</f>
        <v>-8.3333333333333329E-2</v>
      </c>
      <c r="AJ156">
        <f>+IF((AF156-AG156)&gt;3,((N156-P156)/(AF156-AG156)),(N156-P156)/3)</f>
        <v>10022.488000000003</v>
      </c>
      <c r="AL156">
        <f>+AJ156+V156</f>
        <v>10022.488000000003</v>
      </c>
      <c r="AN156">
        <f>+IF(AF156&lt;AG156,-AC156,0)</f>
        <v>-30067.464000000007</v>
      </c>
      <c r="AP156">
        <f>IF(AF156&gt;AG156,IF(AJ156&gt;0,IF(O156&gt;0,(N156-AA156)/2,IF(AD156&gt;=AG156,(((N156*U156)*Z156)-(AB156+AJ156))/2,((((N156*U156)*Z156)-AA156)+(((N156*U156)*Z156)-(AB156+AJ156)))/2)),0),0)</f>
        <v>0</v>
      </c>
      <c r="AR156">
        <f>+AC156+AN156+(IF(AP156&gt;0,(AP156-AC156),0))</f>
        <v>0</v>
      </c>
    </row>
    <row r="157" spans="1:44">
      <c r="A157" t="s">
        <v>284</v>
      </c>
      <c r="C157">
        <v>3572</v>
      </c>
      <c r="D157" t="s">
        <v>380</v>
      </c>
      <c r="E157">
        <v>2003</v>
      </c>
      <c r="F157">
        <v>1</v>
      </c>
      <c r="G157">
        <v>0.2</v>
      </c>
      <c r="I157" t="s">
        <v>78</v>
      </c>
      <c r="J157">
        <v>7</v>
      </c>
      <c r="K157">
        <f t="shared" si="72"/>
        <v>2010</v>
      </c>
      <c r="N157">
        <v>160624.26</v>
      </c>
      <c r="P157">
        <f t="shared" si="73"/>
        <v>128499.40800000001</v>
      </c>
      <c r="Q157">
        <f t="shared" si="74"/>
        <v>1529.7548571428572</v>
      </c>
      <c r="R157">
        <f t="shared" si="75"/>
        <v>0</v>
      </c>
      <c r="S157">
        <f t="shared" si="76"/>
        <v>0</v>
      </c>
      <c r="T157">
        <f t="shared" si="77"/>
        <v>0</v>
      </c>
      <c r="U157">
        <v>1</v>
      </c>
      <c r="V157">
        <f t="shared" si="78"/>
        <v>0</v>
      </c>
      <c r="X157">
        <f t="shared" si="79"/>
        <v>128499.40800000001</v>
      </c>
      <c r="Y157">
        <f t="shared" si="80"/>
        <v>128499.40800000001</v>
      </c>
      <c r="Z157">
        <v>1</v>
      </c>
      <c r="AA157">
        <f t="shared" si="81"/>
        <v>128499.40800000001</v>
      </c>
      <c r="AB157">
        <f t="shared" si="82"/>
        <v>128499.40800000001</v>
      </c>
      <c r="AC157">
        <f t="shared" si="83"/>
        <v>32124.851999999999</v>
      </c>
      <c r="AD157">
        <f t="shared" si="84"/>
        <v>2003</v>
      </c>
      <c r="AE157">
        <f t="shared" si="85"/>
        <v>2018.0833333333333</v>
      </c>
      <c r="AF157">
        <f t="shared" si="86"/>
        <v>2010</v>
      </c>
      <c r="AG157">
        <f t="shared" si="87"/>
        <v>2017.0833333333333</v>
      </c>
      <c r="AH157">
        <f t="shared" si="88"/>
        <v>-8.3333333333333329E-2</v>
      </c>
      <c r="AJ157">
        <f t="shared" ref="AJ157:AJ162" si="89">+IF((AF157-AG157)&gt;3,((N157-P157)/(AF157-AG157)),(N157-P157)/3)</f>
        <v>10708.284</v>
      </c>
      <c r="AL157">
        <f t="shared" ref="AL157:AL162" si="90">+AJ157+V157</f>
        <v>10708.284</v>
      </c>
      <c r="AN157">
        <f t="shared" ref="AN157:AN162" si="91">+IF(AF157&lt;AG157,-AC157,0)</f>
        <v>-32124.851999999999</v>
      </c>
      <c r="AP157">
        <f t="shared" ref="AP157:AP162" si="92">IF(AF157&gt;AG157,IF(AJ157&gt;0,IF(O157&gt;0,(N157-AA157)/2,IF(AD157&gt;=AG157,(((N157*U157)*Z157)-(AB157+AJ157))/2,((((N157*U157)*Z157)-AA157)+(((N157*U157)*Z157)-(AB157+AJ157)))/2)),0),0)</f>
        <v>0</v>
      </c>
      <c r="AR157">
        <f t="shared" ref="AR157:AR162" si="93">+AC157+AN157+(IF(AP157&gt;0,(AP157-AC157),0))</f>
        <v>0</v>
      </c>
    </row>
    <row r="158" spans="1:44">
      <c r="A158" t="s">
        <v>284</v>
      </c>
      <c r="C158">
        <v>3605</v>
      </c>
      <c r="D158" t="s">
        <v>381</v>
      </c>
      <c r="E158">
        <v>2007</v>
      </c>
      <c r="F158">
        <v>7</v>
      </c>
      <c r="G158">
        <v>0.2</v>
      </c>
      <c r="I158" t="s">
        <v>78</v>
      </c>
      <c r="J158">
        <v>7</v>
      </c>
      <c r="K158">
        <f t="shared" si="72"/>
        <v>2014</v>
      </c>
      <c r="N158">
        <v>194705.04</v>
      </c>
      <c r="P158">
        <f t="shared" si="73"/>
        <v>155764.03200000001</v>
      </c>
      <c r="Q158">
        <f t="shared" si="74"/>
        <v>1854.3337142857144</v>
      </c>
      <c r="R158">
        <f t="shared" si="75"/>
        <v>0</v>
      </c>
      <c r="S158">
        <f t="shared" si="76"/>
        <v>0</v>
      </c>
      <c r="T158">
        <f t="shared" si="77"/>
        <v>0</v>
      </c>
      <c r="U158">
        <v>1</v>
      </c>
      <c r="V158">
        <f t="shared" si="78"/>
        <v>0</v>
      </c>
      <c r="X158">
        <f t="shared" si="79"/>
        <v>155764.03200000001</v>
      </c>
      <c r="Y158">
        <f t="shared" si="80"/>
        <v>155764.03200000001</v>
      </c>
      <c r="Z158">
        <v>1</v>
      </c>
      <c r="AA158">
        <f t="shared" si="81"/>
        <v>155764.03200000001</v>
      </c>
      <c r="AB158">
        <f t="shared" si="82"/>
        <v>155764.03200000001</v>
      </c>
      <c r="AC158">
        <f t="shared" si="83"/>
        <v>38941.008000000002</v>
      </c>
      <c r="AD158">
        <f t="shared" si="84"/>
        <v>2007.5</v>
      </c>
      <c r="AE158">
        <f t="shared" si="85"/>
        <v>2018.0833333333333</v>
      </c>
      <c r="AF158">
        <f t="shared" si="86"/>
        <v>2014.5</v>
      </c>
      <c r="AG158">
        <f t="shared" si="87"/>
        <v>2017.0833333333333</v>
      </c>
      <c r="AH158">
        <f t="shared" si="88"/>
        <v>-8.3333333333333329E-2</v>
      </c>
      <c r="AJ158">
        <f t="shared" si="89"/>
        <v>12980.336000000001</v>
      </c>
      <c r="AL158">
        <f t="shared" si="90"/>
        <v>12980.336000000001</v>
      </c>
      <c r="AN158">
        <f t="shared" si="91"/>
        <v>-38941.008000000002</v>
      </c>
      <c r="AP158">
        <f t="shared" si="92"/>
        <v>0</v>
      </c>
      <c r="AR158">
        <f t="shared" si="93"/>
        <v>0</v>
      </c>
    </row>
    <row r="159" spans="1:44">
      <c r="A159" t="s">
        <v>284</v>
      </c>
      <c r="C159">
        <v>3558</v>
      </c>
      <c r="D159" t="s">
        <v>339</v>
      </c>
      <c r="E159">
        <v>2009</v>
      </c>
      <c r="F159">
        <v>5</v>
      </c>
      <c r="G159">
        <v>0</v>
      </c>
      <c r="I159" t="s">
        <v>78</v>
      </c>
      <c r="J159">
        <v>3</v>
      </c>
      <c r="K159">
        <f t="shared" si="72"/>
        <v>2012</v>
      </c>
      <c r="N159">
        <v>2685.06</v>
      </c>
      <c r="P159">
        <f t="shared" si="73"/>
        <v>2685.06</v>
      </c>
      <c r="Q159">
        <f t="shared" si="74"/>
        <v>74.584999999999994</v>
      </c>
      <c r="R159">
        <f t="shared" si="75"/>
        <v>0</v>
      </c>
      <c r="S159">
        <f t="shared" si="76"/>
        <v>0</v>
      </c>
      <c r="T159">
        <f t="shared" si="77"/>
        <v>0</v>
      </c>
      <c r="U159">
        <v>1</v>
      </c>
      <c r="V159">
        <f t="shared" si="78"/>
        <v>0</v>
      </c>
      <c r="X159">
        <f t="shared" si="79"/>
        <v>2685.06</v>
      </c>
      <c r="Y159">
        <f t="shared" si="80"/>
        <v>2685.06</v>
      </c>
      <c r="Z159">
        <v>1</v>
      </c>
      <c r="AA159">
        <f t="shared" si="81"/>
        <v>2685.06</v>
      </c>
      <c r="AB159">
        <f t="shared" si="82"/>
        <v>2685.06</v>
      </c>
      <c r="AC159">
        <f t="shared" si="83"/>
        <v>0</v>
      </c>
      <c r="AD159">
        <f t="shared" si="84"/>
        <v>2009.3333333333333</v>
      </c>
      <c r="AE159">
        <f t="shared" si="85"/>
        <v>2018.0833333333333</v>
      </c>
      <c r="AF159">
        <f t="shared" si="86"/>
        <v>2012.3333333333333</v>
      </c>
      <c r="AG159">
        <f t="shared" si="87"/>
        <v>2017.0833333333333</v>
      </c>
      <c r="AH159">
        <f t="shared" si="88"/>
        <v>-8.3333333333333329E-2</v>
      </c>
      <c r="AJ159">
        <f t="shared" si="89"/>
        <v>0</v>
      </c>
      <c r="AL159">
        <f t="shared" si="90"/>
        <v>0</v>
      </c>
      <c r="AN159">
        <f t="shared" si="91"/>
        <v>0</v>
      </c>
      <c r="AP159">
        <f t="shared" si="92"/>
        <v>0</v>
      </c>
      <c r="AR159">
        <f t="shared" si="93"/>
        <v>0</v>
      </c>
    </row>
    <row r="160" spans="1:44">
      <c r="A160" t="s">
        <v>284</v>
      </c>
      <c r="C160">
        <v>3572</v>
      </c>
      <c r="D160" t="s">
        <v>340</v>
      </c>
      <c r="E160">
        <v>2009</v>
      </c>
      <c r="F160">
        <v>5</v>
      </c>
      <c r="G160">
        <v>0</v>
      </c>
      <c r="I160" t="s">
        <v>78</v>
      </c>
      <c r="J160">
        <v>3</v>
      </c>
      <c r="K160">
        <f t="shared" si="72"/>
        <v>2012</v>
      </c>
      <c r="N160">
        <v>3162.58</v>
      </c>
      <c r="P160">
        <f t="shared" si="73"/>
        <v>3162.58</v>
      </c>
      <c r="Q160">
        <f t="shared" si="74"/>
        <v>87.849444444444444</v>
      </c>
      <c r="R160">
        <f t="shared" si="75"/>
        <v>0</v>
      </c>
      <c r="S160">
        <f t="shared" si="76"/>
        <v>0</v>
      </c>
      <c r="T160">
        <f t="shared" si="77"/>
        <v>0</v>
      </c>
      <c r="U160">
        <v>1</v>
      </c>
      <c r="V160">
        <f t="shared" si="78"/>
        <v>0</v>
      </c>
      <c r="X160">
        <f t="shared" si="79"/>
        <v>3162.58</v>
      </c>
      <c r="Y160">
        <f t="shared" si="80"/>
        <v>3162.58</v>
      </c>
      <c r="Z160">
        <v>1</v>
      </c>
      <c r="AA160">
        <f t="shared" si="81"/>
        <v>3162.58</v>
      </c>
      <c r="AB160">
        <f t="shared" si="82"/>
        <v>3162.58</v>
      </c>
      <c r="AC160">
        <f t="shared" si="83"/>
        <v>0</v>
      </c>
      <c r="AD160">
        <f t="shared" si="84"/>
        <v>2009.3333333333333</v>
      </c>
      <c r="AE160">
        <f t="shared" si="85"/>
        <v>2018.0833333333333</v>
      </c>
      <c r="AF160">
        <f t="shared" si="86"/>
        <v>2012.3333333333333</v>
      </c>
      <c r="AG160">
        <f t="shared" si="87"/>
        <v>2017.0833333333333</v>
      </c>
      <c r="AH160">
        <f t="shared" si="88"/>
        <v>-8.3333333333333329E-2</v>
      </c>
      <c r="AJ160">
        <f t="shared" si="89"/>
        <v>0</v>
      </c>
      <c r="AL160">
        <f t="shared" si="90"/>
        <v>0</v>
      </c>
      <c r="AN160">
        <f t="shared" si="91"/>
        <v>0</v>
      </c>
      <c r="AP160">
        <f t="shared" si="92"/>
        <v>0</v>
      </c>
      <c r="AR160">
        <f t="shared" si="93"/>
        <v>0</v>
      </c>
    </row>
    <row r="161" spans="1:44">
      <c r="B161">
        <v>88721</v>
      </c>
      <c r="D161" t="s">
        <v>440</v>
      </c>
      <c r="E161">
        <v>2011</v>
      </c>
      <c r="F161">
        <v>12</v>
      </c>
      <c r="G161">
        <v>0</v>
      </c>
      <c r="I161" t="s">
        <v>78</v>
      </c>
      <c r="J161">
        <v>5</v>
      </c>
      <c r="K161">
        <f t="shared" si="72"/>
        <v>2016</v>
      </c>
      <c r="N161">
        <f>487.65*3</f>
        <v>1462.9499999999998</v>
      </c>
      <c r="P161">
        <f t="shared" si="73"/>
        <v>1462.9499999999998</v>
      </c>
      <c r="Q161">
        <f t="shared" si="74"/>
        <v>24.382499999999997</v>
      </c>
      <c r="R161">
        <f t="shared" si="75"/>
        <v>0</v>
      </c>
      <c r="S161">
        <f t="shared" si="76"/>
        <v>0</v>
      </c>
      <c r="T161">
        <f t="shared" si="77"/>
        <v>0</v>
      </c>
      <c r="U161">
        <v>1</v>
      </c>
      <c r="V161">
        <f t="shared" si="78"/>
        <v>0</v>
      </c>
      <c r="X161">
        <f t="shared" si="79"/>
        <v>1462.9499999999998</v>
      </c>
      <c r="Y161">
        <f t="shared" si="80"/>
        <v>1462.9499999999998</v>
      </c>
      <c r="Z161">
        <v>1</v>
      </c>
      <c r="AA161">
        <f t="shared" si="81"/>
        <v>1462.9499999999998</v>
      </c>
      <c r="AB161">
        <f t="shared" si="82"/>
        <v>1462.9499999999998</v>
      </c>
      <c r="AC161">
        <f t="shared" si="83"/>
        <v>0</v>
      </c>
      <c r="AD161">
        <f t="shared" si="84"/>
        <v>2011.9166666666667</v>
      </c>
      <c r="AE161">
        <f t="shared" si="85"/>
        <v>2018.0833333333333</v>
      </c>
      <c r="AF161">
        <f t="shared" si="86"/>
        <v>2016.9166666666667</v>
      </c>
      <c r="AG161">
        <f t="shared" si="87"/>
        <v>2017.0833333333333</v>
      </c>
      <c r="AH161">
        <f t="shared" si="88"/>
        <v>-8.3333333333333329E-2</v>
      </c>
      <c r="AJ161">
        <f t="shared" si="89"/>
        <v>0</v>
      </c>
      <c r="AL161">
        <f t="shared" si="90"/>
        <v>0</v>
      </c>
      <c r="AN161">
        <f t="shared" si="91"/>
        <v>0</v>
      </c>
      <c r="AP161">
        <f t="shared" si="92"/>
        <v>0</v>
      </c>
      <c r="AR161">
        <f t="shared" si="93"/>
        <v>0</v>
      </c>
    </row>
    <row r="162" spans="1:44">
      <c r="B162" t="s">
        <v>593</v>
      </c>
      <c r="D162" t="s">
        <v>590</v>
      </c>
      <c r="E162">
        <v>2016</v>
      </c>
      <c r="F162">
        <v>4</v>
      </c>
      <c r="G162">
        <v>0</v>
      </c>
      <c r="I162" t="s">
        <v>78</v>
      </c>
      <c r="J162">
        <v>1</v>
      </c>
      <c r="K162">
        <f t="shared" si="72"/>
        <v>2017</v>
      </c>
      <c r="N162">
        <f>((14612.94+16641.82+675)/75)*3</f>
        <v>1277.1904</v>
      </c>
      <c r="P162">
        <f t="shared" si="73"/>
        <v>1277.1904</v>
      </c>
      <c r="Q162">
        <f t="shared" si="74"/>
        <v>106.43253333333332</v>
      </c>
      <c r="R162">
        <f>IF(O162&gt;0,0,IF(OR(AD162&gt;AE162,AF162&lt;AG162),0,IF(AND(AF162&gt;=AG162,AF162&lt;=AE162),Q162*((AF162-AG162)*12),IF(AND(AG162&lt;=AD162,AE162&gt;=AD162),((AE162-AD162)*12)*Q162,IF(AF162&gt;AE162,12*Q162,0)))))</f>
        <v>212.86506666676345</v>
      </c>
      <c r="S162">
        <f>IF(O162=0,0,IF(AND(AH162&gt;=AG162,AH162&lt;=AF162),((AH162-AG162)*12)*Q162,0))</f>
        <v>0</v>
      </c>
      <c r="T162">
        <f>IF(S162&gt;0,S162,R162)</f>
        <v>212.86506666676345</v>
      </c>
      <c r="U162">
        <v>1</v>
      </c>
      <c r="V162">
        <f>U162*SUM(R162:S162)</f>
        <v>212.86506666676345</v>
      </c>
      <c r="X162">
        <f>IF(AD162&gt;AE162,0,IF(AF162&lt;AG162,P162,IF(AND(AF162&gt;=AG162,AF162&lt;=AE162),(P162-T162),IF(AND(AG162&lt;=AD162,AE162&gt;=AD162),0,IF(AF162&gt;AE162,((AG162-AD162)*12)*Q162,0)))))</f>
        <v>1064.3253333332366</v>
      </c>
      <c r="Y162">
        <f>X162*U162</f>
        <v>1064.3253333332366</v>
      </c>
      <c r="Z162">
        <v>1</v>
      </c>
      <c r="AA162">
        <f>Y162*Z162</f>
        <v>1064.3253333332366</v>
      </c>
      <c r="AB162">
        <f>IF(O162&gt;0,0,AA162+V162*Z162)*Z162</f>
        <v>1277.1904</v>
      </c>
      <c r="AC162">
        <f>IF(O162&gt;0,(N162-AA162)/2,IF(AD162&gt;=AG162,(((N162*U162)*Z162)-AB162)/2,((((N162*U162)*Z162)-AA162)+(((N162*U162)*Z162)-AB162))/2))</f>
        <v>106.43253333338168</v>
      </c>
      <c r="AD162">
        <f t="shared" si="84"/>
        <v>2016.25</v>
      </c>
      <c r="AE162">
        <f t="shared" si="85"/>
        <v>2018.0833333333333</v>
      </c>
      <c r="AF162">
        <f t="shared" si="86"/>
        <v>2017.25</v>
      </c>
      <c r="AG162">
        <f t="shared" si="87"/>
        <v>2017.0833333333333</v>
      </c>
      <c r="AH162">
        <f t="shared" si="88"/>
        <v>-8.3333333333333329E-2</v>
      </c>
      <c r="AJ162">
        <f t="shared" si="89"/>
        <v>0</v>
      </c>
      <c r="AL162">
        <f t="shared" si="90"/>
        <v>212.86506666676345</v>
      </c>
      <c r="AN162">
        <f t="shared" si="91"/>
        <v>0</v>
      </c>
      <c r="AP162">
        <f t="shared" si="92"/>
        <v>0</v>
      </c>
      <c r="AR162">
        <f t="shared" si="93"/>
        <v>106.43253333338168</v>
      </c>
    </row>
    <row r="164" spans="1:44">
      <c r="C164">
        <v>3</v>
      </c>
      <c r="D164" t="s">
        <v>277</v>
      </c>
      <c r="N164">
        <f>SUM(N156:N163)</f>
        <v>514254.40040000004</v>
      </c>
      <c r="P164">
        <f>SUM(P156:P163)</f>
        <v>413121.07640000008</v>
      </c>
      <c r="Q164">
        <f>SUM(Q156:Q163)</f>
        <v>5109.1220492063494</v>
      </c>
      <c r="R164">
        <f>SUM(R156:R163)</f>
        <v>212.86506666676345</v>
      </c>
      <c r="V164">
        <f>SUM(V156:V163)</f>
        <v>212.86506666676345</v>
      </c>
      <c r="AA164">
        <f>SUM(AA156:AA163)</f>
        <v>412908.21133333328</v>
      </c>
      <c r="AB164">
        <f>SUM(AB156:AB163)</f>
        <v>413121.07640000008</v>
      </c>
      <c r="AC164">
        <f>SUM(AC156:AC163)</f>
        <v>101239.75653333339</v>
      </c>
      <c r="AJ164">
        <f t="shared" ref="AJ164:AR164" si="94">SUM(AJ156:AJ163)</f>
        <v>33711.108000000007</v>
      </c>
      <c r="AL164">
        <f t="shared" si="94"/>
        <v>33923.973066666767</v>
      </c>
      <c r="AN164">
        <f t="shared" si="94"/>
        <v>-101133.32400000001</v>
      </c>
      <c r="AP164">
        <f t="shared" si="94"/>
        <v>0</v>
      </c>
      <c r="AR164">
        <f t="shared" si="94"/>
        <v>106.43253333338168</v>
      </c>
    </row>
    <row r="167" spans="1:44">
      <c r="D167" t="s">
        <v>531</v>
      </c>
    </row>
    <row r="169" spans="1:44">
      <c r="A169">
        <v>114264</v>
      </c>
      <c r="B169" t="s">
        <v>285</v>
      </c>
      <c r="C169">
        <v>1559</v>
      </c>
      <c r="D169" t="s">
        <v>532</v>
      </c>
      <c r="E169">
        <v>1992</v>
      </c>
      <c r="F169">
        <v>2</v>
      </c>
      <c r="G169">
        <v>0.33</v>
      </c>
      <c r="I169" t="s">
        <v>78</v>
      </c>
      <c r="J169">
        <v>5</v>
      </c>
      <c r="K169">
        <f t="shared" ref="K169:K185" si="95">E169+J169</f>
        <v>1997</v>
      </c>
      <c r="N169">
        <v>37870</v>
      </c>
      <c r="P169">
        <f t="shared" ref="P169:P185" si="96">N169-N169*G169</f>
        <v>25372.9</v>
      </c>
      <c r="Q169">
        <f t="shared" ref="Q169:Q185" si="97">P169/J169/12</f>
        <v>422.88166666666666</v>
      </c>
      <c r="R169">
        <f t="shared" ref="R169:R184" si="98">IF(O169&gt;0,0,IF(OR(AD169&gt;AE169,AF169&lt;AG169),0,IF(AND(AF169&gt;=AG169,AF169&lt;=AE169),Q169*((AF169-AG169)*12),IF(AND(AG169&lt;=AD169,AE169&gt;=AD169),((AE169-AD169)*12)*Q169,IF(AF169&gt;AE169,12*Q169,0)))))</f>
        <v>0</v>
      </c>
      <c r="S169">
        <f t="shared" ref="S169:S184" si="99">IF(O169=0,0,IF(AND(AH169&gt;=AG169,AH169&lt;=AF169),((AH169-AG169)*12)*Q169,0))</f>
        <v>0</v>
      </c>
      <c r="T169">
        <f t="shared" ref="T169:T184" si="100">IF(S169&gt;0,S169,R169)</f>
        <v>0</v>
      </c>
      <c r="U169">
        <v>1</v>
      </c>
      <c r="V169">
        <f t="shared" ref="V169:V184" si="101">U169*SUM(R169:S169)</f>
        <v>0</v>
      </c>
      <c r="X169">
        <f t="shared" ref="X169:X184" si="102">IF(AD169&gt;AE169,0,IF(AF169&lt;AG169,P169,IF(AND(AF169&gt;=AG169,AF169&lt;=AE169),(P169-T169),IF(AND(AG169&lt;=AD169,AE169&gt;=AD169),0,IF(AF169&gt;AE169,((AG169-AD169)*12)*Q169,0)))))</f>
        <v>25372.9</v>
      </c>
      <c r="Y169">
        <f t="shared" ref="Y169:Y184" si="103">X169*U169</f>
        <v>25372.9</v>
      </c>
      <c r="Z169">
        <v>1</v>
      </c>
      <c r="AA169">
        <f t="shared" ref="AA169:AA184" si="104">Y169*Z169</f>
        <v>25372.9</v>
      </c>
      <c r="AB169">
        <f t="shared" ref="AB169:AB184" si="105">IF(O169&gt;0,0,AA169+V169*Z169)*Z169</f>
        <v>25372.9</v>
      </c>
      <c r="AC169">
        <f t="shared" ref="AC169:AC184" si="106">IF(O169&gt;0,(N169-AA169)/2,IF(AD169&gt;=AG169,(((N169*U169)*Z169)-AB169)/2,((((N169*U169)*Z169)-AA169)+(((N169*U169)*Z169)-AB169))/2))</f>
        <v>12497.099999999999</v>
      </c>
      <c r="AD169">
        <f t="shared" ref="AD169:AD185" si="107">$E169+(($F169-1)/12)</f>
        <v>1992.0833333333333</v>
      </c>
      <c r="AE169">
        <f t="shared" ref="AE169:AE185" si="108">($P$5+1)-($P$2/12)</f>
        <v>2018.0833333333333</v>
      </c>
      <c r="AF169">
        <f t="shared" ref="AF169:AF185" si="109">$K169+(($F169-1)/12)</f>
        <v>1997.0833333333333</v>
      </c>
      <c r="AG169">
        <f t="shared" ref="AG169:AG185" si="110">$P$4+($P$3/12)</f>
        <v>2017.0833333333333</v>
      </c>
      <c r="AH169">
        <f t="shared" ref="AH169:AH185" si="111">$L169+(($M169-1)/12)</f>
        <v>-8.3333333333333329E-2</v>
      </c>
      <c r="AJ169">
        <f>+IF((AF169-AG169)&gt;3,((N169-P169)/(AF169-AG169)),(N169-P169)/3)</f>
        <v>4165.7</v>
      </c>
      <c r="AL169">
        <f>+AJ169+V169</f>
        <v>4165.7</v>
      </c>
      <c r="AN169">
        <f>+IF(AF169&lt;AG169,-AC169,0)</f>
        <v>-12497.099999999999</v>
      </c>
      <c r="AP169">
        <f>IF(AF169&gt;AG169,IF(AJ169&gt;0,IF(O169&gt;0,(N169-AA169)/2,IF(AD169&gt;=AG169,(((N169*U169)*Z169)-(AB169+AJ169))/2,((((N169*U169)*Z169)-AA169)+(((N169*U169)*Z169)-(AB169+AJ169)))/2)),0),0)</f>
        <v>0</v>
      </c>
      <c r="AR169">
        <f>+AC169+AN169+(IF(AP169&gt;0,(AP169-AC169),0))</f>
        <v>0</v>
      </c>
    </row>
    <row r="170" spans="1:44">
      <c r="B170" t="s">
        <v>285</v>
      </c>
      <c r="C170">
        <v>1559</v>
      </c>
      <c r="D170" t="s">
        <v>533</v>
      </c>
      <c r="E170">
        <v>1992</v>
      </c>
      <c r="F170">
        <v>2</v>
      </c>
      <c r="G170">
        <v>0.33</v>
      </c>
      <c r="I170" t="s">
        <v>78</v>
      </c>
      <c r="J170">
        <v>5</v>
      </c>
      <c r="K170">
        <f t="shared" si="95"/>
        <v>1997</v>
      </c>
      <c r="N170">
        <v>980</v>
      </c>
      <c r="P170">
        <f t="shared" si="96"/>
        <v>656.59999999999991</v>
      </c>
      <c r="Q170">
        <f t="shared" si="97"/>
        <v>10.943333333333333</v>
      </c>
      <c r="R170">
        <f t="shared" si="98"/>
        <v>0</v>
      </c>
      <c r="S170">
        <f t="shared" si="99"/>
        <v>0</v>
      </c>
      <c r="T170">
        <f t="shared" si="100"/>
        <v>0</v>
      </c>
      <c r="U170">
        <v>1</v>
      </c>
      <c r="V170">
        <f t="shared" si="101"/>
        <v>0</v>
      </c>
      <c r="X170">
        <f t="shared" si="102"/>
        <v>656.59999999999991</v>
      </c>
      <c r="Y170">
        <f t="shared" si="103"/>
        <v>656.59999999999991</v>
      </c>
      <c r="Z170">
        <v>1</v>
      </c>
      <c r="AA170">
        <f t="shared" si="104"/>
        <v>656.59999999999991</v>
      </c>
      <c r="AB170">
        <f t="shared" si="105"/>
        <v>656.59999999999991</v>
      </c>
      <c r="AC170">
        <f t="shared" si="106"/>
        <v>323.40000000000009</v>
      </c>
      <c r="AD170">
        <f t="shared" si="107"/>
        <v>1992.0833333333333</v>
      </c>
      <c r="AE170">
        <f t="shared" si="108"/>
        <v>2018.0833333333333</v>
      </c>
      <c r="AF170">
        <f t="shared" si="109"/>
        <v>1997.0833333333333</v>
      </c>
      <c r="AG170">
        <f t="shared" si="110"/>
        <v>2017.0833333333333</v>
      </c>
      <c r="AH170">
        <f t="shared" si="111"/>
        <v>-8.3333333333333329E-2</v>
      </c>
      <c r="AJ170">
        <f t="shared" ref="AJ170:AJ185" si="112">+IF((AF170-AG170)&gt;3,((N170-P170)/(AF170-AG170)),(N170-P170)/3)</f>
        <v>107.80000000000003</v>
      </c>
      <c r="AL170">
        <f t="shared" ref="AL170:AL185" si="113">+AJ170+V170</f>
        <v>107.80000000000003</v>
      </c>
      <c r="AN170">
        <f t="shared" ref="AN170:AN185" si="114">+IF(AF170&lt;AG170,-AC170,0)</f>
        <v>-323.40000000000009</v>
      </c>
      <c r="AP170">
        <f t="shared" ref="AP170:AP185" si="115">IF(AF170&gt;AG170,IF(AJ170&gt;0,IF(O170&gt;0,(N170-AA170)/2,IF(AD170&gt;=AG170,(((N170*U170)*Z170)-(AB170+AJ170))/2,((((N170*U170)*Z170)-AA170)+(((N170*U170)*Z170)-(AB170+AJ170)))/2)),0),0)</f>
        <v>0</v>
      </c>
      <c r="AR170">
        <f t="shared" ref="AR170:AR185" si="116">+AC170+AN170+(IF(AP170&gt;0,(AP170-AC170),0))</f>
        <v>0</v>
      </c>
    </row>
    <row r="171" spans="1:44">
      <c r="B171" t="s">
        <v>285</v>
      </c>
      <c r="C171">
        <v>1559</v>
      </c>
      <c r="D171" t="s">
        <v>534</v>
      </c>
      <c r="E171">
        <v>1992</v>
      </c>
      <c r="F171">
        <v>5</v>
      </c>
      <c r="G171">
        <v>0.33</v>
      </c>
      <c r="I171" t="s">
        <v>78</v>
      </c>
      <c r="J171">
        <v>5</v>
      </c>
      <c r="K171">
        <f t="shared" si="95"/>
        <v>1997</v>
      </c>
      <c r="N171">
        <v>426</v>
      </c>
      <c r="P171">
        <f t="shared" si="96"/>
        <v>285.41999999999996</v>
      </c>
      <c r="Q171">
        <f t="shared" si="97"/>
        <v>4.7569999999999988</v>
      </c>
      <c r="R171">
        <f t="shared" si="98"/>
        <v>0</v>
      </c>
      <c r="S171">
        <f t="shared" si="99"/>
        <v>0</v>
      </c>
      <c r="T171">
        <f t="shared" si="100"/>
        <v>0</v>
      </c>
      <c r="U171">
        <v>1</v>
      </c>
      <c r="V171">
        <f t="shared" si="101"/>
        <v>0</v>
      </c>
      <c r="X171">
        <f t="shared" si="102"/>
        <v>285.41999999999996</v>
      </c>
      <c r="Y171">
        <f t="shared" si="103"/>
        <v>285.41999999999996</v>
      </c>
      <c r="Z171">
        <v>1</v>
      </c>
      <c r="AA171">
        <f t="shared" si="104"/>
        <v>285.41999999999996</v>
      </c>
      <c r="AB171">
        <f t="shared" si="105"/>
        <v>285.41999999999996</v>
      </c>
      <c r="AC171">
        <f t="shared" si="106"/>
        <v>140.58000000000004</v>
      </c>
      <c r="AD171">
        <f t="shared" si="107"/>
        <v>1992.3333333333333</v>
      </c>
      <c r="AE171">
        <f t="shared" si="108"/>
        <v>2018.0833333333333</v>
      </c>
      <c r="AF171">
        <f t="shared" si="109"/>
        <v>1997.3333333333333</v>
      </c>
      <c r="AG171">
        <f t="shared" si="110"/>
        <v>2017.0833333333333</v>
      </c>
      <c r="AH171">
        <f t="shared" si="111"/>
        <v>-8.3333333333333329E-2</v>
      </c>
      <c r="AJ171">
        <f t="shared" si="112"/>
        <v>46.860000000000014</v>
      </c>
      <c r="AL171">
        <f t="shared" si="113"/>
        <v>46.860000000000014</v>
      </c>
      <c r="AN171">
        <f t="shared" si="114"/>
        <v>-140.58000000000004</v>
      </c>
      <c r="AP171">
        <f t="shared" si="115"/>
        <v>0</v>
      </c>
      <c r="AR171">
        <f t="shared" si="116"/>
        <v>0</v>
      </c>
    </row>
    <row r="172" spans="1:44">
      <c r="A172">
        <v>114277</v>
      </c>
      <c r="B172" t="s">
        <v>283</v>
      </c>
      <c r="C172">
        <v>4512</v>
      </c>
      <c r="D172" t="s">
        <v>536</v>
      </c>
      <c r="E172">
        <v>1998</v>
      </c>
      <c r="F172">
        <v>2</v>
      </c>
      <c r="G172">
        <v>0.33</v>
      </c>
      <c r="I172" t="s">
        <v>78</v>
      </c>
      <c r="J172">
        <v>5</v>
      </c>
      <c r="K172">
        <f t="shared" si="95"/>
        <v>2003</v>
      </c>
      <c r="N172">
        <v>25000</v>
      </c>
      <c r="P172">
        <f t="shared" si="96"/>
        <v>16750</v>
      </c>
      <c r="Q172">
        <f t="shared" si="97"/>
        <v>279.16666666666669</v>
      </c>
      <c r="R172">
        <f t="shared" si="98"/>
        <v>0</v>
      </c>
      <c r="S172">
        <f t="shared" si="99"/>
        <v>0</v>
      </c>
      <c r="T172">
        <f t="shared" si="100"/>
        <v>0</v>
      </c>
      <c r="U172">
        <v>1</v>
      </c>
      <c r="V172">
        <f t="shared" si="101"/>
        <v>0</v>
      </c>
      <c r="X172">
        <f t="shared" si="102"/>
        <v>16750</v>
      </c>
      <c r="Y172">
        <f t="shared" si="103"/>
        <v>16750</v>
      </c>
      <c r="Z172">
        <v>1</v>
      </c>
      <c r="AA172">
        <f t="shared" si="104"/>
        <v>16750</v>
      </c>
      <c r="AB172">
        <f t="shared" si="105"/>
        <v>16750</v>
      </c>
      <c r="AC172">
        <f t="shared" si="106"/>
        <v>8250</v>
      </c>
      <c r="AD172">
        <f t="shared" si="107"/>
        <v>1998.0833333333333</v>
      </c>
      <c r="AE172">
        <f t="shared" si="108"/>
        <v>2018.0833333333333</v>
      </c>
      <c r="AF172">
        <f t="shared" si="109"/>
        <v>2003.0833333333333</v>
      </c>
      <c r="AG172">
        <f t="shared" si="110"/>
        <v>2017.0833333333333</v>
      </c>
      <c r="AH172">
        <f t="shared" si="111"/>
        <v>-8.3333333333333329E-2</v>
      </c>
      <c r="AJ172">
        <f t="shared" si="112"/>
        <v>2750</v>
      </c>
      <c r="AL172">
        <f t="shared" si="113"/>
        <v>2750</v>
      </c>
      <c r="AN172">
        <f t="shared" si="114"/>
        <v>-8250</v>
      </c>
      <c r="AP172">
        <f t="shared" si="115"/>
        <v>0</v>
      </c>
      <c r="AR172">
        <f t="shared" si="116"/>
        <v>0</v>
      </c>
    </row>
    <row r="173" spans="1:44">
      <c r="A173">
        <v>114278</v>
      </c>
      <c r="B173" t="s">
        <v>285</v>
      </c>
      <c r="C173">
        <v>1029</v>
      </c>
      <c r="D173" t="s">
        <v>537</v>
      </c>
      <c r="E173">
        <v>2000</v>
      </c>
      <c r="F173">
        <v>6</v>
      </c>
      <c r="G173">
        <v>0.2</v>
      </c>
      <c r="I173" t="s">
        <v>78</v>
      </c>
      <c r="J173">
        <v>7</v>
      </c>
      <c r="K173">
        <f t="shared" si="95"/>
        <v>2007</v>
      </c>
      <c r="N173">
        <v>95126.41</v>
      </c>
      <c r="P173">
        <f t="shared" si="96"/>
        <v>76101.127999999997</v>
      </c>
      <c r="Q173">
        <f t="shared" si="97"/>
        <v>905.96580952380953</v>
      </c>
      <c r="R173">
        <f t="shared" si="98"/>
        <v>0</v>
      </c>
      <c r="S173">
        <f t="shared" si="99"/>
        <v>0</v>
      </c>
      <c r="T173">
        <f t="shared" si="100"/>
        <v>0</v>
      </c>
      <c r="U173">
        <v>1</v>
      </c>
      <c r="V173">
        <f t="shared" si="101"/>
        <v>0</v>
      </c>
      <c r="X173">
        <f t="shared" si="102"/>
        <v>76101.127999999997</v>
      </c>
      <c r="Y173">
        <f t="shared" si="103"/>
        <v>76101.127999999997</v>
      </c>
      <c r="Z173">
        <v>1</v>
      </c>
      <c r="AA173">
        <f t="shared" si="104"/>
        <v>76101.127999999997</v>
      </c>
      <c r="AB173">
        <f t="shared" si="105"/>
        <v>76101.127999999997</v>
      </c>
      <c r="AC173">
        <f t="shared" si="106"/>
        <v>19025.282000000007</v>
      </c>
      <c r="AD173">
        <f t="shared" si="107"/>
        <v>2000.4166666666667</v>
      </c>
      <c r="AE173">
        <f t="shared" si="108"/>
        <v>2018.0833333333333</v>
      </c>
      <c r="AF173">
        <f t="shared" si="109"/>
        <v>2007.4166666666667</v>
      </c>
      <c r="AG173">
        <f t="shared" si="110"/>
        <v>2017.0833333333333</v>
      </c>
      <c r="AH173">
        <f t="shared" si="111"/>
        <v>-8.3333333333333329E-2</v>
      </c>
      <c r="AJ173">
        <f t="shared" si="112"/>
        <v>6341.7606666666688</v>
      </c>
      <c r="AL173">
        <f t="shared" si="113"/>
        <v>6341.7606666666688</v>
      </c>
      <c r="AN173">
        <f t="shared" si="114"/>
        <v>-19025.282000000007</v>
      </c>
      <c r="AP173">
        <f t="shared" si="115"/>
        <v>0</v>
      </c>
      <c r="AR173">
        <f t="shared" si="116"/>
        <v>0</v>
      </c>
    </row>
    <row r="174" spans="1:44">
      <c r="A174">
        <v>114268</v>
      </c>
      <c r="B174" t="s">
        <v>285</v>
      </c>
      <c r="C174">
        <v>1036</v>
      </c>
      <c r="D174" t="s">
        <v>538</v>
      </c>
      <c r="E174">
        <v>2002</v>
      </c>
      <c r="F174">
        <v>6</v>
      </c>
      <c r="G174">
        <v>0.2</v>
      </c>
      <c r="I174" t="s">
        <v>78</v>
      </c>
      <c r="J174">
        <v>7</v>
      </c>
      <c r="K174">
        <f t="shared" si="95"/>
        <v>2009</v>
      </c>
      <c r="N174">
        <v>101881.5</v>
      </c>
      <c r="P174">
        <f t="shared" si="96"/>
        <v>81505.2</v>
      </c>
      <c r="Q174">
        <f t="shared" si="97"/>
        <v>970.30000000000007</v>
      </c>
      <c r="R174">
        <f t="shared" si="98"/>
        <v>0</v>
      </c>
      <c r="S174">
        <f t="shared" si="99"/>
        <v>0</v>
      </c>
      <c r="T174">
        <f t="shared" si="100"/>
        <v>0</v>
      </c>
      <c r="U174">
        <v>1</v>
      </c>
      <c r="V174">
        <f t="shared" si="101"/>
        <v>0</v>
      </c>
      <c r="X174">
        <f t="shared" si="102"/>
        <v>81505.2</v>
      </c>
      <c r="Y174">
        <f t="shared" si="103"/>
        <v>81505.2</v>
      </c>
      <c r="Z174">
        <v>1</v>
      </c>
      <c r="AA174">
        <f t="shared" si="104"/>
        <v>81505.2</v>
      </c>
      <c r="AB174">
        <f t="shared" si="105"/>
        <v>81505.2</v>
      </c>
      <c r="AC174">
        <f t="shared" si="106"/>
        <v>20376.300000000003</v>
      </c>
      <c r="AD174">
        <f t="shared" si="107"/>
        <v>2002.4166666666667</v>
      </c>
      <c r="AE174">
        <f t="shared" si="108"/>
        <v>2018.0833333333333</v>
      </c>
      <c r="AF174">
        <f t="shared" si="109"/>
        <v>2009.4166666666667</v>
      </c>
      <c r="AG174">
        <f t="shared" si="110"/>
        <v>2017.0833333333333</v>
      </c>
      <c r="AH174">
        <f t="shared" si="111"/>
        <v>-8.3333333333333329E-2</v>
      </c>
      <c r="AJ174">
        <f t="shared" si="112"/>
        <v>6792.1000000000013</v>
      </c>
      <c r="AL174">
        <f t="shared" si="113"/>
        <v>6792.1000000000013</v>
      </c>
      <c r="AN174">
        <f t="shared" si="114"/>
        <v>-20376.300000000003</v>
      </c>
      <c r="AP174">
        <f t="shared" si="115"/>
        <v>0</v>
      </c>
      <c r="AR174">
        <f t="shared" si="116"/>
        <v>0</v>
      </c>
    </row>
    <row r="175" spans="1:44">
      <c r="A175">
        <v>114306</v>
      </c>
      <c r="B175" t="s">
        <v>285</v>
      </c>
      <c r="C175">
        <v>1038</v>
      </c>
      <c r="D175" t="s">
        <v>539</v>
      </c>
      <c r="E175">
        <v>2003</v>
      </c>
      <c r="F175">
        <v>5</v>
      </c>
      <c r="G175">
        <v>0.2</v>
      </c>
      <c r="I175" t="s">
        <v>78</v>
      </c>
      <c r="J175">
        <v>7</v>
      </c>
      <c r="K175">
        <f t="shared" si="95"/>
        <v>2010</v>
      </c>
      <c r="N175">
        <f>98919.95+1403.57+520</f>
        <v>100843.52</v>
      </c>
      <c r="P175">
        <f t="shared" si="96"/>
        <v>80674.816000000006</v>
      </c>
      <c r="Q175">
        <f t="shared" si="97"/>
        <v>960.41447619047631</v>
      </c>
      <c r="R175">
        <f>IF(O175&gt;0,0,IF(OR(AD175&gt;AE175,AF175&lt;AG175),0,IF(AND(AF175&gt;=AG175,AF175&lt;=AE175),Q175*((AF175-AG175)*12),IF(AND(AG175&lt;=AD175,AE175&gt;=AD175),((AE175-AD175)*12)*Q175,IF(AF175&gt;AE175,12*Q175,0)))))</f>
        <v>0</v>
      </c>
      <c r="S175">
        <f>IF(O175=0,0,IF(AND(AH175&gt;=AG175,AH175&lt;=AF175),((AH175-AG175)*12)*Q175,0))</f>
        <v>0</v>
      </c>
      <c r="T175">
        <f>IF(S175&gt;0,S175,R175)</f>
        <v>0</v>
      </c>
      <c r="U175">
        <v>1</v>
      </c>
      <c r="V175">
        <f>U175*SUM(R175:S175)</f>
        <v>0</v>
      </c>
      <c r="X175">
        <f>IF(AD175&gt;AE175,0,IF(AF175&lt;AG175,P175,IF(AND(AF175&gt;=AG175,AF175&lt;=AE175),(P175-T175),IF(AND(AG175&lt;=AD175,AE175&gt;=AD175),0,IF(AF175&gt;AE175,((AG175-AD175)*12)*Q175,0)))))</f>
        <v>80674.816000000006</v>
      </c>
      <c r="Y175">
        <f>X175*U175</f>
        <v>80674.816000000006</v>
      </c>
      <c r="Z175">
        <v>1</v>
      </c>
      <c r="AA175">
        <f>Y175*Z175</f>
        <v>80674.816000000006</v>
      </c>
      <c r="AB175">
        <f>IF(O175&gt;0,0,AA175+V175*Z175)*Z175</f>
        <v>80674.816000000006</v>
      </c>
      <c r="AC175">
        <f>IF(O175&gt;0,(N175-AA175)/2,IF(AD175&gt;=AG175,(((N175*U175)*Z175)-AB175)/2,((((N175*U175)*Z175)-AA175)+(((N175*U175)*Z175)-AB175))/2))</f>
        <v>20168.703999999998</v>
      </c>
      <c r="AD175">
        <f t="shared" si="107"/>
        <v>2003.3333333333333</v>
      </c>
      <c r="AE175">
        <f t="shared" si="108"/>
        <v>2018.0833333333333</v>
      </c>
      <c r="AF175">
        <f t="shared" si="109"/>
        <v>2010.3333333333333</v>
      </c>
      <c r="AG175">
        <f t="shared" si="110"/>
        <v>2017.0833333333333</v>
      </c>
      <c r="AH175">
        <f t="shared" si="111"/>
        <v>-8.3333333333333329E-2</v>
      </c>
      <c r="AJ175">
        <f t="shared" si="112"/>
        <v>6722.9013333333323</v>
      </c>
      <c r="AL175">
        <f t="shared" si="113"/>
        <v>6722.9013333333323</v>
      </c>
      <c r="AN175">
        <f t="shared" si="114"/>
        <v>-20168.703999999998</v>
      </c>
      <c r="AP175">
        <f t="shared" si="115"/>
        <v>0</v>
      </c>
      <c r="AR175">
        <f t="shared" si="116"/>
        <v>0</v>
      </c>
    </row>
    <row r="176" spans="1:44">
      <c r="A176">
        <v>114269</v>
      </c>
      <c r="B176" t="s">
        <v>283</v>
      </c>
      <c r="C176">
        <v>4518</v>
      </c>
      <c r="D176" t="s">
        <v>540</v>
      </c>
      <c r="E176">
        <v>2003</v>
      </c>
      <c r="F176">
        <v>12</v>
      </c>
      <c r="G176">
        <v>0.2</v>
      </c>
      <c r="I176" t="s">
        <v>78</v>
      </c>
      <c r="J176">
        <v>7</v>
      </c>
      <c r="K176">
        <f t="shared" si="95"/>
        <v>2010</v>
      </c>
      <c r="N176">
        <v>71912.5</v>
      </c>
      <c r="P176">
        <f t="shared" si="96"/>
        <v>57530</v>
      </c>
      <c r="Q176">
        <f t="shared" si="97"/>
        <v>684.88095238095241</v>
      </c>
      <c r="R176">
        <f t="shared" si="98"/>
        <v>0</v>
      </c>
      <c r="S176">
        <f t="shared" si="99"/>
        <v>0</v>
      </c>
      <c r="T176">
        <f t="shared" si="100"/>
        <v>0</v>
      </c>
      <c r="U176">
        <v>1</v>
      </c>
      <c r="V176">
        <f t="shared" si="101"/>
        <v>0</v>
      </c>
      <c r="X176">
        <f t="shared" si="102"/>
        <v>57530</v>
      </c>
      <c r="Y176">
        <f t="shared" si="103"/>
        <v>57530</v>
      </c>
      <c r="Z176">
        <v>1</v>
      </c>
      <c r="AA176">
        <f t="shared" si="104"/>
        <v>57530</v>
      </c>
      <c r="AB176">
        <f t="shared" si="105"/>
        <v>57530</v>
      </c>
      <c r="AC176">
        <f t="shared" si="106"/>
        <v>14382.5</v>
      </c>
      <c r="AD176">
        <f t="shared" si="107"/>
        <v>2003.9166666666667</v>
      </c>
      <c r="AE176">
        <f t="shared" si="108"/>
        <v>2018.0833333333333</v>
      </c>
      <c r="AF176">
        <f t="shared" si="109"/>
        <v>2010.9166666666667</v>
      </c>
      <c r="AG176">
        <f t="shared" si="110"/>
        <v>2017.0833333333333</v>
      </c>
      <c r="AH176">
        <f t="shared" si="111"/>
        <v>-8.3333333333333329E-2</v>
      </c>
      <c r="AJ176">
        <f t="shared" si="112"/>
        <v>4794.166666666667</v>
      </c>
      <c r="AL176">
        <f t="shared" si="113"/>
        <v>4794.166666666667</v>
      </c>
      <c r="AN176">
        <f t="shared" si="114"/>
        <v>-14382.5</v>
      </c>
      <c r="AP176">
        <f t="shared" si="115"/>
        <v>0</v>
      </c>
      <c r="AR176">
        <f t="shared" si="116"/>
        <v>0</v>
      </c>
    </row>
    <row r="177" spans="1:44">
      <c r="A177">
        <v>114281</v>
      </c>
      <c r="B177" t="s">
        <v>286</v>
      </c>
      <c r="C177">
        <v>2022</v>
      </c>
      <c r="D177" t="s">
        <v>541</v>
      </c>
      <c r="E177">
        <v>2004</v>
      </c>
      <c r="F177">
        <v>12</v>
      </c>
      <c r="G177">
        <v>0.2</v>
      </c>
      <c r="I177" t="s">
        <v>78</v>
      </c>
      <c r="J177">
        <v>7</v>
      </c>
      <c r="K177">
        <f t="shared" si="95"/>
        <v>2011</v>
      </c>
      <c r="N177">
        <v>181304.22</v>
      </c>
      <c r="P177">
        <f t="shared" si="96"/>
        <v>145043.37599999999</v>
      </c>
      <c r="Q177">
        <f t="shared" si="97"/>
        <v>1726.706857142857</v>
      </c>
      <c r="R177">
        <f t="shared" si="98"/>
        <v>0</v>
      </c>
      <c r="S177">
        <f t="shared" si="99"/>
        <v>0</v>
      </c>
      <c r="T177">
        <f t="shared" si="100"/>
        <v>0</v>
      </c>
      <c r="U177">
        <v>1</v>
      </c>
      <c r="V177">
        <f t="shared" si="101"/>
        <v>0</v>
      </c>
      <c r="X177">
        <f t="shared" si="102"/>
        <v>145043.37599999999</v>
      </c>
      <c r="Y177">
        <f t="shared" si="103"/>
        <v>145043.37599999999</v>
      </c>
      <c r="Z177">
        <v>1</v>
      </c>
      <c r="AA177">
        <f t="shared" si="104"/>
        <v>145043.37599999999</v>
      </c>
      <c r="AB177">
        <f t="shared" si="105"/>
        <v>145043.37599999999</v>
      </c>
      <c r="AC177">
        <f t="shared" si="106"/>
        <v>36260.844000000012</v>
      </c>
      <c r="AD177">
        <f t="shared" si="107"/>
        <v>2004.9166666666667</v>
      </c>
      <c r="AE177">
        <f t="shared" si="108"/>
        <v>2018.0833333333333</v>
      </c>
      <c r="AF177">
        <f t="shared" si="109"/>
        <v>2011.9166666666667</v>
      </c>
      <c r="AG177">
        <f t="shared" si="110"/>
        <v>2017.0833333333333</v>
      </c>
      <c r="AH177">
        <f t="shared" si="111"/>
        <v>-8.3333333333333329E-2</v>
      </c>
      <c r="AJ177">
        <f t="shared" si="112"/>
        <v>12086.948000000004</v>
      </c>
      <c r="AL177">
        <f t="shared" si="113"/>
        <v>12086.948000000004</v>
      </c>
      <c r="AN177">
        <f t="shared" si="114"/>
        <v>-36260.844000000012</v>
      </c>
      <c r="AP177">
        <f t="shared" si="115"/>
        <v>0</v>
      </c>
      <c r="AR177">
        <f t="shared" si="116"/>
        <v>0</v>
      </c>
    </row>
    <row r="178" spans="1:44">
      <c r="A178">
        <v>114303</v>
      </c>
      <c r="B178" t="s">
        <v>285</v>
      </c>
      <c r="C178">
        <v>1014</v>
      </c>
      <c r="D178" t="s">
        <v>542</v>
      </c>
      <c r="E178">
        <v>2008</v>
      </c>
      <c r="F178">
        <v>11</v>
      </c>
      <c r="G178">
        <v>0.33</v>
      </c>
      <c r="I178" t="s">
        <v>78</v>
      </c>
      <c r="J178">
        <v>5</v>
      </c>
      <c r="K178">
        <f t="shared" si="95"/>
        <v>2013</v>
      </c>
      <c r="N178">
        <v>5500</v>
      </c>
      <c r="P178">
        <f t="shared" si="96"/>
        <v>3685</v>
      </c>
      <c r="Q178">
        <f t="shared" si="97"/>
        <v>61.416666666666664</v>
      </c>
      <c r="R178">
        <f t="shared" si="98"/>
        <v>0</v>
      </c>
      <c r="S178">
        <f t="shared" si="99"/>
        <v>0</v>
      </c>
      <c r="T178">
        <f t="shared" si="100"/>
        <v>0</v>
      </c>
      <c r="U178">
        <v>1</v>
      </c>
      <c r="V178">
        <f t="shared" si="101"/>
        <v>0</v>
      </c>
      <c r="X178">
        <f t="shared" si="102"/>
        <v>3685</v>
      </c>
      <c r="Y178">
        <f t="shared" si="103"/>
        <v>3685</v>
      </c>
      <c r="Z178">
        <v>1</v>
      </c>
      <c r="AA178">
        <f t="shared" si="104"/>
        <v>3685</v>
      </c>
      <c r="AB178">
        <f t="shared" si="105"/>
        <v>3685</v>
      </c>
      <c r="AC178">
        <f t="shared" si="106"/>
        <v>1815</v>
      </c>
      <c r="AD178">
        <f t="shared" si="107"/>
        <v>2008.8333333333333</v>
      </c>
      <c r="AE178">
        <f t="shared" si="108"/>
        <v>2018.0833333333333</v>
      </c>
      <c r="AF178">
        <f t="shared" si="109"/>
        <v>2013.8333333333333</v>
      </c>
      <c r="AG178">
        <f t="shared" si="110"/>
        <v>2017.0833333333333</v>
      </c>
      <c r="AH178">
        <f t="shared" si="111"/>
        <v>-8.3333333333333329E-2</v>
      </c>
      <c r="AJ178">
        <f t="shared" si="112"/>
        <v>605</v>
      </c>
      <c r="AL178">
        <f t="shared" si="113"/>
        <v>605</v>
      </c>
      <c r="AN178">
        <f t="shared" si="114"/>
        <v>-1815</v>
      </c>
      <c r="AP178">
        <f t="shared" si="115"/>
        <v>0</v>
      </c>
      <c r="AR178">
        <f t="shared" si="116"/>
        <v>0</v>
      </c>
    </row>
    <row r="179" spans="1:44">
      <c r="A179">
        <v>61159</v>
      </c>
      <c r="B179" t="s">
        <v>543</v>
      </c>
      <c r="C179">
        <v>9576</v>
      </c>
      <c r="D179" t="s">
        <v>563</v>
      </c>
      <c r="E179">
        <v>2008</v>
      </c>
      <c r="F179">
        <v>11</v>
      </c>
      <c r="G179">
        <v>0.33</v>
      </c>
      <c r="I179" t="s">
        <v>78</v>
      </c>
      <c r="J179">
        <v>5</v>
      </c>
      <c r="K179">
        <f t="shared" si="95"/>
        <v>2013</v>
      </c>
      <c r="N179">
        <v>23327</v>
      </c>
      <c r="P179">
        <f t="shared" si="96"/>
        <v>15629.09</v>
      </c>
      <c r="Q179">
        <f t="shared" si="97"/>
        <v>260.48483333333337</v>
      </c>
      <c r="R179">
        <f>IF(O179&gt;0,0,IF(OR(AD179&gt;AE179,AF179&lt;AG179),0,IF(AND(AF179&gt;=AG179,AF179&lt;=AE179),Q179*((AF179-AG179)*12),IF(AND(AG179&lt;=AD179,AE179&gt;=AD179),((AE179-AD179)*12)*Q179,IF(AF179&gt;AE179,12*Q179,0)))))</f>
        <v>0</v>
      </c>
      <c r="S179">
        <f>IF(O179=0,0,IF(AND(AH179&gt;=AG179,AH179&lt;=AF179),((AH179-AG179)*12)*Q179,0))</f>
        <v>0</v>
      </c>
      <c r="T179">
        <f>IF(S179&gt;0,S179,R179)</f>
        <v>0</v>
      </c>
      <c r="U179">
        <v>1</v>
      </c>
      <c r="V179">
        <f>U179*SUM(R179:S179)</f>
        <v>0</v>
      </c>
      <c r="X179">
        <f>IF(AD179&gt;AE179,0,IF(AF179&lt;AG179,P179,IF(AND(AF179&gt;=AG179,AF179&lt;=AE179),(P179-T179),IF(AND(AG179&lt;=AD179,AE179&gt;=AD179),0,IF(AF179&gt;AE179,((AG179-AD179)*12)*Q179,0)))))</f>
        <v>15629.09</v>
      </c>
      <c r="Y179">
        <f>X179*U179</f>
        <v>15629.09</v>
      </c>
      <c r="Z179">
        <v>1</v>
      </c>
      <c r="AA179">
        <f>Y179*Z179</f>
        <v>15629.09</v>
      </c>
      <c r="AB179">
        <f>IF(O179&gt;0,0,AA179+V179*Z179)*Z179</f>
        <v>15629.09</v>
      </c>
      <c r="AC179">
        <f>IF(O179&gt;0,(N179-AA179)/2,IF(AD179&gt;=AG179,(((N179*U179)*Z179)-AB179)/2,((((N179*U179)*Z179)-AA179)+(((N179*U179)*Z179)-AB179))/2))</f>
        <v>7697.91</v>
      </c>
      <c r="AD179">
        <f t="shared" si="107"/>
        <v>2008.8333333333333</v>
      </c>
      <c r="AE179">
        <f t="shared" si="108"/>
        <v>2018.0833333333333</v>
      </c>
      <c r="AF179">
        <f t="shared" si="109"/>
        <v>2013.8333333333333</v>
      </c>
      <c r="AG179">
        <f t="shared" si="110"/>
        <v>2017.0833333333333</v>
      </c>
      <c r="AH179">
        <f t="shared" si="111"/>
        <v>-8.3333333333333329E-2</v>
      </c>
      <c r="AJ179">
        <f t="shared" si="112"/>
        <v>2565.9699999999998</v>
      </c>
      <c r="AL179">
        <f t="shared" si="113"/>
        <v>2565.9699999999998</v>
      </c>
      <c r="AN179">
        <f t="shared" si="114"/>
        <v>-7697.91</v>
      </c>
      <c r="AP179">
        <f t="shared" si="115"/>
        <v>0</v>
      </c>
      <c r="AR179">
        <f t="shared" si="116"/>
        <v>0</v>
      </c>
    </row>
    <row r="180" spans="1:44">
      <c r="A180">
        <v>114279</v>
      </c>
      <c r="B180" t="s">
        <v>285</v>
      </c>
      <c r="C180">
        <v>1029</v>
      </c>
      <c r="D180" t="s">
        <v>544</v>
      </c>
      <c r="E180">
        <v>2009</v>
      </c>
      <c r="F180">
        <v>6</v>
      </c>
      <c r="G180">
        <v>0</v>
      </c>
      <c r="I180" t="s">
        <v>78</v>
      </c>
      <c r="J180">
        <v>3</v>
      </c>
      <c r="K180">
        <f t="shared" si="95"/>
        <v>2012</v>
      </c>
      <c r="N180">
        <v>2915.87</v>
      </c>
      <c r="P180">
        <f t="shared" si="96"/>
        <v>2915.87</v>
      </c>
      <c r="Q180">
        <f t="shared" si="97"/>
        <v>80.996388888888887</v>
      </c>
      <c r="R180">
        <f t="shared" si="98"/>
        <v>0</v>
      </c>
      <c r="S180">
        <f t="shared" si="99"/>
        <v>0</v>
      </c>
      <c r="T180">
        <f t="shared" si="100"/>
        <v>0</v>
      </c>
      <c r="U180">
        <v>1</v>
      </c>
      <c r="V180">
        <f t="shared" si="101"/>
        <v>0</v>
      </c>
      <c r="X180">
        <f t="shared" si="102"/>
        <v>2915.87</v>
      </c>
      <c r="Y180">
        <f t="shared" si="103"/>
        <v>2915.87</v>
      </c>
      <c r="Z180">
        <v>1</v>
      </c>
      <c r="AA180">
        <f t="shared" si="104"/>
        <v>2915.87</v>
      </c>
      <c r="AB180">
        <f t="shared" si="105"/>
        <v>2915.87</v>
      </c>
      <c r="AC180">
        <f t="shared" si="106"/>
        <v>0</v>
      </c>
      <c r="AD180">
        <f t="shared" si="107"/>
        <v>2009.4166666666667</v>
      </c>
      <c r="AE180">
        <f t="shared" si="108"/>
        <v>2018.0833333333333</v>
      </c>
      <c r="AF180">
        <f t="shared" si="109"/>
        <v>2012.4166666666667</v>
      </c>
      <c r="AG180">
        <f t="shared" si="110"/>
        <v>2017.0833333333333</v>
      </c>
      <c r="AH180">
        <f t="shared" si="111"/>
        <v>-8.3333333333333329E-2</v>
      </c>
      <c r="AJ180">
        <f t="shared" si="112"/>
        <v>0</v>
      </c>
      <c r="AL180">
        <f t="shared" si="113"/>
        <v>0</v>
      </c>
      <c r="AN180">
        <f t="shared" si="114"/>
        <v>0</v>
      </c>
      <c r="AP180">
        <f t="shared" si="115"/>
        <v>0</v>
      </c>
      <c r="AR180">
        <f t="shared" si="116"/>
        <v>0</v>
      </c>
    </row>
    <row r="181" spans="1:44">
      <c r="A181">
        <v>114265</v>
      </c>
      <c r="B181" t="s">
        <v>285</v>
      </c>
      <c r="C181">
        <v>1559</v>
      </c>
      <c r="D181" t="s">
        <v>545</v>
      </c>
      <c r="E181">
        <v>2009</v>
      </c>
      <c r="F181">
        <v>6</v>
      </c>
      <c r="G181">
        <v>0</v>
      </c>
      <c r="I181" t="s">
        <v>78</v>
      </c>
      <c r="J181">
        <v>3</v>
      </c>
      <c r="K181">
        <f t="shared" si="95"/>
        <v>2012</v>
      </c>
      <c r="N181">
        <v>10511.07</v>
      </c>
      <c r="P181">
        <f t="shared" si="96"/>
        <v>10511.07</v>
      </c>
      <c r="Q181">
        <f t="shared" si="97"/>
        <v>291.97416666666669</v>
      </c>
      <c r="R181">
        <f t="shared" si="98"/>
        <v>0</v>
      </c>
      <c r="S181">
        <f t="shared" si="99"/>
        <v>0</v>
      </c>
      <c r="T181">
        <f t="shared" si="100"/>
        <v>0</v>
      </c>
      <c r="U181">
        <v>1</v>
      </c>
      <c r="V181">
        <f t="shared" si="101"/>
        <v>0</v>
      </c>
      <c r="X181">
        <f t="shared" si="102"/>
        <v>10511.07</v>
      </c>
      <c r="Y181">
        <f t="shared" si="103"/>
        <v>10511.07</v>
      </c>
      <c r="Z181">
        <v>1</v>
      </c>
      <c r="AA181">
        <f t="shared" si="104"/>
        <v>10511.07</v>
      </c>
      <c r="AB181">
        <f t="shared" si="105"/>
        <v>10511.07</v>
      </c>
      <c r="AC181">
        <f t="shared" si="106"/>
        <v>0</v>
      </c>
      <c r="AD181">
        <f t="shared" si="107"/>
        <v>2009.4166666666667</v>
      </c>
      <c r="AE181">
        <f t="shared" si="108"/>
        <v>2018.0833333333333</v>
      </c>
      <c r="AF181">
        <f t="shared" si="109"/>
        <v>2012.4166666666667</v>
      </c>
      <c r="AG181">
        <f t="shared" si="110"/>
        <v>2017.0833333333333</v>
      </c>
      <c r="AH181">
        <f t="shared" si="111"/>
        <v>-8.3333333333333329E-2</v>
      </c>
      <c r="AJ181">
        <f t="shared" si="112"/>
        <v>0</v>
      </c>
      <c r="AL181">
        <f t="shared" si="113"/>
        <v>0</v>
      </c>
      <c r="AN181">
        <f t="shared" si="114"/>
        <v>0</v>
      </c>
      <c r="AP181">
        <f t="shared" si="115"/>
        <v>0</v>
      </c>
      <c r="AR181">
        <f t="shared" si="116"/>
        <v>0</v>
      </c>
    </row>
    <row r="182" spans="1:44">
      <c r="A182">
        <v>114282</v>
      </c>
      <c r="B182" t="s">
        <v>286</v>
      </c>
      <c r="C182">
        <v>2022</v>
      </c>
      <c r="D182" t="s">
        <v>546</v>
      </c>
      <c r="E182">
        <v>2009</v>
      </c>
      <c r="F182">
        <v>6</v>
      </c>
      <c r="G182">
        <v>0</v>
      </c>
      <c r="I182" t="s">
        <v>78</v>
      </c>
      <c r="J182">
        <v>3</v>
      </c>
      <c r="K182">
        <f t="shared" si="95"/>
        <v>2012</v>
      </c>
      <c r="N182">
        <v>9254.61</v>
      </c>
      <c r="P182">
        <f t="shared" si="96"/>
        <v>9254.61</v>
      </c>
      <c r="Q182">
        <f t="shared" si="97"/>
        <v>257.07250000000005</v>
      </c>
      <c r="R182">
        <f t="shared" si="98"/>
        <v>0</v>
      </c>
      <c r="S182">
        <f t="shared" si="99"/>
        <v>0</v>
      </c>
      <c r="T182">
        <f t="shared" si="100"/>
        <v>0</v>
      </c>
      <c r="U182">
        <v>1</v>
      </c>
      <c r="V182">
        <f t="shared" si="101"/>
        <v>0</v>
      </c>
      <c r="X182">
        <f t="shared" si="102"/>
        <v>9254.61</v>
      </c>
      <c r="Y182">
        <f t="shared" si="103"/>
        <v>9254.61</v>
      </c>
      <c r="Z182">
        <v>1</v>
      </c>
      <c r="AA182">
        <f t="shared" si="104"/>
        <v>9254.61</v>
      </c>
      <c r="AB182">
        <f t="shared" si="105"/>
        <v>9254.61</v>
      </c>
      <c r="AC182">
        <f t="shared" si="106"/>
        <v>0</v>
      </c>
      <c r="AD182">
        <f t="shared" si="107"/>
        <v>2009.4166666666667</v>
      </c>
      <c r="AE182">
        <f t="shared" si="108"/>
        <v>2018.0833333333333</v>
      </c>
      <c r="AF182">
        <f t="shared" si="109"/>
        <v>2012.4166666666667</v>
      </c>
      <c r="AG182">
        <f t="shared" si="110"/>
        <v>2017.0833333333333</v>
      </c>
      <c r="AH182">
        <f t="shared" si="111"/>
        <v>-8.3333333333333329E-2</v>
      </c>
      <c r="AJ182">
        <f t="shared" si="112"/>
        <v>0</v>
      </c>
      <c r="AL182">
        <f t="shared" si="113"/>
        <v>0</v>
      </c>
      <c r="AN182">
        <f t="shared" si="114"/>
        <v>0</v>
      </c>
      <c r="AP182">
        <f t="shared" si="115"/>
        <v>0</v>
      </c>
      <c r="AR182">
        <f t="shared" si="116"/>
        <v>0</v>
      </c>
    </row>
    <row r="183" spans="1:44">
      <c r="B183" t="s">
        <v>311</v>
      </c>
      <c r="C183">
        <v>68613</v>
      </c>
      <c r="D183" t="s">
        <v>324</v>
      </c>
      <c r="E183">
        <v>2009</v>
      </c>
      <c r="F183">
        <v>7</v>
      </c>
      <c r="G183">
        <v>0.33</v>
      </c>
      <c r="I183" t="s">
        <v>78</v>
      </c>
      <c r="J183">
        <v>5</v>
      </c>
      <c r="K183">
        <f t="shared" si="95"/>
        <v>2014</v>
      </c>
      <c r="N183">
        <v>8065.49</v>
      </c>
      <c r="P183">
        <f t="shared" si="96"/>
        <v>5403.8783000000003</v>
      </c>
      <c r="Q183">
        <f t="shared" si="97"/>
        <v>90.064638333333335</v>
      </c>
      <c r="R183">
        <f t="shared" si="98"/>
        <v>0</v>
      </c>
      <c r="S183">
        <f t="shared" si="99"/>
        <v>0</v>
      </c>
      <c r="T183">
        <f t="shared" si="100"/>
        <v>0</v>
      </c>
      <c r="U183">
        <v>1</v>
      </c>
      <c r="V183">
        <f t="shared" si="101"/>
        <v>0</v>
      </c>
      <c r="X183">
        <f t="shared" si="102"/>
        <v>5403.8783000000003</v>
      </c>
      <c r="Y183">
        <f t="shared" si="103"/>
        <v>5403.8783000000003</v>
      </c>
      <c r="Z183">
        <v>1</v>
      </c>
      <c r="AA183">
        <f t="shared" si="104"/>
        <v>5403.8783000000003</v>
      </c>
      <c r="AB183">
        <f t="shared" si="105"/>
        <v>5403.8783000000003</v>
      </c>
      <c r="AC183">
        <f t="shared" si="106"/>
        <v>2661.6116999999995</v>
      </c>
      <c r="AD183">
        <f t="shared" si="107"/>
        <v>2009.5</v>
      </c>
      <c r="AE183">
        <f t="shared" si="108"/>
        <v>2018.0833333333333</v>
      </c>
      <c r="AF183">
        <f t="shared" si="109"/>
        <v>2014.5</v>
      </c>
      <c r="AG183">
        <f t="shared" si="110"/>
        <v>2017.0833333333333</v>
      </c>
      <c r="AH183">
        <f t="shared" si="111"/>
        <v>-8.3333333333333329E-2</v>
      </c>
      <c r="AJ183">
        <f t="shared" si="112"/>
        <v>887.20389999999986</v>
      </c>
      <c r="AL183">
        <f t="shared" si="113"/>
        <v>887.20389999999986</v>
      </c>
      <c r="AN183">
        <f t="shared" si="114"/>
        <v>-2661.6116999999995</v>
      </c>
      <c r="AP183">
        <f t="shared" si="115"/>
        <v>0</v>
      </c>
      <c r="AR183">
        <f t="shared" si="116"/>
        <v>0</v>
      </c>
    </row>
    <row r="184" spans="1:44">
      <c r="A184">
        <v>88722</v>
      </c>
      <c r="D184" t="s">
        <v>547</v>
      </c>
      <c r="E184">
        <v>2011</v>
      </c>
      <c r="F184">
        <v>12</v>
      </c>
      <c r="G184">
        <v>0</v>
      </c>
      <c r="I184" t="s">
        <v>78</v>
      </c>
      <c r="J184">
        <v>5</v>
      </c>
      <c r="K184">
        <f t="shared" si="95"/>
        <v>2016</v>
      </c>
      <c r="N184">
        <f>(487.65*3)+(476.03*13)</f>
        <v>7651.3399999999992</v>
      </c>
      <c r="P184">
        <f t="shared" si="96"/>
        <v>7651.3399999999992</v>
      </c>
      <c r="Q184">
        <f t="shared" si="97"/>
        <v>127.52233333333332</v>
      </c>
      <c r="R184">
        <f t="shared" si="98"/>
        <v>0</v>
      </c>
      <c r="S184">
        <f t="shared" si="99"/>
        <v>0</v>
      </c>
      <c r="T184">
        <f t="shared" si="100"/>
        <v>0</v>
      </c>
      <c r="U184">
        <v>1</v>
      </c>
      <c r="V184">
        <f t="shared" si="101"/>
        <v>0</v>
      </c>
      <c r="X184">
        <f t="shared" si="102"/>
        <v>7651.3399999999992</v>
      </c>
      <c r="Y184">
        <f t="shared" si="103"/>
        <v>7651.3399999999992</v>
      </c>
      <c r="Z184">
        <v>1</v>
      </c>
      <c r="AA184">
        <f t="shared" si="104"/>
        <v>7651.3399999999992</v>
      </c>
      <c r="AB184">
        <f t="shared" si="105"/>
        <v>7651.3399999999992</v>
      </c>
      <c r="AC184">
        <f t="shared" si="106"/>
        <v>0</v>
      </c>
      <c r="AD184">
        <f t="shared" si="107"/>
        <v>2011.9166666666667</v>
      </c>
      <c r="AE184">
        <f t="shared" si="108"/>
        <v>2018.0833333333333</v>
      </c>
      <c r="AF184">
        <f t="shared" si="109"/>
        <v>2016.9166666666667</v>
      </c>
      <c r="AG184">
        <f t="shared" si="110"/>
        <v>2017.0833333333333</v>
      </c>
      <c r="AH184">
        <f t="shared" si="111"/>
        <v>-8.3333333333333329E-2</v>
      </c>
      <c r="AJ184">
        <f t="shared" si="112"/>
        <v>0</v>
      </c>
      <c r="AL184">
        <f t="shared" si="113"/>
        <v>0</v>
      </c>
      <c r="AN184">
        <f t="shared" si="114"/>
        <v>0</v>
      </c>
      <c r="AP184">
        <f t="shared" si="115"/>
        <v>0</v>
      </c>
      <c r="AR184">
        <f t="shared" si="116"/>
        <v>0</v>
      </c>
    </row>
    <row r="185" spans="1:44">
      <c r="B185" t="s">
        <v>593</v>
      </c>
      <c r="D185" t="s">
        <v>591</v>
      </c>
      <c r="E185">
        <v>2016</v>
      </c>
      <c r="F185">
        <v>4</v>
      </c>
      <c r="G185">
        <v>0</v>
      </c>
      <c r="I185" t="s">
        <v>78</v>
      </c>
      <c r="J185">
        <v>1</v>
      </c>
      <c r="K185">
        <f t="shared" si="95"/>
        <v>2017</v>
      </c>
      <c r="N185">
        <f>((14612.94+16641.82+675)/75)*10</f>
        <v>4257.3013333333338</v>
      </c>
      <c r="P185">
        <f t="shared" si="96"/>
        <v>4257.3013333333338</v>
      </c>
      <c r="Q185">
        <f t="shared" si="97"/>
        <v>354.77511111111113</v>
      </c>
      <c r="R185">
        <f>IF(O185&gt;0,0,IF(OR(AD185&gt;AE185,AF185&lt;AG185),0,IF(AND(AF185&gt;=AG185,AF185&lt;=AE185),Q185*((AF185-AG185)*12),IF(AND(AG185&lt;=AD185,AE185&gt;=AD185),((AE185-AD185)*12)*Q185,IF(AF185&gt;AE185,12*Q185,0)))))</f>
        <v>709.5502222225449</v>
      </c>
      <c r="S185">
        <f>IF(O185=0,0,IF(AND(AH185&gt;=AG185,AH185&lt;=AF185),((AH185-AG185)*12)*Q185,0))</f>
        <v>0</v>
      </c>
      <c r="T185">
        <f>IF(S185&gt;0,S185,R185)</f>
        <v>709.5502222225449</v>
      </c>
      <c r="U185">
        <v>1</v>
      </c>
      <c r="V185">
        <f>U185*SUM(R185:S185)</f>
        <v>709.5502222225449</v>
      </c>
      <c r="X185">
        <f>IF(AD185&gt;AE185,0,IF(AF185&lt;AG185,P185,IF(AND(AF185&gt;=AG185,AF185&lt;=AE185),(P185-T185),IF(AND(AG185&lt;=AD185,AE185&gt;=AD185),0,IF(AF185&gt;AE185,((AG185-AD185)*12)*Q185,0)))))</f>
        <v>3547.7511111107888</v>
      </c>
      <c r="Y185">
        <f>X185*U185</f>
        <v>3547.7511111107888</v>
      </c>
      <c r="Z185">
        <v>1</v>
      </c>
      <c r="AA185">
        <f>Y185*Z185</f>
        <v>3547.7511111107888</v>
      </c>
      <c r="AB185">
        <f>IF(O185&gt;0,0,AA185+V185*Z185)*Z185</f>
        <v>4257.3013333333338</v>
      </c>
      <c r="AC185">
        <f>IF(O185&gt;0,(N185-AA185)/2,IF(AD185&gt;=AG185,(((N185*U185)*Z185)-AB185)/2,((((N185*U185)*Z185)-AA185)+(((N185*U185)*Z185)-AB185))/2))</f>
        <v>354.77511111127251</v>
      </c>
      <c r="AD185">
        <f t="shared" si="107"/>
        <v>2016.25</v>
      </c>
      <c r="AE185">
        <f t="shared" si="108"/>
        <v>2018.0833333333333</v>
      </c>
      <c r="AF185">
        <f t="shared" si="109"/>
        <v>2017.25</v>
      </c>
      <c r="AG185">
        <f t="shared" si="110"/>
        <v>2017.0833333333333</v>
      </c>
      <c r="AH185">
        <f t="shared" si="111"/>
        <v>-8.3333333333333329E-2</v>
      </c>
      <c r="AJ185">
        <f t="shared" si="112"/>
        <v>0</v>
      </c>
      <c r="AL185">
        <f t="shared" si="113"/>
        <v>709.5502222225449</v>
      </c>
      <c r="AN185">
        <f t="shared" si="114"/>
        <v>0</v>
      </c>
      <c r="AP185">
        <f t="shared" si="115"/>
        <v>0</v>
      </c>
      <c r="AR185">
        <f t="shared" si="116"/>
        <v>354.77511111127251</v>
      </c>
    </row>
    <row r="187" spans="1:44">
      <c r="C187">
        <v>16</v>
      </c>
      <c r="D187" t="s">
        <v>548</v>
      </c>
      <c r="N187">
        <f>SUM(N169:N186)</f>
        <v>686826.83133333328</v>
      </c>
      <c r="P187">
        <f>SUM(P169:P186)</f>
        <v>543227.59963333339</v>
      </c>
      <c r="Q187">
        <f>SUM(Q169:Q186)</f>
        <v>7490.3234002380959</v>
      </c>
      <c r="R187">
        <f>SUM(R169:R186)</f>
        <v>709.5502222225449</v>
      </c>
      <c r="V187">
        <f>SUM(V169:V186)</f>
        <v>709.5502222225449</v>
      </c>
      <c r="AA187">
        <f>SUM(AA169:AA186)</f>
        <v>542518.04941111081</v>
      </c>
      <c r="AB187">
        <f>SUM(AB169:AB186)</f>
        <v>543227.59963333339</v>
      </c>
      <c r="AC187">
        <f>SUM(AC169:AC186)</f>
        <v>143954.00681111129</v>
      </c>
      <c r="AJ187">
        <f t="shared" ref="AJ187:AR187" si="117">SUM(AJ169:AJ186)</f>
        <v>47866.41056666668</v>
      </c>
      <c r="AL187">
        <f t="shared" si="117"/>
        <v>48575.960788889228</v>
      </c>
      <c r="AN187">
        <f t="shared" si="117"/>
        <v>-143599.23170000003</v>
      </c>
      <c r="AP187">
        <f t="shared" si="117"/>
        <v>0</v>
      </c>
      <c r="AR187">
        <f t="shared" si="117"/>
        <v>354.77511111127251</v>
      </c>
    </row>
    <row r="191" spans="1:44">
      <c r="D191" t="s">
        <v>83</v>
      </c>
      <c r="N191">
        <f>SUM(N164,N151,N145,N114,N77,N187)</f>
        <v>14176346.150000004</v>
      </c>
      <c r="P191">
        <f>SUM(P164,P151,P145,P114,P77,P187)</f>
        <v>11612777.424000001</v>
      </c>
      <c r="Q191">
        <f>SUM(Q164,Q151,Q145,Q114,Q77,Q187)</f>
        <v>142215.23789285714</v>
      </c>
      <c r="R191">
        <f>SUM(R164,R151,R145,R114,R77,R187)</f>
        <v>658071.71987301437</v>
      </c>
      <c r="V191">
        <f>SUM(V164,V151,V145,V114,V77,V187)</f>
        <v>658071.71987301437</v>
      </c>
      <c r="AA191">
        <f>SUM(AA164,AA151,AA145,AA114,AA77,AA187)</f>
        <v>8367272.1217618547</v>
      </c>
      <c r="AB191">
        <f>SUM(AB164,AB151,AB145,AB114,AB77,AB187)</f>
        <v>9025343.8416348696</v>
      </c>
      <c r="AC191">
        <f>SUM(AC164,AC151,AC145,AC114,AC77,AC187)</f>
        <v>5419990.8883016398</v>
      </c>
      <c r="AJ191">
        <f t="shared" ref="AJ191:AR191" si="118">SUM(AJ164,AJ151,AJ145,AJ114,AJ77,AJ187)</f>
        <v>790235.89682289481</v>
      </c>
      <c r="AL191">
        <f t="shared" si="118"/>
        <v>1448307.6166959093</v>
      </c>
      <c r="AN191">
        <f t="shared" si="118"/>
        <v>-1670915.78</v>
      </c>
      <c r="AP191">
        <f t="shared" si="118"/>
        <v>2414925.9901124062</v>
      </c>
      <c r="AR191">
        <f t="shared" si="118"/>
        <v>3632443.123223525</v>
      </c>
    </row>
    <row r="195" spans="1:34">
      <c r="D195" t="s">
        <v>643</v>
      </c>
      <c r="E195">
        <f>+SUMIF($K$1:$K$187,2016,$V$1:$V$187)</f>
        <v>0</v>
      </c>
    </row>
    <row r="196" spans="1:34">
      <c r="D196" t="s">
        <v>644</v>
      </c>
      <c r="E196">
        <f>+SUMIF($K$1:$K$187,2017,$V$1:$V$187)</f>
        <v>24836.981666671105</v>
      </c>
    </row>
    <row r="197" spans="1:34">
      <c r="D197" t="s">
        <v>645</v>
      </c>
      <c r="E197">
        <f>+E195+E196</f>
        <v>24836.981666671105</v>
      </c>
    </row>
    <row r="202" spans="1:34">
      <c r="D202" t="s">
        <v>430</v>
      </c>
    </row>
    <row r="203" spans="1:34">
      <c r="A203" t="s">
        <v>288</v>
      </c>
      <c r="C203">
        <v>6039</v>
      </c>
      <c r="D203" t="s">
        <v>293</v>
      </c>
      <c r="E203">
        <v>2007</v>
      </c>
      <c r="F203">
        <v>3</v>
      </c>
      <c r="G203">
        <v>0.33</v>
      </c>
      <c r="I203" t="s">
        <v>78</v>
      </c>
      <c r="J203">
        <v>5</v>
      </c>
      <c r="K203">
        <f>E203+J203</f>
        <v>2012</v>
      </c>
      <c r="L203">
        <v>2011</v>
      </c>
      <c r="M203">
        <v>5</v>
      </c>
      <c r="N203">
        <v>13489.67</v>
      </c>
      <c r="P203">
        <f>N203-N203*G203</f>
        <v>9038.0789000000004</v>
      </c>
      <c r="Q203">
        <f>P203/J203/12</f>
        <v>150.63464833333333</v>
      </c>
      <c r="R203">
        <f>IF(O203&gt;0,0,IF(OR(AD203&gt;AE203,AF203&lt;AG203),0,IF(AND(AF203&gt;=AG203,AF203&lt;=AE203),Q203*((AF203-AG203)*12),IF(AND(AG203&lt;=AD203,AE203&gt;=AD203),((AE203-AD203)*12)*Q203,IF(AF203&gt;AE203,12*Q203,0)))))</f>
        <v>0</v>
      </c>
      <c r="S203">
        <f>IF(O203=0,0,IF(AND(AH203&gt;=AG203,AH203&lt;=AF203),((AH203-AG203)*12)*Q203,0))</f>
        <v>0</v>
      </c>
      <c r="T203">
        <f>IF(S203&gt;0,S203,R203)</f>
        <v>0</v>
      </c>
      <c r="U203">
        <v>1</v>
      </c>
      <c r="V203">
        <f>U203*SUM(R203:S203)</f>
        <v>0</v>
      </c>
      <c r="X203">
        <f>IF(AD203&gt;AE203,0,IF(AF203&lt;AG203,P203,IF(AND(AF203&gt;=AG203,AF203&lt;=AE203),(P203-T203),IF(AND(AG203&lt;=AD203,AE203&gt;=AD203),0,IF(AF203&gt;AE203,((AG203-AD203)*12)*Q203,0)))))</f>
        <v>9038.0789000000004</v>
      </c>
      <c r="Y203">
        <f>X203*U203</f>
        <v>9038.0789000000004</v>
      </c>
      <c r="Z203">
        <v>1</v>
      </c>
      <c r="AA203">
        <f>Y203*Z203</f>
        <v>9038.0789000000004</v>
      </c>
      <c r="AB203">
        <f>IF(O203&gt;0,0,AA203+V203*Z203)*Z203</f>
        <v>9038.0789000000004</v>
      </c>
      <c r="AC203">
        <f>IF(O203&gt;0,(N203-AA203)/2,IF(AD203&gt;=AG203,(((N203*U203)*Z203)-AB203)/2,((((N203*U203)*Z203)-AA203)+(((N203*U203)*Z203)-AB203))/2))</f>
        <v>4451.5910999999996</v>
      </c>
      <c r="AD203">
        <f>$E203+(($F203-1)/12)</f>
        <v>2007.1666666666667</v>
      </c>
      <c r="AE203">
        <f>($P$5+1)-($P$2/12)</f>
        <v>2018.0833333333333</v>
      </c>
      <c r="AF203">
        <f>$K203+(($F203-1)/12)</f>
        <v>2012.1666666666667</v>
      </c>
      <c r="AG203">
        <f>$P$4+($P$3/12)</f>
        <v>2017.0833333333333</v>
      </c>
      <c r="AH203">
        <f>$L203+(($M203-1)/12)</f>
        <v>2011.3333333333333</v>
      </c>
    </row>
    <row r="206" spans="1:34">
      <c r="D206" t="s">
        <v>446</v>
      </c>
    </row>
    <row r="207" spans="1:34">
      <c r="A207" t="s">
        <v>286</v>
      </c>
      <c r="C207">
        <v>2031</v>
      </c>
      <c r="D207" t="s">
        <v>336</v>
      </c>
      <c r="E207">
        <v>2007</v>
      </c>
      <c r="F207">
        <v>8</v>
      </c>
      <c r="G207">
        <v>0.2</v>
      </c>
      <c r="I207" t="s">
        <v>78</v>
      </c>
      <c r="J207">
        <v>7</v>
      </c>
      <c r="K207">
        <f>E207+J207</f>
        <v>2014</v>
      </c>
      <c r="N207">
        <v>215572.44</v>
      </c>
      <c r="P207">
        <f>N207-N207*G207</f>
        <v>172457.95199999999</v>
      </c>
      <c r="Q207">
        <f>P207/J207/12</f>
        <v>2053.0708571428572</v>
      </c>
      <c r="R207">
        <f>IF(O207&gt;0,0,IF(OR(AD207&gt;AE207,AF207&lt;AG207),0,IF(AND(AF207&gt;=AG207,AF207&lt;=AE207),Q207*((AF207-AG207)*12),IF(AND(AG207&lt;=AD207,AE207&gt;=AD207),((AE207-AD207)*12)*Q207,IF(AF207&gt;AE207,12*Q207,0)))))</f>
        <v>0</v>
      </c>
      <c r="S207">
        <f>IF(O207=0,0,IF(AND(AH207&gt;=AG207,AH207&lt;=AF207),((AH207-AG207)*12)*Q207,0))</f>
        <v>0</v>
      </c>
      <c r="T207">
        <f>IF(S207&gt;0,S207,R207)</f>
        <v>0</v>
      </c>
      <c r="U207">
        <v>1</v>
      </c>
      <c r="V207">
        <f>U207*SUM(R207:S207)</f>
        <v>0</v>
      </c>
      <c r="X207">
        <f>IF(AD207&gt;AE207,0,IF(AF207&lt;AG207,P207,IF(AND(AF207&gt;=AG207,AF207&lt;=AE207),(P207-T207),IF(AND(AG207&lt;=AD207,AE207&gt;=AD207),0,IF(AF207&gt;AE207,((AG207-AD207)*12)*Q207,0)))))</f>
        <v>172457.95199999999</v>
      </c>
      <c r="Y207">
        <f>X207*U207</f>
        <v>172457.95199999999</v>
      </c>
      <c r="Z207">
        <v>1</v>
      </c>
      <c r="AA207">
        <f>Y207*Z207</f>
        <v>172457.95199999999</v>
      </c>
      <c r="AB207">
        <f>IF(O207&gt;0,0,AA207+V207*Z207)*Z207</f>
        <v>172457.95199999999</v>
      </c>
      <c r="AC207">
        <f>IF(O207&gt;0,(N207-AA207)/2,IF(AD207&gt;=AG207,(((N207*U207)*Z207)-AB207)/2,((((N207*U207)*Z207)-AA207)+(((N207*U207)*Z207)-AB207))/2))</f>
        <v>43114.488000000012</v>
      </c>
      <c r="AD207">
        <f>$E207+(($F207-1)/12)</f>
        <v>2007.5833333333333</v>
      </c>
      <c r="AE207">
        <f>($P$5+1)-($P$2/12)</f>
        <v>2018.0833333333333</v>
      </c>
      <c r="AF207">
        <f>$K207+(($F207-1)/12)</f>
        <v>2014.5833333333333</v>
      </c>
      <c r="AG207">
        <f>$P$4+($P$3/12)</f>
        <v>2017.0833333333333</v>
      </c>
      <c r="AH207">
        <f>$L207+(($M207-1)/12)</f>
        <v>-8.3333333333333329E-2</v>
      </c>
    </row>
    <row r="208" spans="1:34">
      <c r="A208" t="s">
        <v>155</v>
      </c>
      <c r="C208">
        <v>3564</v>
      </c>
      <c r="D208" t="s">
        <v>158</v>
      </c>
      <c r="E208">
        <v>2001</v>
      </c>
      <c r="F208">
        <v>8</v>
      </c>
      <c r="G208">
        <v>0.2</v>
      </c>
      <c r="I208" t="s">
        <v>78</v>
      </c>
      <c r="J208">
        <v>7</v>
      </c>
      <c r="K208">
        <f>E208+J208</f>
        <v>2008</v>
      </c>
      <c r="N208">
        <v>156300.88</v>
      </c>
      <c r="P208">
        <f>N208-N208*G208</f>
        <v>125040.704</v>
      </c>
      <c r="Q208">
        <f>P208/J208/12</f>
        <v>1488.5798095238094</v>
      </c>
      <c r="R208">
        <f>IF(O208&gt;0,0,IF(OR(AD208&gt;AE208,AF208&lt;AG208),0,IF(AND(AF208&gt;=AG208,AF208&lt;=AE208),Q208*((AF208-AG208)*12),IF(AND(AG208&lt;=AD208,AE208&gt;=AD208),((AE208-AD208)*12)*Q208,IF(AF208&gt;AE208,12*Q208,0)))))</f>
        <v>0</v>
      </c>
      <c r="S208">
        <f>IF(O208=0,0,IF(AND(AH208&gt;=AG208,AH208&lt;=AF208),((AH208-AG208)*12)*Q208,0))</f>
        <v>0</v>
      </c>
      <c r="T208">
        <f>IF(S208&gt;0,S208,R208)</f>
        <v>0</v>
      </c>
      <c r="U208">
        <v>1</v>
      </c>
      <c r="V208">
        <f>U208*SUM(R208:S208)</f>
        <v>0</v>
      </c>
      <c r="X208">
        <f>IF(AD208&gt;AE208,0,IF(AF208&lt;AG208,P208,IF(AND(AF208&gt;=AG208,AF208&lt;=AE208),(P208-T208),IF(AND(AG208&lt;=AD208,AE208&gt;=AD208),0,IF(AF208&gt;AE208,((AG208-AD208)*12)*Q208,0)))))</f>
        <v>125040.704</v>
      </c>
      <c r="Y208">
        <f>X208*U208</f>
        <v>125040.704</v>
      </c>
      <c r="Z208">
        <v>1</v>
      </c>
      <c r="AA208">
        <f>Y208*Z208</f>
        <v>125040.704</v>
      </c>
      <c r="AB208">
        <f>IF(O208&gt;0,0,AA208+V208*Z208)*Z208</f>
        <v>125040.704</v>
      </c>
      <c r="AC208">
        <f>IF(O208&gt;0,(N208-AA208)/2,IF(AD208&gt;=AG208,(((N208*U208)*Z208)-AB208)/2,((((N208*U208)*Z208)-AA208)+(((N208*U208)*Z208)-AB208))/2))</f>
        <v>31260.176000000007</v>
      </c>
      <c r="AD208">
        <f>$E208+(($F208-1)/12)</f>
        <v>2001.5833333333333</v>
      </c>
      <c r="AE208">
        <f>($P$5+1)-($P$2/12)</f>
        <v>2018.0833333333333</v>
      </c>
      <c r="AF208">
        <f>$K208+(($F208-1)/12)</f>
        <v>2008.5833333333333</v>
      </c>
      <c r="AG208">
        <f>$P$4+($P$3/12)</f>
        <v>2017.0833333333333</v>
      </c>
      <c r="AH208">
        <f>$L208+(($M208-1)/12)</f>
        <v>-8.3333333333333329E-2</v>
      </c>
    </row>
    <row r="209" spans="1:34">
      <c r="A209" t="s">
        <v>286</v>
      </c>
      <c r="B209">
        <v>61092</v>
      </c>
      <c r="C209">
        <v>2026</v>
      </c>
      <c r="D209" t="s">
        <v>152</v>
      </c>
      <c r="E209">
        <v>2006</v>
      </c>
      <c r="F209">
        <v>8</v>
      </c>
      <c r="G209">
        <v>0.2</v>
      </c>
      <c r="I209" t="s">
        <v>78</v>
      </c>
      <c r="J209">
        <v>7</v>
      </c>
      <c r="K209">
        <f>E209+J209</f>
        <v>2013</v>
      </c>
      <c r="N209">
        <v>208742.37</v>
      </c>
      <c r="P209">
        <f>N209-N209*G209</f>
        <v>166993.89600000001</v>
      </c>
      <c r="Q209">
        <f>P209/J209/12</f>
        <v>1988.0225714285716</v>
      </c>
      <c r="R209">
        <f>IF(O209&gt;0,0,IF(OR(AD209&gt;AE209,AF209&lt;AG209),0,IF(AND(AF209&gt;=AG209,AF209&lt;=AE209),Q209*((AF209-AG209)*12),IF(AND(AG209&lt;=AD209,AE209&gt;=AD209),((AE209-AD209)*12)*Q209,IF(AF209&gt;AE209,12*Q209,0)))))</f>
        <v>0</v>
      </c>
      <c r="S209">
        <f>IF(O209=0,0,IF(AND(AH209&gt;=AG209,AH209&lt;=AF209),((AH209-AG209)*12)*Q209,0))</f>
        <v>0</v>
      </c>
      <c r="T209">
        <f>IF(S209&gt;0,S209,R209)</f>
        <v>0</v>
      </c>
      <c r="U209">
        <v>1</v>
      </c>
      <c r="V209">
        <f>U209*SUM(R209:S209)</f>
        <v>0</v>
      </c>
      <c r="X209">
        <f>IF(AD209&gt;AE209,0,IF(AF209&lt;AG209,P209,IF(AND(AF209&gt;=AG209,AF209&lt;=AE209),(P209-T209),IF(AND(AG209&lt;=AD209,AE209&gt;=AD209),0,IF(AF209&gt;AE209,((AG209-AD209)*12)*Q209,0)))))</f>
        <v>166993.89600000001</v>
      </c>
      <c r="Y209">
        <f>X209*U209</f>
        <v>166993.89600000001</v>
      </c>
      <c r="Z209">
        <v>1</v>
      </c>
      <c r="AA209">
        <f>Y209*Z209</f>
        <v>166993.89600000001</v>
      </c>
      <c r="AB209">
        <f>IF(O209&gt;0,0,AA209+V209*Z209)*Z209</f>
        <v>166993.89600000001</v>
      </c>
      <c r="AC209">
        <f>IF(O209&gt;0,(N209-AA209)/2,IF(AD209&gt;=AG209,(((N209*U209)*Z209)-AB209)/2,((((N209*U209)*Z209)-AA209)+(((N209*U209)*Z209)-AB209))/2))</f>
        <v>41748.473999999987</v>
      </c>
      <c r="AD209">
        <f>$E209+(($F209-1)/12)</f>
        <v>2006.5833333333333</v>
      </c>
      <c r="AE209">
        <f>($P$5+1)-($P$2/12)</f>
        <v>2018.0833333333333</v>
      </c>
      <c r="AF209">
        <f>$K209+(($F209-1)/12)</f>
        <v>2013.5833333333333</v>
      </c>
      <c r="AG209">
        <f>$P$4+($P$3/12)</f>
        <v>2017.0833333333333</v>
      </c>
      <c r="AH209">
        <f>$L209+(($M209-1)/12)</f>
        <v>-8.3333333333333329E-2</v>
      </c>
    </row>
    <row r="210" spans="1:34">
      <c r="A210" t="s">
        <v>283</v>
      </c>
      <c r="C210">
        <v>4040</v>
      </c>
      <c r="D210" t="s">
        <v>164</v>
      </c>
      <c r="E210">
        <v>2004</v>
      </c>
      <c r="F210">
        <v>11</v>
      </c>
      <c r="G210">
        <v>0.2</v>
      </c>
      <c r="I210" t="s">
        <v>78</v>
      </c>
      <c r="J210">
        <v>7</v>
      </c>
      <c r="K210">
        <f>E210+J210</f>
        <v>2011</v>
      </c>
      <c r="N210">
        <v>123785.60000000001</v>
      </c>
      <c r="P210">
        <f>N210-N210*G210</f>
        <v>99028.48000000001</v>
      </c>
      <c r="Q210">
        <f>P210/J210/12</f>
        <v>1178.9104761904762</v>
      </c>
      <c r="R210">
        <f>IF(O210&gt;0,0,IF(OR(AD210&gt;AE210,AF210&lt;AG210),0,IF(AND(AF210&gt;=AG210,AF210&lt;=AE210),Q210*((AF210-AG210)*12),IF(AND(AG210&lt;=AD210,AE210&gt;=AD210),((AE210-AD210)*12)*Q210,IF(AF210&gt;AE210,12*Q210,0)))))</f>
        <v>0</v>
      </c>
      <c r="S210">
        <f>IF(O210=0,0,IF(AND(AH210&gt;=AG210,AH210&lt;=AF210),((AH210-AG210)*12)*Q210,0))</f>
        <v>0</v>
      </c>
      <c r="T210">
        <f>IF(S210&gt;0,S210,R210)</f>
        <v>0</v>
      </c>
      <c r="U210">
        <v>1</v>
      </c>
      <c r="V210">
        <f>U210*SUM(R210:S210)</f>
        <v>0</v>
      </c>
      <c r="X210">
        <f>IF(AD210&gt;AE210,0,IF(AF210&lt;AG210,P210,IF(AND(AF210&gt;=AG210,AF210&lt;=AE210),(P210-T210),IF(AND(AG210&lt;=AD210,AE210&gt;=AD210),0,IF(AF210&gt;AE210,((AG210-AD210)*12)*Q210,0)))))</f>
        <v>99028.48000000001</v>
      </c>
      <c r="Y210">
        <f>X210*U210</f>
        <v>99028.48000000001</v>
      </c>
      <c r="Z210">
        <v>1</v>
      </c>
      <c r="AA210">
        <f>Y210*Z210</f>
        <v>99028.48000000001</v>
      </c>
      <c r="AB210">
        <f>IF(O210&gt;0,0,AA210+V210*Z210)*Z210</f>
        <v>99028.48000000001</v>
      </c>
      <c r="AC210">
        <f>IF(O210&gt;0,(N210-AA210)/2,IF(AD210&gt;=AG210,(((N210*U210)*Z210)-AB210)/2,((((N210*U210)*Z210)-AA210)+(((N210*U210)*Z210)-AB210))/2))</f>
        <v>24757.119999999995</v>
      </c>
      <c r="AD210">
        <f>$E210+(($F210-1)/12)</f>
        <v>2004.8333333333333</v>
      </c>
      <c r="AE210">
        <f>($P$5+1)-($P$2/12)</f>
        <v>2018.0833333333333</v>
      </c>
      <c r="AF210">
        <f>$K210+(($F210-1)/12)</f>
        <v>2011.8333333333333</v>
      </c>
      <c r="AG210">
        <f>$P$4+($P$3/12)</f>
        <v>2017.0833333333333</v>
      </c>
      <c r="AH210">
        <f>$L210+(($M210-1)/12)</f>
        <v>-8.3333333333333329E-2</v>
      </c>
    </row>
    <row r="211" spans="1:34">
      <c r="A211" t="s">
        <v>291</v>
      </c>
      <c r="C211">
        <v>5040</v>
      </c>
      <c r="D211" t="s">
        <v>333</v>
      </c>
      <c r="E211">
        <v>2001</v>
      </c>
      <c r="F211">
        <v>8</v>
      </c>
      <c r="G211">
        <v>0.2</v>
      </c>
      <c r="I211" t="s">
        <v>78</v>
      </c>
      <c r="J211">
        <v>7</v>
      </c>
      <c r="K211">
        <f>E211+J211</f>
        <v>2008</v>
      </c>
      <c r="N211">
        <v>65346.74</v>
      </c>
      <c r="P211">
        <f>N211-N211*G211</f>
        <v>52277.392</v>
      </c>
      <c r="Q211">
        <f>P211/J211/12</f>
        <v>622.34990476190478</v>
      </c>
      <c r="R211">
        <f>IF(O211&gt;0,0,IF(OR(AD211&gt;AE211,AF211&lt;AG211),0,IF(AND(AF211&gt;=AG211,AF211&lt;=AE211),Q211*((AF211-AG211)*12),IF(AND(AG211&lt;=AD211,AE211&gt;=AD211),((AE211-AD211)*12)*Q211,IF(AF211&gt;AE211,12*Q211,0)))))</f>
        <v>0</v>
      </c>
      <c r="S211">
        <f>IF(O211=0,0,IF(AND(AH211&gt;=AG211,AH211&lt;=AF211),((AH211-AG211)*12)*Q211,0))</f>
        <v>0</v>
      </c>
      <c r="T211">
        <f>IF(S211&gt;0,S211,R211)</f>
        <v>0</v>
      </c>
      <c r="U211">
        <v>1</v>
      </c>
      <c r="V211">
        <f>U211*SUM(R211:S211)</f>
        <v>0</v>
      </c>
      <c r="X211">
        <f>IF(AD211&gt;AE211,0,IF(AF211&lt;AG211,P211,IF(AND(AF211&gt;=AG211,AF211&lt;=AE211),(P211-T211),IF(AND(AG211&lt;=AD211,AE211&gt;=AD211),0,IF(AF211&gt;AE211,((AG211-AD211)*12)*Q211,0)))))</f>
        <v>52277.392</v>
      </c>
      <c r="Y211">
        <f>X211*U211</f>
        <v>52277.392</v>
      </c>
      <c r="Z211">
        <v>1</v>
      </c>
      <c r="AA211">
        <f>Y211*Z211</f>
        <v>52277.392</v>
      </c>
      <c r="AB211">
        <f>IF(O211&gt;0,0,AA211+V211*Z211)*Z211</f>
        <v>52277.392</v>
      </c>
      <c r="AC211">
        <f>IF(O211&gt;0,(N211-AA211)/2,IF(AD211&gt;=AG211,(((N211*U211)*Z211)-AB211)/2,((((N211*U211)*Z211)-AA211)+(((N211*U211)*Z211)-AB211))/2))</f>
        <v>13069.347999999998</v>
      </c>
      <c r="AD211">
        <f>$E211+(($F211-1)/12)</f>
        <v>2001.5833333333333</v>
      </c>
      <c r="AE211">
        <f>($P$5+1)-($P$2/12)</f>
        <v>2018.0833333333333</v>
      </c>
      <c r="AF211">
        <f>$K211+(($F211-1)/12)</f>
        <v>2008.5833333333333</v>
      </c>
      <c r="AG211">
        <f>$P$4+($P$3/12)</f>
        <v>2017.0833333333333</v>
      </c>
      <c r="AH211">
        <f>$L211+(($M211-1)/12)</f>
        <v>-8.3333333333333329E-2</v>
      </c>
    </row>
    <row r="213" spans="1:34">
      <c r="D213" t="s">
        <v>455</v>
      </c>
    </row>
    <row r="214" spans="1:34">
      <c r="A214" t="s">
        <v>288</v>
      </c>
      <c r="C214">
        <v>4514</v>
      </c>
      <c r="D214" t="s">
        <v>453</v>
      </c>
      <c r="E214">
        <v>1998</v>
      </c>
      <c r="F214">
        <v>2</v>
      </c>
      <c r="G214">
        <v>0.33</v>
      </c>
      <c r="I214" t="s">
        <v>78</v>
      </c>
      <c r="J214">
        <v>5</v>
      </c>
      <c r="K214">
        <f>E214+J214</f>
        <v>2003</v>
      </c>
      <c r="N214">
        <v>15000</v>
      </c>
      <c r="P214">
        <f>N214-N214*G214</f>
        <v>10050</v>
      </c>
      <c r="Q214">
        <f>P214/J214/12</f>
        <v>167.5</v>
      </c>
      <c r="R214">
        <f>IF(O214&gt;0,0,IF(OR(AD214&gt;AE214,AF214&lt;AG214),0,IF(AND(AF214&gt;=AG214,AF214&lt;=AE214),Q214*((AF214-AG214)*12),IF(AND(AG214&lt;=AD214,AE214&gt;=AD214),((AE214-AD214)*12)*Q214,IF(AF214&gt;AE214,12*Q214,0)))))</f>
        <v>0</v>
      </c>
      <c r="S214">
        <f>IF(O214=0,0,IF(AND(AH214&gt;=AG214,AH214&lt;=AF214),((AH214-AG214)*12)*Q214,0))</f>
        <v>0</v>
      </c>
      <c r="T214">
        <f>IF(S214&gt;0,S214,R214)</f>
        <v>0</v>
      </c>
      <c r="U214">
        <v>1</v>
      </c>
      <c r="V214">
        <f>U214*SUM(R214:S214)</f>
        <v>0</v>
      </c>
      <c r="X214">
        <f>IF(AD214&gt;AE214,0,IF(AF214&lt;AG214,P214,IF(AND(AF214&gt;=AG214,AF214&lt;=AE214),(P214-T214),IF(AND(AG214&lt;=AD214,AE214&gt;=AD214),0,IF(AF214&gt;AE214,((AG214-AD214)*12)*Q214,0)))))</f>
        <v>10050</v>
      </c>
      <c r="Y214">
        <f>X214*U214</f>
        <v>10050</v>
      </c>
      <c r="Z214">
        <v>1</v>
      </c>
      <c r="AA214">
        <f>Y214*Z214</f>
        <v>10050</v>
      </c>
      <c r="AB214">
        <f>IF(O214&gt;0,0,AA214+V214*Z214)*Z214</f>
        <v>10050</v>
      </c>
      <c r="AC214">
        <f>IF(O214&gt;0,(N214-AA214)/2,IF(AD214&gt;=AG214,(((N214*U214)*Z214)-AB214)/2,((((N214*U214)*Z214)-AA214)+(((N214*U214)*Z214)-AB214))/2))</f>
        <v>4950</v>
      </c>
      <c r="AD214">
        <f>$E214+(($F214-1)/12)</f>
        <v>1998.0833333333333</v>
      </c>
      <c r="AE214">
        <f>('[23]Trucks 2184'!$P$5+1)-('[23]Trucks 2184'!$P$2/12)</f>
        <v>2013</v>
      </c>
      <c r="AF214">
        <f>$K214+(($F214-1)/12)</f>
        <v>2003.0833333333333</v>
      </c>
      <c r="AG214">
        <f>'[23]Trucks 2184'!$P$4+('[23]Trucks 2184'!$P$3/12)</f>
        <v>2012</v>
      </c>
      <c r="AH214">
        <f>$L214+(($M214-1)/12)</f>
        <v>-8.3333333333333329E-2</v>
      </c>
    </row>
    <row r="216" spans="1:34">
      <c r="D216" t="s">
        <v>479</v>
      </c>
    </row>
    <row r="217" spans="1:34">
      <c r="A217" t="s">
        <v>151</v>
      </c>
      <c r="B217">
        <v>61036</v>
      </c>
      <c r="C217">
        <v>1208</v>
      </c>
      <c r="D217" t="s">
        <v>318</v>
      </c>
      <c r="E217">
        <v>1989</v>
      </c>
      <c r="F217">
        <v>12</v>
      </c>
      <c r="G217">
        <v>0.2</v>
      </c>
      <c r="I217" t="s">
        <v>78</v>
      </c>
      <c r="J217">
        <v>7</v>
      </c>
      <c r="K217">
        <f t="shared" ref="K217:K225" si="119">E217+J217</f>
        <v>1996</v>
      </c>
      <c r="N217">
        <v>37870</v>
      </c>
      <c r="P217">
        <f t="shared" ref="P217:P227" si="120">N217-N217*G217</f>
        <v>30296</v>
      </c>
      <c r="Q217">
        <f t="shared" ref="Q217:Q227" si="121">P217/J217/12</f>
        <v>360.66666666666669</v>
      </c>
      <c r="R217">
        <f t="shared" ref="R217:R225" si="122">IF(O217&gt;0,0,IF(OR(AD217&gt;AE217,AF217&lt;AG217),0,IF(AND(AF217&gt;=AG217,AF217&lt;=AE217),Q217*((AF217-AG217)*12),IF(AND(AG217&lt;=AD217,AE217&gt;=AD217),((AE217-AD217)*12)*Q217,IF(AF217&gt;AE217,12*Q217,0)))))</f>
        <v>0</v>
      </c>
      <c r="S217">
        <f t="shared" ref="S217:S225" si="123">IF(O217=0,0,IF(AND(AH217&gt;=AG217,AH217&lt;=AF217),((AH217-AG217)*12)*Q217,0))</f>
        <v>0</v>
      </c>
      <c r="T217">
        <f t="shared" ref="T217:T225" si="124">IF(S217&gt;0,S217,R217)</f>
        <v>0</v>
      </c>
      <c r="U217">
        <v>1</v>
      </c>
      <c r="V217">
        <f t="shared" ref="V217:V225" si="125">U217*SUM(R217:S217)</f>
        <v>0</v>
      </c>
      <c r="X217">
        <f t="shared" ref="X217:X225" si="126">IF(AD217&gt;AE217,0,IF(AF217&lt;AG217,P217,IF(AND(AF217&gt;=AG217,AF217&lt;=AE217),(P217-T217),IF(AND(AG217&lt;=AD217,AE217&gt;=AD217),0,IF(AF217&gt;AE217,((AG217-AD217)*12)*Q217,0)))))</f>
        <v>30296</v>
      </c>
      <c r="Y217">
        <f t="shared" ref="Y217:Y225" si="127">X217*U217</f>
        <v>30296</v>
      </c>
      <c r="Z217">
        <v>1</v>
      </c>
      <c r="AA217">
        <f t="shared" ref="AA217:AA225" si="128">Y217*Z217</f>
        <v>30296</v>
      </c>
      <c r="AB217">
        <f t="shared" ref="AB217:AB225" si="129">IF(O217&gt;0,0,AA217+V217*Z217)*Z217</f>
        <v>30296</v>
      </c>
      <c r="AC217">
        <f t="shared" ref="AC217:AC225" si="130">IF(O217&gt;0,(N217-AA217)/2,IF(AD217&gt;=AG217,(((N217*U217)*Z217)-AB217)/2,((((N217*U217)*Z217)-AA217)+(((N217*U217)*Z217)-AB217))/2))</f>
        <v>7574</v>
      </c>
      <c r="AD217">
        <f t="shared" ref="AD217:AD225" si="131">$E217+(($F217-1)/12)</f>
        <v>1989.9166666666667</v>
      </c>
      <c r="AE217">
        <f t="shared" ref="AE217:AE223" si="132">($P$5+1)-($P$2/12)</f>
        <v>2018.0833333333333</v>
      </c>
      <c r="AF217">
        <f t="shared" ref="AF217:AF225" si="133">$K217+(($F217-1)/12)</f>
        <v>1996.9166666666667</v>
      </c>
      <c r="AG217">
        <f t="shared" ref="AG217:AG223" si="134">$P$4+($P$3/12)</f>
        <v>2017.0833333333333</v>
      </c>
      <c r="AH217">
        <f t="shared" ref="AH217:AH227" si="135">$L217+(($M217-1)/12)</f>
        <v>-8.3333333333333329E-2</v>
      </c>
    </row>
    <row r="218" spans="1:34">
      <c r="A218" t="s">
        <v>151</v>
      </c>
      <c r="C218">
        <v>1208</v>
      </c>
      <c r="D218" t="s">
        <v>319</v>
      </c>
      <c r="E218">
        <v>2009</v>
      </c>
      <c r="F218">
        <v>5</v>
      </c>
      <c r="G218">
        <v>0</v>
      </c>
      <c r="I218" t="s">
        <v>78</v>
      </c>
      <c r="J218">
        <v>3</v>
      </c>
      <c r="K218">
        <f t="shared" si="119"/>
        <v>2012</v>
      </c>
      <c r="N218">
        <v>2971.88</v>
      </c>
      <c r="P218">
        <f t="shared" si="120"/>
        <v>2971.88</v>
      </c>
      <c r="Q218">
        <f t="shared" si="121"/>
        <v>82.552222222222227</v>
      </c>
      <c r="R218">
        <f t="shared" si="122"/>
        <v>0</v>
      </c>
      <c r="S218">
        <f t="shared" si="123"/>
        <v>0</v>
      </c>
      <c r="T218">
        <f t="shared" si="124"/>
        <v>0</v>
      </c>
      <c r="U218">
        <v>1</v>
      </c>
      <c r="V218">
        <f t="shared" si="125"/>
        <v>0</v>
      </c>
      <c r="X218">
        <f t="shared" si="126"/>
        <v>2971.88</v>
      </c>
      <c r="Y218">
        <f t="shared" si="127"/>
        <v>2971.88</v>
      </c>
      <c r="Z218">
        <v>1</v>
      </c>
      <c r="AA218">
        <f t="shared" si="128"/>
        <v>2971.88</v>
      </c>
      <c r="AB218">
        <f t="shared" si="129"/>
        <v>2971.88</v>
      </c>
      <c r="AC218">
        <f t="shared" si="130"/>
        <v>0</v>
      </c>
      <c r="AD218">
        <f t="shared" si="131"/>
        <v>2009.3333333333333</v>
      </c>
      <c r="AE218">
        <f t="shared" si="132"/>
        <v>2018.0833333333333</v>
      </c>
      <c r="AF218">
        <f t="shared" si="133"/>
        <v>2012.3333333333333</v>
      </c>
      <c r="AG218">
        <f t="shared" si="134"/>
        <v>2017.0833333333333</v>
      </c>
      <c r="AH218">
        <f t="shared" si="135"/>
        <v>-8.3333333333333329E-2</v>
      </c>
    </row>
    <row r="219" spans="1:34">
      <c r="A219" t="s">
        <v>151</v>
      </c>
      <c r="B219">
        <v>61040</v>
      </c>
      <c r="C219">
        <v>1214</v>
      </c>
      <c r="D219" t="s">
        <v>337</v>
      </c>
      <c r="E219">
        <v>1990</v>
      </c>
      <c r="F219">
        <v>12</v>
      </c>
      <c r="G219">
        <v>0.2</v>
      </c>
      <c r="I219" t="s">
        <v>78</v>
      </c>
      <c r="J219">
        <v>7</v>
      </c>
      <c r="K219">
        <f t="shared" si="119"/>
        <v>1997</v>
      </c>
      <c r="N219">
        <v>37870</v>
      </c>
      <c r="P219">
        <f t="shared" si="120"/>
        <v>30296</v>
      </c>
      <c r="Q219">
        <f t="shared" si="121"/>
        <v>360.66666666666669</v>
      </c>
      <c r="R219">
        <f t="shared" si="122"/>
        <v>0</v>
      </c>
      <c r="S219">
        <f t="shared" si="123"/>
        <v>0</v>
      </c>
      <c r="T219">
        <f t="shared" si="124"/>
        <v>0</v>
      </c>
      <c r="U219">
        <v>1</v>
      </c>
      <c r="V219">
        <f t="shared" si="125"/>
        <v>0</v>
      </c>
      <c r="X219">
        <f t="shared" si="126"/>
        <v>30296</v>
      </c>
      <c r="Y219">
        <f t="shared" si="127"/>
        <v>30296</v>
      </c>
      <c r="Z219">
        <v>1</v>
      </c>
      <c r="AA219">
        <f t="shared" si="128"/>
        <v>30296</v>
      </c>
      <c r="AB219">
        <f t="shared" si="129"/>
        <v>30296</v>
      </c>
      <c r="AC219">
        <f t="shared" si="130"/>
        <v>7574</v>
      </c>
      <c r="AD219">
        <f t="shared" si="131"/>
        <v>1990.9166666666667</v>
      </c>
      <c r="AE219">
        <f t="shared" si="132"/>
        <v>2018.0833333333333</v>
      </c>
      <c r="AF219">
        <f t="shared" si="133"/>
        <v>1997.9166666666667</v>
      </c>
      <c r="AG219">
        <f t="shared" si="134"/>
        <v>2017.0833333333333</v>
      </c>
      <c r="AH219">
        <f t="shared" si="135"/>
        <v>-8.3333333333333329E-2</v>
      </c>
    </row>
    <row r="220" spans="1:34">
      <c r="A220" t="s">
        <v>151</v>
      </c>
      <c r="C220">
        <v>1214</v>
      </c>
      <c r="D220" t="s">
        <v>338</v>
      </c>
      <c r="E220">
        <v>2009</v>
      </c>
      <c r="F220">
        <v>5</v>
      </c>
      <c r="G220">
        <v>0</v>
      </c>
      <c r="I220" t="s">
        <v>78</v>
      </c>
      <c r="J220">
        <v>3</v>
      </c>
      <c r="K220">
        <f t="shared" si="119"/>
        <v>2012</v>
      </c>
      <c r="N220">
        <v>8982.94</v>
      </c>
      <c r="P220">
        <f t="shared" si="120"/>
        <v>8982.94</v>
      </c>
      <c r="Q220">
        <f t="shared" si="121"/>
        <v>249.52611111111113</v>
      </c>
      <c r="R220">
        <f t="shared" si="122"/>
        <v>0</v>
      </c>
      <c r="S220">
        <f t="shared" si="123"/>
        <v>0</v>
      </c>
      <c r="T220">
        <f t="shared" si="124"/>
        <v>0</v>
      </c>
      <c r="U220">
        <v>1</v>
      </c>
      <c r="V220">
        <f t="shared" si="125"/>
        <v>0</v>
      </c>
      <c r="X220">
        <f t="shared" si="126"/>
        <v>8982.94</v>
      </c>
      <c r="Y220">
        <f t="shared" si="127"/>
        <v>8982.94</v>
      </c>
      <c r="Z220">
        <v>1</v>
      </c>
      <c r="AA220">
        <f t="shared" si="128"/>
        <v>8982.94</v>
      </c>
      <c r="AB220">
        <f t="shared" si="129"/>
        <v>8982.94</v>
      </c>
      <c r="AC220">
        <f t="shared" si="130"/>
        <v>0</v>
      </c>
      <c r="AD220">
        <f t="shared" si="131"/>
        <v>2009.3333333333333</v>
      </c>
      <c r="AE220">
        <f t="shared" si="132"/>
        <v>2018.0833333333333</v>
      </c>
      <c r="AF220">
        <f t="shared" si="133"/>
        <v>2012.3333333333333</v>
      </c>
      <c r="AG220">
        <f t="shared" si="134"/>
        <v>2017.0833333333333</v>
      </c>
      <c r="AH220">
        <f t="shared" si="135"/>
        <v>-8.3333333333333329E-2</v>
      </c>
    </row>
    <row r="221" spans="1:34">
      <c r="A221" t="s">
        <v>286</v>
      </c>
      <c r="B221">
        <v>61051</v>
      </c>
      <c r="C221">
        <v>2504</v>
      </c>
      <c r="D221" t="s">
        <v>154</v>
      </c>
      <c r="E221">
        <v>1996</v>
      </c>
      <c r="F221">
        <v>6</v>
      </c>
      <c r="G221">
        <v>0.2</v>
      </c>
      <c r="I221" t="s">
        <v>78</v>
      </c>
      <c r="J221">
        <v>7</v>
      </c>
      <c r="K221">
        <f t="shared" si="119"/>
        <v>2003</v>
      </c>
      <c r="N221">
        <v>89610</v>
      </c>
      <c r="P221">
        <f t="shared" si="120"/>
        <v>71688</v>
      </c>
      <c r="Q221">
        <f t="shared" si="121"/>
        <v>853.42857142857144</v>
      </c>
      <c r="R221">
        <f t="shared" si="122"/>
        <v>0</v>
      </c>
      <c r="S221">
        <f t="shared" si="123"/>
        <v>0</v>
      </c>
      <c r="T221">
        <f t="shared" si="124"/>
        <v>0</v>
      </c>
      <c r="U221">
        <v>1</v>
      </c>
      <c r="V221">
        <f t="shared" si="125"/>
        <v>0</v>
      </c>
      <c r="X221">
        <f t="shared" si="126"/>
        <v>71688</v>
      </c>
      <c r="Y221">
        <f t="shared" si="127"/>
        <v>71688</v>
      </c>
      <c r="Z221">
        <v>1</v>
      </c>
      <c r="AA221">
        <f t="shared" si="128"/>
        <v>71688</v>
      </c>
      <c r="AB221">
        <f t="shared" si="129"/>
        <v>71688</v>
      </c>
      <c r="AC221">
        <f t="shared" si="130"/>
        <v>17922</v>
      </c>
      <c r="AD221">
        <f t="shared" si="131"/>
        <v>1996.4166666666667</v>
      </c>
      <c r="AE221">
        <f t="shared" si="132"/>
        <v>2018.0833333333333</v>
      </c>
      <c r="AF221">
        <f t="shared" si="133"/>
        <v>2003.4166666666667</v>
      </c>
      <c r="AG221">
        <f t="shared" si="134"/>
        <v>2017.0833333333333</v>
      </c>
      <c r="AH221">
        <f t="shared" si="135"/>
        <v>-8.3333333333333329E-2</v>
      </c>
    </row>
    <row r="222" spans="1:34">
      <c r="A222" t="s">
        <v>286</v>
      </c>
      <c r="C222">
        <v>2504</v>
      </c>
      <c r="D222" t="s">
        <v>80</v>
      </c>
      <c r="E222">
        <v>1996</v>
      </c>
      <c r="F222">
        <v>8</v>
      </c>
      <c r="G222">
        <v>0.2</v>
      </c>
      <c r="I222" t="s">
        <v>78</v>
      </c>
      <c r="J222">
        <v>7</v>
      </c>
      <c r="K222">
        <f t="shared" si="119"/>
        <v>2003</v>
      </c>
      <c r="N222">
        <v>42120</v>
      </c>
      <c r="P222">
        <f t="shared" si="120"/>
        <v>33696</v>
      </c>
      <c r="Q222">
        <f t="shared" si="121"/>
        <v>401.14285714285711</v>
      </c>
      <c r="R222">
        <f t="shared" si="122"/>
        <v>0</v>
      </c>
      <c r="S222">
        <f t="shared" si="123"/>
        <v>0</v>
      </c>
      <c r="T222">
        <f t="shared" si="124"/>
        <v>0</v>
      </c>
      <c r="U222">
        <v>1</v>
      </c>
      <c r="V222">
        <f t="shared" si="125"/>
        <v>0</v>
      </c>
      <c r="X222">
        <f t="shared" si="126"/>
        <v>33696</v>
      </c>
      <c r="Y222">
        <f t="shared" si="127"/>
        <v>33696</v>
      </c>
      <c r="Z222">
        <v>1</v>
      </c>
      <c r="AA222">
        <f t="shared" si="128"/>
        <v>33696</v>
      </c>
      <c r="AB222">
        <f t="shared" si="129"/>
        <v>33696</v>
      </c>
      <c r="AC222">
        <f t="shared" si="130"/>
        <v>8424</v>
      </c>
      <c r="AD222">
        <f t="shared" si="131"/>
        <v>1996.5833333333333</v>
      </c>
      <c r="AE222">
        <f t="shared" si="132"/>
        <v>2018.0833333333333</v>
      </c>
      <c r="AF222">
        <f t="shared" si="133"/>
        <v>2003.5833333333333</v>
      </c>
      <c r="AG222">
        <f t="shared" si="134"/>
        <v>2017.0833333333333</v>
      </c>
      <c r="AH222">
        <f t="shared" si="135"/>
        <v>-8.3333333333333329E-2</v>
      </c>
    </row>
    <row r="223" spans="1:34">
      <c r="A223" t="s">
        <v>286</v>
      </c>
      <c r="C223">
        <v>2504</v>
      </c>
      <c r="D223" t="s">
        <v>81</v>
      </c>
      <c r="E223">
        <v>1996</v>
      </c>
      <c r="F223">
        <v>8</v>
      </c>
      <c r="G223">
        <v>0.2</v>
      </c>
      <c r="I223" t="s">
        <v>78</v>
      </c>
      <c r="J223">
        <v>7</v>
      </c>
      <c r="K223">
        <f t="shared" si="119"/>
        <v>2003</v>
      </c>
      <c r="N223">
        <v>17056</v>
      </c>
      <c r="P223">
        <f t="shared" si="120"/>
        <v>13644.8</v>
      </c>
      <c r="Q223">
        <f t="shared" si="121"/>
        <v>162.43809523809523</v>
      </c>
      <c r="R223">
        <f t="shared" si="122"/>
        <v>0</v>
      </c>
      <c r="S223">
        <f t="shared" si="123"/>
        <v>0</v>
      </c>
      <c r="T223">
        <f t="shared" si="124"/>
        <v>0</v>
      </c>
      <c r="U223">
        <v>1</v>
      </c>
      <c r="V223">
        <f t="shared" si="125"/>
        <v>0</v>
      </c>
      <c r="X223">
        <f t="shared" si="126"/>
        <v>13644.8</v>
      </c>
      <c r="Y223">
        <f t="shared" si="127"/>
        <v>13644.8</v>
      </c>
      <c r="Z223">
        <v>1</v>
      </c>
      <c r="AA223">
        <f t="shared" si="128"/>
        <v>13644.8</v>
      </c>
      <c r="AB223">
        <f t="shared" si="129"/>
        <v>13644.8</v>
      </c>
      <c r="AC223">
        <f t="shared" si="130"/>
        <v>3411.2000000000007</v>
      </c>
      <c r="AD223">
        <f t="shared" si="131"/>
        <v>1996.5833333333333</v>
      </c>
      <c r="AE223">
        <f t="shared" si="132"/>
        <v>2018.0833333333333</v>
      </c>
      <c r="AF223">
        <f t="shared" si="133"/>
        <v>2003.5833333333333</v>
      </c>
      <c r="AG223">
        <f t="shared" si="134"/>
        <v>2017.0833333333333</v>
      </c>
      <c r="AH223">
        <f t="shared" si="135"/>
        <v>-8.3333333333333329E-2</v>
      </c>
    </row>
    <row r="224" spans="1:34">
      <c r="A224" t="s">
        <v>288</v>
      </c>
      <c r="C224">
        <v>4514</v>
      </c>
      <c r="D224" t="s">
        <v>453</v>
      </c>
      <c r="E224">
        <v>1998</v>
      </c>
      <c r="F224">
        <v>2</v>
      </c>
      <c r="G224">
        <v>0.33</v>
      </c>
      <c r="I224" t="s">
        <v>78</v>
      </c>
      <c r="J224">
        <v>5</v>
      </c>
      <c r="K224">
        <f t="shared" si="119"/>
        <v>2003</v>
      </c>
      <c r="N224">
        <v>15000</v>
      </c>
      <c r="P224">
        <f t="shared" si="120"/>
        <v>10050</v>
      </c>
      <c r="Q224">
        <f t="shared" si="121"/>
        <v>167.5</v>
      </c>
      <c r="R224">
        <f t="shared" si="122"/>
        <v>0</v>
      </c>
      <c r="S224">
        <f t="shared" si="123"/>
        <v>0</v>
      </c>
      <c r="T224">
        <f t="shared" si="124"/>
        <v>0</v>
      </c>
      <c r="U224">
        <v>1</v>
      </c>
      <c r="V224">
        <f t="shared" si="125"/>
        <v>0</v>
      </c>
      <c r="X224">
        <f t="shared" si="126"/>
        <v>10050</v>
      </c>
      <c r="Y224">
        <f t="shared" si="127"/>
        <v>10050</v>
      </c>
      <c r="Z224">
        <v>1</v>
      </c>
      <c r="AA224">
        <f t="shared" si="128"/>
        <v>10050</v>
      </c>
      <c r="AB224">
        <f t="shared" si="129"/>
        <v>10050</v>
      </c>
      <c r="AC224">
        <f t="shared" si="130"/>
        <v>4950</v>
      </c>
      <c r="AD224">
        <f t="shared" si="131"/>
        <v>1998.0833333333333</v>
      </c>
      <c r="AE224">
        <f>('[23]Trucks 2184'!$P$5+1)-('[23]Trucks 2184'!$P$2/12)</f>
        <v>2013</v>
      </c>
      <c r="AF224">
        <f t="shared" si="133"/>
        <v>2003.0833333333333</v>
      </c>
      <c r="AG224">
        <f>'[23]Trucks 2184'!$P$4+('[23]Trucks 2184'!$P$3/12)</f>
        <v>2012</v>
      </c>
      <c r="AH224">
        <f t="shared" si="135"/>
        <v>-8.3333333333333329E-2</v>
      </c>
    </row>
    <row r="225" spans="1:76">
      <c r="A225" t="s">
        <v>288</v>
      </c>
      <c r="C225">
        <v>5013</v>
      </c>
      <c r="D225" t="s">
        <v>315</v>
      </c>
      <c r="E225">
        <v>2009</v>
      </c>
      <c r="F225">
        <v>5</v>
      </c>
      <c r="G225">
        <v>0</v>
      </c>
      <c r="I225" t="s">
        <v>78</v>
      </c>
      <c r="J225">
        <v>3</v>
      </c>
      <c r="K225">
        <f t="shared" si="119"/>
        <v>2012</v>
      </c>
      <c r="N225">
        <v>2868.22</v>
      </c>
      <c r="P225">
        <f t="shared" si="120"/>
        <v>2868.22</v>
      </c>
      <c r="Q225">
        <f t="shared" si="121"/>
        <v>79.672777777777767</v>
      </c>
      <c r="R225">
        <f t="shared" si="122"/>
        <v>0</v>
      </c>
      <c r="S225">
        <f t="shared" si="123"/>
        <v>0</v>
      </c>
      <c r="T225">
        <f t="shared" si="124"/>
        <v>0</v>
      </c>
      <c r="U225">
        <v>1</v>
      </c>
      <c r="V225">
        <f t="shared" si="125"/>
        <v>0</v>
      </c>
      <c r="X225">
        <f t="shared" si="126"/>
        <v>2868.22</v>
      </c>
      <c r="Y225">
        <f t="shared" si="127"/>
        <v>2868.22</v>
      </c>
      <c r="Z225">
        <v>1</v>
      </c>
      <c r="AA225">
        <f t="shared" si="128"/>
        <v>2868.22</v>
      </c>
      <c r="AB225">
        <f t="shared" si="129"/>
        <v>2868.22</v>
      </c>
      <c r="AC225">
        <f t="shared" si="130"/>
        <v>0</v>
      </c>
      <c r="AD225">
        <f t="shared" si="131"/>
        <v>2009.3333333333333</v>
      </c>
      <c r="AE225">
        <f>($P$5+1)-($P$2/12)</f>
        <v>2018.0833333333333</v>
      </c>
      <c r="AF225">
        <f t="shared" si="133"/>
        <v>2012.3333333333333</v>
      </c>
      <c r="AG225">
        <f>$P$4+($P$3/12)</f>
        <v>2017.0833333333333</v>
      </c>
      <c r="AH225">
        <f t="shared" si="135"/>
        <v>-8.3333333333333329E-2</v>
      </c>
    </row>
    <row r="226" spans="1:76">
      <c r="A226" t="s">
        <v>284</v>
      </c>
      <c r="C226">
        <v>3587</v>
      </c>
      <c r="D226" t="s">
        <v>160</v>
      </c>
      <c r="E226">
        <v>2005</v>
      </c>
      <c r="F226">
        <v>12</v>
      </c>
      <c r="G226">
        <v>0.2</v>
      </c>
      <c r="I226" t="s">
        <v>78</v>
      </c>
      <c r="J226">
        <v>7</v>
      </c>
      <c r="K226">
        <f>E226+J226</f>
        <v>2012</v>
      </c>
      <c r="N226">
        <v>174584.51</v>
      </c>
      <c r="P226">
        <f t="shared" si="120"/>
        <v>139667.60800000001</v>
      </c>
      <c r="Q226">
        <f t="shared" si="121"/>
        <v>1662.7096190476193</v>
      </c>
      <c r="R226">
        <f>IF(O226&gt;0,0,IF(OR(AD226&gt;AE226,AF226&lt;AG226),0,IF(AND(AF226&gt;=AG226,AF226&lt;=AE226),Q226*((AF226-AG226)*12),IF(AND(AG226&lt;=AD226,AE226&gt;=AD226),((AE226-AD226)*12)*Q226,IF(AF226&gt;AE226,12*Q226,0)))))</f>
        <v>0</v>
      </c>
      <c r="S226">
        <f>IF(O226=0,0,IF(AND(AH226&gt;=AG226,AH226&lt;=AF226),((AH226-AG226)*12)*Q226,0))</f>
        <v>0</v>
      </c>
      <c r="T226">
        <f>IF(S226&gt;0,S226,R226)</f>
        <v>0</v>
      </c>
      <c r="U226">
        <v>1</v>
      </c>
      <c r="V226">
        <f>U226*SUM(R226:S226)</f>
        <v>0</v>
      </c>
      <c r="X226">
        <f>IF(AD226&gt;AE226,0,IF(AF226&lt;AG226,P226,IF(AND(AF226&gt;=AG226,AF226&lt;=AE226),(P226-T226),IF(AND(AG226&lt;=AD226,AE226&gt;=AD226),0,IF(AF226&gt;AE226,((AG226-AD226)*12)*Q226,0)))))</f>
        <v>139667.60800000001</v>
      </c>
      <c r="Y226">
        <f>X226*U226</f>
        <v>139667.60800000001</v>
      </c>
      <c r="Z226">
        <v>1</v>
      </c>
      <c r="AA226">
        <f>Y226*Z226</f>
        <v>139667.60800000001</v>
      </c>
      <c r="AB226">
        <f>IF(O226&gt;0,0,AA226+V226*Z226)*Z226</f>
        <v>139667.60800000001</v>
      </c>
      <c r="AC226">
        <f>IF(O226&gt;0,(N226-AA226)/2,IF(AD226&gt;=AG226,(((N226*U226)*Z226)-AB226)/2,((((N226*U226)*Z226)-AA226)+(((N226*U226)*Z226)-AB226))/2))</f>
        <v>34916.902000000002</v>
      </c>
      <c r="AD226">
        <f>$E226+(($F226-1)/12)</f>
        <v>2005.9166666666667</v>
      </c>
      <c r="AE226">
        <f>($P$5+1)-($P$2/12)</f>
        <v>2018.0833333333333</v>
      </c>
      <c r="AF226">
        <f>$K226+(($F226-1)/12)</f>
        <v>2012.9166666666667</v>
      </c>
      <c r="AG226">
        <f>$P$4+($P$3/12)</f>
        <v>2017.0833333333333</v>
      </c>
      <c r="AH226">
        <f t="shared" si="135"/>
        <v>-8.3333333333333329E-2</v>
      </c>
      <c r="BW226">
        <v>3</v>
      </c>
      <c r="BX226" t="s">
        <v>255</v>
      </c>
    </row>
    <row r="227" spans="1:76">
      <c r="A227" t="s">
        <v>284</v>
      </c>
      <c r="C227">
        <v>3587</v>
      </c>
      <c r="D227" t="s">
        <v>296</v>
      </c>
      <c r="E227">
        <v>2006</v>
      </c>
      <c r="F227">
        <v>1</v>
      </c>
      <c r="G227">
        <v>0.2</v>
      </c>
      <c r="I227" t="s">
        <v>78</v>
      </c>
      <c r="J227">
        <v>7</v>
      </c>
      <c r="K227">
        <f>E227+J227</f>
        <v>2013</v>
      </c>
      <c r="N227">
        <v>8338.44</v>
      </c>
      <c r="P227">
        <f t="shared" si="120"/>
        <v>6670.7520000000004</v>
      </c>
      <c r="Q227">
        <f t="shared" si="121"/>
        <v>79.413714285714292</v>
      </c>
      <c r="R227">
        <f>IF(O227&gt;0,0,IF(OR(AD227&gt;AE227,AF227&lt;AG227),0,IF(AND(AF227&gt;=AG227,AF227&lt;=AE227),Q227*((AF227-AG227)*12),IF(AND(AG227&lt;=AD227,AE227&gt;=AD227),((AE227-AD227)*12)*Q227,IF(AF227&gt;AE227,12*Q227,0)))))</f>
        <v>0</v>
      </c>
      <c r="S227">
        <f>IF(O227=0,0,IF(AND(AH227&gt;=AG227,AH227&lt;=AF227),((AH227-AG227)*12)*Q227,0))</f>
        <v>0</v>
      </c>
      <c r="T227">
        <f>IF(S227&gt;0,S227,R227)</f>
        <v>0</v>
      </c>
      <c r="U227">
        <v>1</v>
      </c>
      <c r="V227">
        <f>U227*SUM(R227:S227)</f>
        <v>0</v>
      </c>
      <c r="X227">
        <f>IF(AD227&gt;AE227,0,IF(AF227&lt;AG227,P227,IF(AND(AF227&gt;=AG227,AF227&lt;=AE227),(P227-T227),IF(AND(AG227&lt;=AD227,AE227&gt;=AD227),0,IF(AF227&gt;AE227,((AG227-AD227)*12)*Q227,0)))))</f>
        <v>6670.7520000000004</v>
      </c>
      <c r="Y227">
        <f>X227*U227</f>
        <v>6670.7520000000004</v>
      </c>
      <c r="Z227">
        <v>1</v>
      </c>
      <c r="AA227">
        <f>Y227*Z227</f>
        <v>6670.7520000000004</v>
      </c>
      <c r="AB227">
        <f>IF(O227&gt;0,0,AA227+V227*Z227)*Z227</f>
        <v>6670.7520000000004</v>
      </c>
      <c r="AC227">
        <f>IF(O227&gt;0,(N227-AA227)/2,IF(AD227&gt;=AG227,(((N227*U227)*Z227)-AB227)/2,((((N227*U227)*Z227)-AA227)+(((N227*U227)*Z227)-AB227))/2))</f>
        <v>1667.6880000000001</v>
      </c>
      <c r="AD227">
        <f>$E227+(($F227-1)/12)</f>
        <v>2006</v>
      </c>
      <c r="AE227">
        <f>($P$5+1)-($P$2/12)</f>
        <v>2018.0833333333333</v>
      </c>
      <c r="AF227">
        <f>$K227+(($F227-1)/12)</f>
        <v>2013</v>
      </c>
      <c r="AG227">
        <f>$P$4+($P$3/12)</f>
        <v>2017.0833333333333</v>
      </c>
      <c r="AH227">
        <f t="shared" si="135"/>
        <v>-8.3333333333333329E-2</v>
      </c>
      <c r="BX227" t="s">
        <v>258</v>
      </c>
    </row>
    <row r="231" spans="1:76">
      <c r="D231" t="s">
        <v>507</v>
      </c>
    </row>
    <row r="232" spans="1:76">
      <c r="A232" t="s">
        <v>155</v>
      </c>
      <c r="B232" t="s">
        <v>508</v>
      </c>
      <c r="C232">
        <v>3553</v>
      </c>
      <c r="D232" t="s">
        <v>168</v>
      </c>
      <c r="E232">
        <v>1999</v>
      </c>
      <c r="F232">
        <v>10</v>
      </c>
      <c r="G232">
        <v>0.2</v>
      </c>
      <c r="I232" t="s">
        <v>78</v>
      </c>
      <c r="J232">
        <v>7</v>
      </c>
      <c r="K232">
        <f t="shared" ref="K232:K239" si="136">E232+J232</f>
        <v>2006</v>
      </c>
      <c r="N232">
        <v>85472.55</v>
      </c>
      <c r="P232">
        <f t="shared" ref="P232:P239" si="137">N232-N232*G232</f>
        <v>68378.040000000008</v>
      </c>
      <c r="Q232">
        <f t="shared" ref="Q232:Q239" si="138">P232/J232/12</f>
        <v>814.02428571428584</v>
      </c>
      <c r="R232">
        <f t="shared" ref="R232:R239" si="139">IF(O232&gt;0,0,IF(OR(AD232&gt;AE232,AF232&lt;AG232),0,IF(AND(AF232&gt;=AG232,AF232&lt;=AE232),Q232*((AF232-AG232)*12),IF(AND(AG232&lt;=AD232,AE232&gt;=AD232),((AE232-AD232)*12)*Q232,IF(AF232&gt;AE232,12*Q232,0)))))</f>
        <v>0</v>
      </c>
      <c r="S232">
        <f t="shared" ref="S232:S239" si="140">IF(O232=0,0,IF(AND(AH232&gt;=AG232,AH232&lt;=AF232),((AH232-AG232)*12)*Q232,0))</f>
        <v>0</v>
      </c>
      <c r="T232">
        <f t="shared" ref="T232:T239" si="141">IF(S232&gt;0,S232,R232)</f>
        <v>0</v>
      </c>
      <c r="U232">
        <v>1</v>
      </c>
      <c r="V232">
        <f t="shared" ref="V232:V239" si="142">U232*SUM(R232:S232)</f>
        <v>0</v>
      </c>
      <c r="X232">
        <f t="shared" ref="X232:X239" si="143">IF(AD232&gt;AE232,0,IF(AF232&lt;AG232,P232,IF(AND(AF232&gt;=AG232,AF232&lt;=AE232),(P232-T232),IF(AND(AG232&lt;=AD232,AE232&gt;=AD232),0,IF(AF232&gt;AE232,((AG232-AD232)*12)*Q232,0)))))</f>
        <v>68378.040000000008</v>
      </c>
      <c r="Y232">
        <f t="shared" ref="Y232:Y239" si="144">X232*U232</f>
        <v>68378.040000000008</v>
      </c>
      <c r="Z232">
        <v>1</v>
      </c>
      <c r="AA232">
        <f t="shared" ref="AA232:AA239" si="145">Y232*Z232</f>
        <v>68378.040000000008</v>
      </c>
      <c r="AB232">
        <f t="shared" ref="AB232:AB239" si="146">IF(O232&gt;0,0,AA232+V232*Z232)*Z232</f>
        <v>68378.040000000008</v>
      </c>
      <c r="AC232">
        <f t="shared" ref="AC232:AC239" si="147">IF(O232&gt;0,(N232-AA232)/2,IF(AD232&gt;=AG232,(((N232*U232)*Z232)-AB232)/2,((((N232*U232)*Z232)-AA232)+(((N232*U232)*Z232)-AB232))/2))</f>
        <v>17094.509999999995</v>
      </c>
      <c r="AD232">
        <f t="shared" ref="AD232:AD239" si="148">$E232+(($F232-1)/12)</f>
        <v>1999.75</v>
      </c>
      <c r="AE232">
        <f t="shared" ref="AE232:AE239" si="149">($P$5+1)-($P$2/12)</f>
        <v>2018.0833333333333</v>
      </c>
      <c r="AF232">
        <f t="shared" ref="AF232:AF239" si="150">$K232+(($F232-1)/12)</f>
        <v>2006.75</v>
      </c>
      <c r="AG232">
        <f t="shared" ref="AG232:AG239" si="151">$P$4+($P$3/12)</f>
        <v>2017.0833333333333</v>
      </c>
      <c r="AH232">
        <f t="shared" ref="AH232:AH239" si="152">$L232+(($M232-1)/12)</f>
        <v>-8.3333333333333329E-2</v>
      </c>
    </row>
    <row r="233" spans="1:76">
      <c r="A233" t="s">
        <v>155</v>
      </c>
      <c r="B233" t="s">
        <v>508</v>
      </c>
      <c r="C233">
        <v>3553</v>
      </c>
      <c r="D233" t="s">
        <v>142</v>
      </c>
      <c r="E233">
        <v>1999</v>
      </c>
      <c r="F233">
        <v>10</v>
      </c>
      <c r="G233">
        <v>0.2</v>
      </c>
      <c r="I233" t="s">
        <v>78</v>
      </c>
      <c r="J233">
        <v>7</v>
      </c>
      <c r="K233">
        <f t="shared" si="136"/>
        <v>2006</v>
      </c>
      <c r="N233">
        <v>1532.03</v>
      </c>
      <c r="P233">
        <f t="shared" si="137"/>
        <v>1225.624</v>
      </c>
      <c r="Q233">
        <f t="shared" si="138"/>
        <v>14.590761904761905</v>
      </c>
      <c r="R233">
        <f t="shared" si="139"/>
        <v>0</v>
      </c>
      <c r="S233">
        <f t="shared" si="140"/>
        <v>0</v>
      </c>
      <c r="T233">
        <f t="shared" si="141"/>
        <v>0</v>
      </c>
      <c r="U233">
        <v>1</v>
      </c>
      <c r="V233">
        <f t="shared" si="142"/>
        <v>0</v>
      </c>
      <c r="X233">
        <f t="shared" si="143"/>
        <v>1225.624</v>
      </c>
      <c r="Y233">
        <f t="shared" si="144"/>
        <v>1225.624</v>
      </c>
      <c r="Z233">
        <v>1</v>
      </c>
      <c r="AA233">
        <f t="shared" si="145"/>
        <v>1225.624</v>
      </c>
      <c r="AB233">
        <f t="shared" si="146"/>
        <v>1225.624</v>
      </c>
      <c r="AC233">
        <f t="shared" si="147"/>
        <v>306.40599999999995</v>
      </c>
      <c r="AD233">
        <f t="shared" si="148"/>
        <v>1999.75</v>
      </c>
      <c r="AE233">
        <f t="shared" si="149"/>
        <v>2018.0833333333333</v>
      </c>
      <c r="AF233">
        <f t="shared" si="150"/>
        <v>2006.75</v>
      </c>
      <c r="AG233">
        <f t="shared" si="151"/>
        <v>2017.0833333333333</v>
      </c>
      <c r="AH233">
        <f t="shared" si="152"/>
        <v>-8.3333333333333329E-2</v>
      </c>
    </row>
    <row r="234" spans="1:76">
      <c r="A234" t="s">
        <v>155</v>
      </c>
      <c r="B234" t="s">
        <v>508</v>
      </c>
      <c r="C234">
        <v>3553</v>
      </c>
      <c r="D234" t="s">
        <v>92</v>
      </c>
      <c r="E234">
        <v>1999</v>
      </c>
      <c r="F234">
        <v>12</v>
      </c>
      <c r="G234">
        <v>0.2</v>
      </c>
      <c r="I234" t="s">
        <v>78</v>
      </c>
      <c r="J234">
        <v>7</v>
      </c>
      <c r="K234">
        <f t="shared" si="136"/>
        <v>2006</v>
      </c>
      <c r="N234">
        <v>62217.11</v>
      </c>
      <c r="P234">
        <f t="shared" si="137"/>
        <v>49773.688000000002</v>
      </c>
      <c r="Q234">
        <f t="shared" si="138"/>
        <v>592.54390476190486</v>
      </c>
      <c r="R234">
        <f t="shared" si="139"/>
        <v>0</v>
      </c>
      <c r="S234">
        <f t="shared" si="140"/>
        <v>0</v>
      </c>
      <c r="T234">
        <f t="shared" si="141"/>
        <v>0</v>
      </c>
      <c r="U234">
        <v>1</v>
      </c>
      <c r="V234">
        <f t="shared" si="142"/>
        <v>0</v>
      </c>
      <c r="X234">
        <f t="shared" si="143"/>
        <v>49773.688000000002</v>
      </c>
      <c r="Y234">
        <f t="shared" si="144"/>
        <v>49773.688000000002</v>
      </c>
      <c r="Z234">
        <v>1</v>
      </c>
      <c r="AA234">
        <f t="shared" si="145"/>
        <v>49773.688000000002</v>
      </c>
      <c r="AB234">
        <f t="shared" si="146"/>
        <v>49773.688000000002</v>
      </c>
      <c r="AC234">
        <f t="shared" si="147"/>
        <v>12443.421999999999</v>
      </c>
      <c r="AD234">
        <f t="shared" si="148"/>
        <v>1999.9166666666667</v>
      </c>
      <c r="AE234">
        <f t="shared" si="149"/>
        <v>2018.0833333333333</v>
      </c>
      <c r="AF234">
        <f t="shared" si="150"/>
        <v>2006.9166666666667</v>
      </c>
      <c r="AG234">
        <f t="shared" si="151"/>
        <v>2017.0833333333333</v>
      </c>
      <c r="AH234">
        <f t="shared" si="152"/>
        <v>-8.3333333333333329E-2</v>
      </c>
    </row>
    <row r="235" spans="1:76">
      <c r="A235" t="s">
        <v>284</v>
      </c>
      <c r="B235" t="s">
        <v>508</v>
      </c>
      <c r="C235">
        <v>3553</v>
      </c>
      <c r="D235" t="s">
        <v>0</v>
      </c>
      <c r="E235">
        <v>2000</v>
      </c>
      <c r="F235">
        <v>1</v>
      </c>
      <c r="G235">
        <v>0.2</v>
      </c>
      <c r="I235" t="s">
        <v>78</v>
      </c>
      <c r="J235">
        <v>7</v>
      </c>
      <c r="K235">
        <f t="shared" si="136"/>
        <v>2007</v>
      </c>
      <c r="N235">
        <v>2015</v>
      </c>
      <c r="P235">
        <f t="shared" si="137"/>
        <v>1612</v>
      </c>
      <c r="Q235">
        <f t="shared" si="138"/>
        <v>19.19047619047619</v>
      </c>
      <c r="R235">
        <f t="shared" si="139"/>
        <v>0</v>
      </c>
      <c r="S235">
        <f t="shared" si="140"/>
        <v>0</v>
      </c>
      <c r="T235">
        <f t="shared" si="141"/>
        <v>0</v>
      </c>
      <c r="U235">
        <v>1</v>
      </c>
      <c r="V235">
        <f t="shared" si="142"/>
        <v>0</v>
      </c>
      <c r="X235">
        <f t="shared" si="143"/>
        <v>1612</v>
      </c>
      <c r="Y235">
        <f t="shared" si="144"/>
        <v>1612</v>
      </c>
      <c r="Z235">
        <v>1</v>
      </c>
      <c r="AA235">
        <f t="shared" si="145"/>
        <v>1612</v>
      </c>
      <c r="AB235">
        <f t="shared" si="146"/>
        <v>1612</v>
      </c>
      <c r="AC235">
        <f t="shared" si="147"/>
        <v>403</v>
      </c>
      <c r="AD235">
        <f t="shared" si="148"/>
        <v>2000</v>
      </c>
      <c r="AE235">
        <f t="shared" si="149"/>
        <v>2018.0833333333333</v>
      </c>
      <c r="AF235">
        <f t="shared" si="150"/>
        <v>2007</v>
      </c>
      <c r="AG235">
        <f t="shared" si="151"/>
        <v>2017.0833333333333</v>
      </c>
      <c r="AH235">
        <f t="shared" si="152"/>
        <v>-8.3333333333333329E-2</v>
      </c>
    </row>
    <row r="236" spans="1:76">
      <c r="B236" t="s">
        <v>508</v>
      </c>
      <c r="C236">
        <v>1003</v>
      </c>
      <c r="D236" t="s">
        <v>458</v>
      </c>
      <c r="E236">
        <v>1995</v>
      </c>
      <c r="F236">
        <v>6</v>
      </c>
      <c r="G236">
        <v>0.2</v>
      </c>
      <c r="I236" t="s">
        <v>78</v>
      </c>
      <c r="J236">
        <v>7</v>
      </c>
      <c r="K236">
        <f t="shared" si="136"/>
        <v>2002</v>
      </c>
      <c r="N236">
        <v>25896</v>
      </c>
      <c r="P236">
        <f t="shared" si="137"/>
        <v>20716.8</v>
      </c>
      <c r="Q236">
        <f t="shared" si="138"/>
        <v>246.62857142857141</v>
      </c>
      <c r="R236">
        <f t="shared" si="139"/>
        <v>0</v>
      </c>
      <c r="S236">
        <f t="shared" si="140"/>
        <v>0</v>
      </c>
      <c r="T236">
        <f t="shared" si="141"/>
        <v>0</v>
      </c>
      <c r="U236">
        <v>1</v>
      </c>
      <c r="V236">
        <f t="shared" si="142"/>
        <v>0</v>
      </c>
      <c r="X236">
        <f t="shared" si="143"/>
        <v>20716.8</v>
      </c>
      <c r="Y236">
        <f t="shared" si="144"/>
        <v>20716.8</v>
      </c>
      <c r="Z236">
        <v>1</v>
      </c>
      <c r="AA236">
        <f t="shared" si="145"/>
        <v>20716.8</v>
      </c>
      <c r="AB236">
        <f t="shared" si="146"/>
        <v>20716.8</v>
      </c>
      <c r="AC236">
        <f t="shared" si="147"/>
        <v>5179.2000000000007</v>
      </c>
      <c r="AD236">
        <f t="shared" si="148"/>
        <v>1995.4166666666667</v>
      </c>
      <c r="AE236">
        <f t="shared" si="149"/>
        <v>2018.0833333333333</v>
      </c>
      <c r="AF236">
        <f t="shared" si="150"/>
        <v>2002.4166666666667</v>
      </c>
      <c r="AG236">
        <f t="shared" si="151"/>
        <v>2017.0833333333333</v>
      </c>
      <c r="AH236">
        <f t="shared" si="152"/>
        <v>-8.3333333333333329E-2</v>
      </c>
    </row>
    <row r="237" spans="1:76">
      <c r="B237" t="s">
        <v>508</v>
      </c>
      <c r="C237">
        <v>1003</v>
      </c>
      <c r="D237" t="s">
        <v>459</v>
      </c>
      <c r="E237">
        <v>1995</v>
      </c>
      <c r="F237">
        <v>9</v>
      </c>
      <c r="G237">
        <v>0.2</v>
      </c>
      <c r="I237" t="s">
        <v>78</v>
      </c>
      <c r="J237">
        <v>7</v>
      </c>
      <c r="K237">
        <f t="shared" si="136"/>
        <v>2002</v>
      </c>
      <c r="N237">
        <v>386</v>
      </c>
      <c r="P237">
        <f t="shared" si="137"/>
        <v>308.8</v>
      </c>
      <c r="Q237">
        <f t="shared" si="138"/>
        <v>3.676190476190476</v>
      </c>
      <c r="R237">
        <f t="shared" si="139"/>
        <v>0</v>
      </c>
      <c r="S237">
        <f t="shared" si="140"/>
        <v>0</v>
      </c>
      <c r="T237">
        <f t="shared" si="141"/>
        <v>0</v>
      </c>
      <c r="U237">
        <v>1</v>
      </c>
      <c r="V237">
        <f t="shared" si="142"/>
        <v>0</v>
      </c>
      <c r="X237">
        <f t="shared" si="143"/>
        <v>308.8</v>
      </c>
      <c r="Y237">
        <f t="shared" si="144"/>
        <v>308.8</v>
      </c>
      <c r="Z237">
        <v>1</v>
      </c>
      <c r="AA237">
        <f t="shared" si="145"/>
        <v>308.8</v>
      </c>
      <c r="AB237">
        <f t="shared" si="146"/>
        <v>308.8</v>
      </c>
      <c r="AC237">
        <f t="shared" si="147"/>
        <v>77.199999999999989</v>
      </c>
      <c r="AD237">
        <f t="shared" si="148"/>
        <v>1995.6666666666667</v>
      </c>
      <c r="AE237">
        <f t="shared" si="149"/>
        <v>2018.0833333333333</v>
      </c>
      <c r="AF237">
        <f t="shared" si="150"/>
        <v>2002.6666666666667</v>
      </c>
      <c r="AG237">
        <f t="shared" si="151"/>
        <v>2017.0833333333333</v>
      </c>
      <c r="AH237">
        <f t="shared" si="152"/>
        <v>-8.3333333333333329E-2</v>
      </c>
    </row>
    <row r="238" spans="1:76">
      <c r="B238" t="s">
        <v>508</v>
      </c>
      <c r="C238">
        <v>1003</v>
      </c>
      <c r="D238" t="s">
        <v>460</v>
      </c>
      <c r="E238">
        <v>1995</v>
      </c>
      <c r="F238">
        <v>10</v>
      </c>
      <c r="G238">
        <v>0.2</v>
      </c>
      <c r="I238" t="s">
        <v>78</v>
      </c>
      <c r="J238">
        <v>7</v>
      </c>
      <c r="K238">
        <f t="shared" si="136"/>
        <v>2002</v>
      </c>
      <c r="N238">
        <v>49699</v>
      </c>
      <c r="P238">
        <f t="shared" si="137"/>
        <v>39759.199999999997</v>
      </c>
      <c r="Q238">
        <f t="shared" si="138"/>
        <v>473.32380952380953</v>
      </c>
      <c r="R238">
        <f t="shared" si="139"/>
        <v>0</v>
      </c>
      <c r="S238">
        <f t="shared" si="140"/>
        <v>0</v>
      </c>
      <c r="T238">
        <f t="shared" si="141"/>
        <v>0</v>
      </c>
      <c r="U238">
        <v>1</v>
      </c>
      <c r="V238">
        <f t="shared" si="142"/>
        <v>0</v>
      </c>
      <c r="X238">
        <f t="shared" si="143"/>
        <v>39759.199999999997</v>
      </c>
      <c r="Y238">
        <f t="shared" si="144"/>
        <v>39759.199999999997</v>
      </c>
      <c r="Z238">
        <v>1</v>
      </c>
      <c r="AA238">
        <f t="shared" si="145"/>
        <v>39759.199999999997</v>
      </c>
      <c r="AB238">
        <f t="shared" si="146"/>
        <v>39759.199999999997</v>
      </c>
      <c r="AC238">
        <f t="shared" si="147"/>
        <v>9939.8000000000029</v>
      </c>
      <c r="AD238">
        <f t="shared" si="148"/>
        <v>1995.75</v>
      </c>
      <c r="AE238">
        <f t="shared" si="149"/>
        <v>2018.0833333333333</v>
      </c>
      <c r="AF238">
        <f t="shared" si="150"/>
        <v>2002.75</v>
      </c>
      <c r="AG238">
        <f t="shared" si="151"/>
        <v>2017.0833333333333</v>
      </c>
      <c r="AH238">
        <f t="shared" si="152"/>
        <v>-8.3333333333333329E-2</v>
      </c>
    </row>
    <row r="239" spans="1:76">
      <c r="B239" t="s">
        <v>508</v>
      </c>
      <c r="C239">
        <v>1003</v>
      </c>
      <c r="D239" t="s">
        <v>535</v>
      </c>
      <c r="E239">
        <v>1995</v>
      </c>
      <c r="F239">
        <v>10</v>
      </c>
      <c r="G239">
        <v>0.2</v>
      </c>
      <c r="I239" t="s">
        <v>78</v>
      </c>
      <c r="J239">
        <v>7</v>
      </c>
      <c r="K239">
        <f t="shared" si="136"/>
        <v>2002</v>
      </c>
      <c r="N239">
        <v>3883</v>
      </c>
      <c r="P239">
        <f t="shared" si="137"/>
        <v>3106.4</v>
      </c>
      <c r="Q239">
        <f t="shared" si="138"/>
        <v>36.980952380952381</v>
      </c>
      <c r="R239">
        <f t="shared" si="139"/>
        <v>0</v>
      </c>
      <c r="S239">
        <f t="shared" si="140"/>
        <v>0</v>
      </c>
      <c r="T239">
        <f t="shared" si="141"/>
        <v>0</v>
      </c>
      <c r="U239">
        <v>1</v>
      </c>
      <c r="V239">
        <f t="shared" si="142"/>
        <v>0</v>
      </c>
      <c r="X239">
        <f t="shared" si="143"/>
        <v>3106.4</v>
      </c>
      <c r="Y239">
        <f t="shared" si="144"/>
        <v>3106.4</v>
      </c>
      <c r="Z239">
        <v>1</v>
      </c>
      <c r="AA239">
        <f t="shared" si="145"/>
        <v>3106.4</v>
      </c>
      <c r="AB239">
        <f t="shared" si="146"/>
        <v>3106.4</v>
      </c>
      <c r="AC239">
        <f t="shared" si="147"/>
        <v>776.59999999999991</v>
      </c>
      <c r="AD239">
        <f t="shared" si="148"/>
        <v>1995.75</v>
      </c>
      <c r="AE239">
        <f t="shared" si="149"/>
        <v>2018.0833333333333</v>
      </c>
      <c r="AF239">
        <f t="shared" si="150"/>
        <v>2002.75</v>
      </c>
      <c r="AG239">
        <f t="shared" si="151"/>
        <v>2017.0833333333333</v>
      </c>
      <c r="AH239">
        <f t="shared" si="152"/>
        <v>-8.3333333333333329E-2</v>
      </c>
    </row>
    <row r="244" spans="1:34">
      <c r="D244" t="s">
        <v>580</v>
      </c>
    </row>
    <row r="245" spans="1:34">
      <c r="A245">
        <v>114267</v>
      </c>
      <c r="B245" t="s">
        <v>285</v>
      </c>
      <c r="C245">
        <v>1009</v>
      </c>
      <c r="D245" t="s">
        <v>458</v>
      </c>
      <c r="E245">
        <v>1995</v>
      </c>
      <c r="F245">
        <v>7</v>
      </c>
      <c r="G245">
        <v>0.2</v>
      </c>
      <c r="I245" t="s">
        <v>78</v>
      </c>
      <c r="J245">
        <v>7</v>
      </c>
      <c r="K245">
        <f t="shared" ref="K245:K259" si="153">E245+J245</f>
        <v>2002</v>
      </c>
      <c r="N245">
        <v>25896</v>
      </c>
      <c r="P245">
        <f t="shared" ref="P245:P262" si="154">N245-N245*G245</f>
        <v>20716.8</v>
      </c>
      <c r="Q245">
        <f t="shared" ref="Q245:Q262" si="155">P245/J245/12</f>
        <v>246.62857142857141</v>
      </c>
      <c r="R245">
        <f t="shared" ref="R245:R258" si="156">IF(O245&gt;0,0,IF(OR(AD245&gt;AE245,AF245&lt;AG245),0,IF(AND(AF245&gt;=AG245,AF245&lt;=AE245),Q245*((AF245-AG245)*12),IF(AND(AG245&lt;=AD245,AE245&gt;=AD245),((AE245-AD245)*12)*Q245,IF(AF245&gt;AE245,12*Q245,0)))))</f>
        <v>0</v>
      </c>
      <c r="S245">
        <f t="shared" ref="S245:S258" si="157">IF(O245=0,0,IF(AND(AH245&gt;=AG245,AH245&lt;=AF245),((AH245-AG245)*12)*Q245,0))</f>
        <v>0</v>
      </c>
      <c r="T245">
        <f t="shared" ref="T245:T258" si="158">IF(S245&gt;0,S245,R245)</f>
        <v>0</v>
      </c>
      <c r="U245">
        <v>1</v>
      </c>
      <c r="V245">
        <f t="shared" ref="V245:V258" si="159">U245*SUM(R245:S245)</f>
        <v>0</v>
      </c>
      <c r="X245">
        <f t="shared" ref="X245:X258" si="160">IF(AD245&gt;AE245,0,IF(AF245&lt;AG245,P245,IF(AND(AF245&gt;=AG245,AF245&lt;=AE245),(P245-T245),IF(AND(AG245&lt;=AD245,AE245&gt;=AD245),0,IF(AF245&gt;AE245,((AG245-AD245)*12)*Q245,0)))))</f>
        <v>20716.8</v>
      </c>
      <c r="Y245">
        <f t="shared" ref="Y245:Y258" si="161">X245*U245</f>
        <v>20716.8</v>
      </c>
      <c r="Z245">
        <v>1</v>
      </c>
      <c r="AA245">
        <f t="shared" ref="AA245:AA258" si="162">Y245*Z245</f>
        <v>20716.8</v>
      </c>
      <c r="AB245">
        <f t="shared" ref="AB245:AB258" si="163">IF(O245&gt;0,0,AA245+V245*Z245)*Z245</f>
        <v>20716.8</v>
      </c>
      <c r="AC245">
        <f t="shared" ref="AC245:AC258" si="164">IF(O245&gt;0,(N245-AA245)/2,IF(AD245&gt;=AG245,(((N245*U245)*Z245)-AB245)/2,((((N245*U245)*Z245)-AA245)+(((N245*U245)*Z245)-AB245))/2))</f>
        <v>5179.2000000000007</v>
      </c>
      <c r="AD245">
        <f t="shared" ref="AD245:AD262" si="165">$E245+(($F245-1)/12)</f>
        <v>1995.5</v>
      </c>
      <c r="AE245">
        <f t="shared" ref="AE245:AE262" si="166">($P$5+1)-($P$2/12)</f>
        <v>2018.0833333333333</v>
      </c>
      <c r="AF245">
        <f t="shared" ref="AF245:AF262" si="167">$K245+(($F245-1)/12)</f>
        <v>2002.5</v>
      </c>
      <c r="AG245">
        <f t="shared" ref="AG245:AG262" si="168">$P$4+($P$3/12)</f>
        <v>2017.0833333333333</v>
      </c>
      <c r="AH245">
        <f t="shared" ref="AH245:AH262" si="169">$L245+(($M245-1)/12)</f>
        <v>-8.3333333333333329E-2</v>
      </c>
    </row>
    <row r="246" spans="1:34">
      <c r="B246" t="s">
        <v>285</v>
      </c>
      <c r="C246">
        <v>1009</v>
      </c>
      <c r="D246" t="s">
        <v>459</v>
      </c>
      <c r="E246">
        <v>1995</v>
      </c>
      <c r="F246">
        <v>10</v>
      </c>
      <c r="G246">
        <v>0.2</v>
      </c>
      <c r="I246" t="s">
        <v>78</v>
      </c>
      <c r="J246">
        <v>7</v>
      </c>
      <c r="K246">
        <f t="shared" si="153"/>
        <v>2002</v>
      </c>
      <c r="N246">
        <v>469.6</v>
      </c>
      <c r="P246">
        <f t="shared" si="154"/>
        <v>375.68</v>
      </c>
      <c r="Q246">
        <f t="shared" si="155"/>
        <v>4.472380952380953</v>
      </c>
      <c r="R246">
        <f t="shared" si="156"/>
        <v>0</v>
      </c>
      <c r="S246">
        <f t="shared" si="157"/>
        <v>0</v>
      </c>
      <c r="T246">
        <f t="shared" si="158"/>
        <v>0</v>
      </c>
      <c r="U246">
        <v>1</v>
      </c>
      <c r="V246">
        <f t="shared" si="159"/>
        <v>0</v>
      </c>
      <c r="X246">
        <f t="shared" si="160"/>
        <v>375.68</v>
      </c>
      <c r="Y246">
        <f t="shared" si="161"/>
        <v>375.68</v>
      </c>
      <c r="Z246">
        <v>1</v>
      </c>
      <c r="AA246">
        <f t="shared" si="162"/>
        <v>375.68</v>
      </c>
      <c r="AB246">
        <f t="shared" si="163"/>
        <v>375.68</v>
      </c>
      <c r="AC246">
        <f t="shared" si="164"/>
        <v>93.920000000000016</v>
      </c>
      <c r="AD246">
        <f t="shared" si="165"/>
        <v>1995.75</v>
      </c>
      <c r="AE246">
        <f t="shared" si="166"/>
        <v>2018.0833333333333</v>
      </c>
      <c r="AF246">
        <f t="shared" si="167"/>
        <v>2002.75</v>
      </c>
      <c r="AG246">
        <f t="shared" si="168"/>
        <v>2017.0833333333333</v>
      </c>
      <c r="AH246">
        <f t="shared" si="169"/>
        <v>-8.3333333333333329E-2</v>
      </c>
    </row>
    <row r="247" spans="1:34">
      <c r="A247">
        <v>114267</v>
      </c>
      <c r="B247" t="s">
        <v>285</v>
      </c>
      <c r="C247">
        <v>1009</v>
      </c>
      <c r="D247" t="s">
        <v>460</v>
      </c>
      <c r="E247">
        <v>1995</v>
      </c>
      <c r="F247">
        <v>11</v>
      </c>
      <c r="G247">
        <v>0.2</v>
      </c>
      <c r="I247" t="s">
        <v>78</v>
      </c>
      <c r="J247">
        <v>7</v>
      </c>
      <c r="K247">
        <f t="shared" si="153"/>
        <v>2002</v>
      </c>
      <c r="N247">
        <v>49699</v>
      </c>
      <c r="P247">
        <f t="shared" si="154"/>
        <v>39759.199999999997</v>
      </c>
      <c r="Q247">
        <f t="shared" si="155"/>
        <v>473.32380952380953</v>
      </c>
      <c r="R247">
        <f t="shared" si="156"/>
        <v>0</v>
      </c>
      <c r="S247">
        <f t="shared" si="157"/>
        <v>0</v>
      </c>
      <c r="T247">
        <f t="shared" si="158"/>
        <v>0</v>
      </c>
      <c r="U247">
        <v>1</v>
      </c>
      <c r="V247">
        <f t="shared" si="159"/>
        <v>0</v>
      </c>
      <c r="X247">
        <f t="shared" si="160"/>
        <v>39759.199999999997</v>
      </c>
      <c r="Y247">
        <f t="shared" si="161"/>
        <v>39759.199999999997</v>
      </c>
      <c r="Z247">
        <v>1</v>
      </c>
      <c r="AA247">
        <f t="shared" si="162"/>
        <v>39759.199999999997</v>
      </c>
      <c r="AB247">
        <f t="shared" si="163"/>
        <v>39759.199999999997</v>
      </c>
      <c r="AC247">
        <f t="shared" si="164"/>
        <v>9939.8000000000029</v>
      </c>
      <c r="AD247">
        <f t="shared" si="165"/>
        <v>1995.8333333333333</v>
      </c>
      <c r="AE247">
        <f t="shared" si="166"/>
        <v>2018.0833333333333</v>
      </c>
      <c r="AF247">
        <f t="shared" si="167"/>
        <v>2002.8333333333333</v>
      </c>
      <c r="AG247">
        <f t="shared" si="168"/>
        <v>2017.0833333333333</v>
      </c>
      <c r="AH247">
        <f t="shared" si="169"/>
        <v>-8.3333333333333329E-2</v>
      </c>
    </row>
    <row r="248" spans="1:34">
      <c r="B248" t="s">
        <v>285</v>
      </c>
      <c r="C248">
        <v>1009</v>
      </c>
      <c r="D248" t="s">
        <v>461</v>
      </c>
      <c r="E248">
        <v>1996</v>
      </c>
      <c r="F248">
        <v>1</v>
      </c>
      <c r="G248">
        <v>0.2</v>
      </c>
      <c r="I248" t="s">
        <v>78</v>
      </c>
      <c r="J248">
        <v>7</v>
      </c>
      <c r="K248">
        <f t="shared" si="153"/>
        <v>2003</v>
      </c>
      <c r="N248">
        <v>122</v>
      </c>
      <c r="P248">
        <f t="shared" si="154"/>
        <v>97.6</v>
      </c>
      <c r="Q248">
        <f t="shared" si="155"/>
        <v>1.1619047619047618</v>
      </c>
      <c r="R248">
        <f t="shared" si="156"/>
        <v>0</v>
      </c>
      <c r="S248">
        <f t="shared" si="157"/>
        <v>0</v>
      </c>
      <c r="T248">
        <f t="shared" si="158"/>
        <v>0</v>
      </c>
      <c r="U248">
        <v>1</v>
      </c>
      <c r="V248">
        <f t="shared" si="159"/>
        <v>0</v>
      </c>
      <c r="X248">
        <f t="shared" si="160"/>
        <v>97.6</v>
      </c>
      <c r="Y248">
        <f t="shared" si="161"/>
        <v>97.6</v>
      </c>
      <c r="Z248">
        <v>1</v>
      </c>
      <c r="AA248">
        <f t="shared" si="162"/>
        <v>97.6</v>
      </c>
      <c r="AB248">
        <f t="shared" si="163"/>
        <v>97.6</v>
      </c>
      <c r="AC248">
        <f t="shared" si="164"/>
        <v>24.400000000000006</v>
      </c>
      <c r="AD248">
        <f t="shared" si="165"/>
        <v>1996</v>
      </c>
      <c r="AE248">
        <f t="shared" si="166"/>
        <v>2018.0833333333333</v>
      </c>
      <c r="AF248">
        <f t="shared" si="167"/>
        <v>2003</v>
      </c>
      <c r="AG248">
        <f t="shared" si="168"/>
        <v>2017.0833333333333</v>
      </c>
      <c r="AH248">
        <f t="shared" si="169"/>
        <v>-8.3333333333333329E-2</v>
      </c>
    </row>
    <row r="249" spans="1:34">
      <c r="B249">
        <v>88721</v>
      </c>
      <c r="D249" t="s">
        <v>439</v>
      </c>
      <c r="E249">
        <v>2011</v>
      </c>
      <c r="F249">
        <v>12</v>
      </c>
      <c r="G249">
        <v>0</v>
      </c>
      <c r="I249" t="s">
        <v>78</v>
      </c>
      <c r="J249">
        <v>5</v>
      </c>
      <c r="K249">
        <f t="shared" si="153"/>
        <v>2016</v>
      </c>
      <c r="N249">
        <f>487.65*2</f>
        <v>975.3</v>
      </c>
      <c r="P249">
        <f t="shared" si="154"/>
        <v>975.3</v>
      </c>
      <c r="Q249">
        <f t="shared" si="155"/>
        <v>16.254999999999999</v>
      </c>
      <c r="R249">
        <f t="shared" si="156"/>
        <v>0</v>
      </c>
      <c r="S249">
        <f t="shared" si="157"/>
        <v>0</v>
      </c>
      <c r="T249">
        <f t="shared" si="158"/>
        <v>0</v>
      </c>
      <c r="U249">
        <v>1</v>
      </c>
      <c r="V249">
        <f t="shared" si="159"/>
        <v>0</v>
      </c>
      <c r="X249">
        <f t="shared" si="160"/>
        <v>975.3</v>
      </c>
      <c r="Y249">
        <f t="shared" si="161"/>
        <v>975.3</v>
      </c>
      <c r="Z249">
        <v>1</v>
      </c>
      <c r="AA249">
        <f t="shared" si="162"/>
        <v>975.3</v>
      </c>
      <c r="AB249">
        <f t="shared" si="163"/>
        <v>975.3</v>
      </c>
      <c r="AC249">
        <f t="shared" si="164"/>
        <v>0</v>
      </c>
      <c r="AD249">
        <f t="shared" si="165"/>
        <v>2011.9166666666667</v>
      </c>
      <c r="AE249">
        <f t="shared" si="166"/>
        <v>2018.0833333333333</v>
      </c>
      <c r="AF249">
        <f t="shared" si="167"/>
        <v>2016.9166666666667</v>
      </c>
      <c r="AG249">
        <f t="shared" si="168"/>
        <v>2017.0833333333333</v>
      </c>
      <c r="AH249">
        <f t="shared" si="169"/>
        <v>-8.3333333333333329E-2</v>
      </c>
    </row>
    <row r="250" spans="1:34">
      <c r="A250" t="s">
        <v>155</v>
      </c>
      <c r="C250">
        <v>3556</v>
      </c>
      <c r="D250" t="s">
        <v>142</v>
      </c>
      <c r="E250">
        <v>1999</v>
      </c>
      <c r="F250">
        <v>10</v>
      </c>
      <c r="G250">
        <v>0.2</v>
      </c>
      <c r="I250" t="s">
        <v>78</v>
      </c>
      <c r="J250">
        <v>7</v>
      </c>
      <c r="K250">
        <f t="shared" si="153"/>
        <v>2006</v>
      </c>
      <c r="N250">
        <v>1532.02</v>
      </c>
      <c r="P250">
        <f t="shared" si="154"/>
        <v>1225.616</v>
      </c>
      <c r="Q250">
        <f t="shared" si="155"/>
        <v>14.590666666666666</v>
      </c>
      <c r="R250">
        <f t="shared" si="156"/>
        <v>0</v>
      </c>
      <c r="S250">
        <f t="shared" si="157"/>
        <v>0</v>
      </c>
      <c r="T250">
        <f t="shared" si="158"/>
        <v>0</v>
      </c>
      <c r="U250">
        <v>1</v>
      </c>
      <c r="V250">
        <f t="shared" si="159"/>
        <v>0</v>
      </c>
      <c r="X250">
        <f t="shared" si="160"/>
        <v>1225.616</v>
      </c>
      <c r="Y250">
        <f t="shared" si="161"/>
        <v>1225.616</v>
      </c>
      <c r="Z250">
        <v>1</v>
      </c>
      <c r="AA250">
        <f t="shared" si="162"/>
        <v>1225.616</v>
      </c>
      <c r="AB250">
        <f t="shared" si="163"/>
        <v>1225.616</v>
      </c>
      <c r="AC250">
        <f t="shared" si="164"/>
        <v>306.404</v>
      </c>
      <c r="AD250">
        <f t="shared" si="165"/>
        <v>1999.75</v>
      </c>
      <c r="AE250">
        <f t="shared" si="166"/>
        <v>2018.0833333333333</v>
      </c>
      <c r="AF250">
        <f t="shared" si="167"/>
        <v>2006.75</v>
      </c>
      <c r="AG250">
        <f t="shared" si="168"/>
        <v>2017.0833333333333</v>
      </c>
      <c r="AH250">
        <f t="shared" si="169"/>
        <v>-8.3333333333333329E-2</v>
      </c>
    </row>
    <row r="251" spans="1:34">
      <c r="A251" t="s">
        <v>155</v>
      </c>
      <c r="C251">
        <v>3556</v>
      </c>
      <c r="D251" t="s">
        <v>169</v>
      </c>
      <c r="E251">
        <v>1999</v>
      </c>
      <c r="F251">
        <v>11</v>
      </c>
      <c r="G251">
        <v>0.2</v>
      </c>
      <c r="I251" t="s">
        <v>78</v>
      </c>
      <c r="J251">
        <v>7</v>
      </c>
      <c r="K251">
        <f t="shared" si="153"/>
        <v>2006</v>
      </c>
      <c r="N251">
        <v>85472.55</v>
      </c>
      <c r="P251">
        <f t="shared" si="154"/>
        <v>68378.040000000008</v>
      </c>
      <c r="Q251">
        <f t="shared" si="155"/>
        <v>814.02428571428584</v>
      </c>
      <c r="R251">
        <f t="shared" si="156"/>
        <v>0</v>
      </c>
      <c r="S251">
        <f t="shared" si="157"/>
        <v>0</v>
      </c>
      <c r="T251">
        <f t="shared" si="158"/>
        <v>0</v>
      </c>
      <c r="U251">
        <v>1</v>
      </c>
      <c r="V251">
        <f t="shared" si="159"/>
        <v>0</v>
      </c>
      <c r="X251">
        <f t="shared" si="160"/>
        <v>68378.040000000008</v>
      </c>
      <c r="Y251">
        <f t="shared" si="161"/>
        <v>68378.040000000008</v>
      </c>
      <c r="Z251">
        <v>1</v>
      </c>
      <c r="AA251">
        <f t="shared" si="162"/>
        <v>68378.040000000008</v>
      </c>
      <c r="AB251">
        <f t="shared" si="163"/>
        <v>68378.040000000008</v>
      </c>
      <c r="AC251">
        <f t="shared" si="164"/>
        <v>17094.509999999995</v>
      </c>
      <c r="AD251">
        <f t="shared" si="165"/>
        <v>1999.8333333333333</v>
      </c>
      <c r="AE251">
        <f t="shared" si="166"/>
        <v>2018.0833333333333</v>
      </c>
      <c r="AF251">
        <f t="shared" si="167"/>
        <v>2006.8333333333333</v>
      </c>
      <c r="AG251">
        <f t="shared" si="168"/>
        <v>2017.0833333333333</v>
      </c>
      <c r="AH251">
        <f t="shared" si="169"/>
        <v>-8.3333333333333329E-2</v>
      </c>
    </row>
    <row r="252" spans="1:34">
      <c r="A252" t="s">
        <v>155</v>
      </c>
      <c r="C252">
        <v>3556</v>
      </c>
      <c r="D252" t="s">
        <v>92</v>
      </c>
      <c r="E252">
        <v>1999</v>
      </c>
      <c r="F252">
        <v>12</v>
      </c>
      <c r="G252">
        <v>0.2</v>
      </c>
      <c r="I252" t="s">
        <v>78</v>
      </c>
      <c r="J252">
        <v>7</v>
      </c>
      <c r="K252">
        <f t="shared" si="153"/>
        <v>2006</v>
      </c>
      <c r="N252">
        <v>62217.11</v>
      </c>
      <c r="P252">
        <f t="shared" si="154"/>
        <v>49773.688000000002</v>
      </c>
      <c r="Q252">
        <f t="shared" si="155"/>
        <v>592.54390476190486</v>
      </c>
      <c r="R252">
        <f t="shared" si="156"/>
        <v>0</v>
      </c>
      <c r="S252">
        <f t="shared" si="157"/>
        <v>0</v>
      </c>
      <c r="T252">
        <f t="shared" si="158"/>
        <v>0</v>
      </c>
      <c r="U252">
        <v>1</v>
      </c>
      <c r="V252">
        <f t="shared" si="159"/>
        <v>0</v>
      </c>
      <c r="X252">
        <f t="shared" si="160"/>
        <v>49773.688000000002</v>
      </c>
      <c r="Y252">
        <f t="shared" si="161"/>
        <v>49773.688000000002</v>
      </c>
      <c r="Z252">
        <v>1</v>
      </c>
      <c r="AA252">
        <f t="shared" si="162"/>
        <v>49773.688000000002</v>
      </c>
      <c r="AB252">
        <f t="shared" si="163"/>
        <v>49773.688000000002</v>
      </c>
      <c r="AC252">
        <f t="shared" si="164"/>
        <v>12443.421999999999</v>
      </c>
      <c r="AD252">
        <f t="shared" si="165"/>
        <v>1999.9166666666667</v>
      </c>
      <c r="AE252">
        <f t="shared" si="166"/>
        <v>2018.0833333333333</v>
      </c>
      <c r="AF252">
        <f t="shared" si="167"/>
        <v>2006.9166666666667</v>
      </c>
      <c r="AG252">
        <f t="shared" si="168"/>
        <v>2017.0833333333333</v>
      </c>
      <c r="AH252">
        <f t="shared" si="169"/>
        <v>-8.3333333333333329E-2</v>
      </c>
    </row>
    <row r="253" spans="1:34">
      <c r="A253" t="s">
        <v>284</v>
      </c>
      <c r="C253">
        <v>3556</v>
      </c>
      <c r="D253" t="s">
        <v>369</v>
      </c>
      <c r="E253">
        <v>2000</v>
      </c>
      <c r="F253">
        <v>1</v>
      </c>
      <c r="G253">
        <v>0.2</v>
      </c>
      <c r="I253" t="s">
        <v>78</v>
      </c>
      <c r="J253">
        <v>7</v>
      </c>
      <c r="K253">
        <f t="shared" si="153"/>
        <v>2007</v>
      </c>
      <c r="N253">
        <v>3789.2</v>
      </c>
      <c r="P253">
        <f t="shared" si="154"/>
        <v>3031.3599999999997</v>
      </c>
      <c r="Q253">
        <f t="shared" si="155"/>
        <v>36.087619047619043</v>
      </c>
      <c r="R253">
        <f t="shared" si="156"/>
        <v>0</v>
      </c>
      <c r="S253">
        <f t="shared" si="157"/>
        <v>0</v>
      </c>
      <c r="T253">
        <f t="shared" si="158"/>
        <v>0</v>
      </c>
      <c r="U253">
        <v>1</v>
      </c>
      <c r="V253">
        <f t="shared" si="159"/>
        <v>0</v>
      </c>
      <c r="X253">
        <f t="shared" si="160"/>
        <v>3031.3599999999997</v>
      </c>
      <c r="Y253">
        <f t="shared" si="161"/>
        <v>3031.3599999999997</v>
      </c>
      <c r="Z253">
        <v>1</v>
      </c>
      <c r="AA253">
        <f t="shared" si="162"/>
        <v>3031.3599999999997</v>
      </c>
      <c r="AB253">
        <f t="shared" si="163"/>
        <v>3031.3599999999997</v>
      </c>
      <c r="AC253">
        <f t="shared" si="164"/>
        <v>757.84000000000015</v>
      </c>
      <c r="AD253">
        <f t="shared" si="165"/>
        <v>2000</v>
      </c>
      <c r="AE253">
        <f t="shared" si="166"/>
        <v>2018.0833333333333</v>
      </c>
      <c r="AF253">
        <f t="shared" si="167"/>
        <v>2007</v>
      </c>
      <c r="AG253">
        <f t="shared" si="168"/>
        <v>2017.0833333333333</v>
      </c>
      <c r="AH253">
        <f t="shared" si="169"/>
        <v>-8.3333333333333329E-2</v>
      </c>
    </row>
    <row r="254" spans="1:34">
      <c r="A254" t="s">
        <v>284</v>
      </c>
      <c r="C254">
        <v>3556</v>
      </c>
      <c r="D254" t="s">
        <v>1</v>
      </c>
      <c r="E254">
        <v>2000</v>
      </c>
      <c r="F254">
        <v>1</v>
      </c>
      <c r="G254">
        <v>0.2</v>
      </c>
      <c r="I254" t="s">
        <v>78</v>
      </c>
      <c r="J254">
        <v>7</v>
      </c>
      <c r="K254">
        <f t="shared" si="153"/>
        <v>2007</v>
      </c>
      <c r="N254">
        <v>1870</v>
      </c>
      <c r="P254">
        <f t="shared" si="154"/>
        <v>1496</v>
      </c>
      <c r="Q254">
        <f t="shared" si="155"/>
        <v>17.80952380952381</v>
      </c>
      <c r="R254">
        <f t="shared" si="156"/>
        <v>0</v>
      </c>
      <c r="S254">
        <f t="shared" si="157"/>
        <v>0</v>
      </c>
      <c r="T254">
        <f t="shared" si="158"/>
        <v>0</v>
      </c>
      <c r="U254">
        <v>1</v>
      </c>
      <c r="V254">
        <f t="shared" si="159"/>
        <v>0</v>
      </c>
      <c r="X254">
        <f t="shared" si="160"/>
        <v>1496</v>
      </c>
      <c r="Y254">
        <f t="shared" si="161"/>
        <v>1496</v>
      </c>
      <c r="Z254">
        <v>1</v>
      </c>
      <c r="AA254">
        <f t="shared" si="162"/>
        <v>1496</v>
      </c>
      <c r="AB254">
        <f t="shared" si="163"/>
        <v>1496</v>
      </c>
      <c r="AC254">
        <f t="shared" si="164"/>
        <v>374</v>
      </c>
      <c r="AD254">
        <f t="shared" si="165"/>
        <v>2000</v>
      </c>
      <c r="AE254">
        <f t="shared" si="166"/>
        <v>2018.0833333333333</v>
      </c>
      <c r="AF254">
        <f t="shared" si="167"/>
        <v>2007</v>
      </c>
      <c r="AG254">
        <f t="shared" si="168"/>
        <v>2017.0833333333333</v>
      </c>
      <c r="AH254">
        <f t="shared" si="169"/>
        <v>-8.3333333333333329E-2</v>
      </c>
    </row>
    <row r="255" spans="1:34">
      <c r="A255" t="s">
        <v>284</v>
      </c>
      <c r="C255">
        <v>3556</v>
      </c>
      <c r="D255" t="s">
        <v>372</v>
      </c>
      <c r="E255">
        <v>2009</v>
      </c>
      <c r="F255">
        <v>1</v>
      </c>
      <c r="G255">
        <v>0.2</v>
      </c>
      <c r="I255" t="s">
        <v>78</v>
      </c>
      <c r="J255">
        <v>7</v>
      </c>
      <c r="K255">
        <f t="shared" si="153"/>
        <v>2016</v>
      </c>
      <c r="N255">
        <v>4850.8500000000004</v>
      </c>
      <c r="P255">
        <f t="shared" si="154"/>
        <v>3880.6800000000003</v>
      </c>
      <c r="Q255">
        <f t="shared" si="155"/>
        <v>46.198571428571434</v>
      </c>
      <c r="R255">
        <f t="shared" si="156"/>
        <v>0</v>
      </c>
      <c r="S255">
        <f t="shared" si="157"/>
        <v>0</v>
      </c>
      <c r="T255">
        <f t="shared" si="158"/>
        <v>0</v>
      </c>
      <c r="U255">
        <v>1</v>
      </c>
      <c r="V255">
        <f t="shared" si="159"/>
        <v>0</v>
      </c>
      <c r="X255">
        <f t="shared" si="160"/>
        <v>3880.6800000000003</v>
      </c>
      <c r="Y255">
        <f t="shared" si="161"/>
        <v>3880.6800000000003</v>
      </c>
      <c r="Z255">
        <v>1</v>
      </c>
      <c r="AA255">
        <f t="shared" si="162"/>
        <v>3880.6800000000003</v>
      </c>
      <c r="AB255">
        <f t="shared" si="163"/>
        <v>3880.6800000000003</v>
      </c>
      <c r="AC255">
        <f t="shared" si="164"/>
        <v>970.17000000000007</v>
      </c>
      <c r="AD255">
        <f t="shared" si="165"/>
        <v>2009</v>
      </c>
      <c r="AE255">
        <f t="shared" si="166"/>
        <v>2018.0833333333333</v>
      </c>
      <c r="AF255">
        <f t="shared" si="167"/>
        <v>2016</v>
      </c>
      <c r="AG255">
        <f t="shared" si="168"/>
        <v>2017.0833333333333</v>
      </c>
      <c r="AH255">
        <f t="shared" si="169"/>
        <v>-8.3333333333333329E-2</v>
      </c>
    </row>
    <row r="256" spans="1:34">
      <c r="A256" t="s">
        <v>284</v>
      </c>
      <c r="C256">
        <v>3556</v>
      </c>
      <c r="D256" t="s">
        <v>317</v>
      </c>
      <c r="E256">
        <v>2009</v>
      </c>
      <c r="F256">
        <v>5</v>
      </c>
      <c r="G256">
        <v>0</v>
      </c>
      <c r="I256" t="s">
        <v>78</v>
      </c>
      <c r="J256">
        <v>3</v>
      </c>
      <c r="K256">
        <f t="shared" si="153"/>
        <v>2012</v>
      </c>
      <c r="N256">
        <v>4027.2</v>
      </c>
      <c r="P256">
        <f t="shared" si="154"/>
        <v>4027.2</v>
      </c>
      <c r="Q256">
        <f t="shared" si="155"/>
        <v>111.86666666666666</v>
      </c>
      <c r="R256">
        <f t="shared" si="156"/>
        <v>0</v>
      </c>
      <c r="S256">
        <f t="shared" si="157"/>
        <v>0</v>
      </c>
      <c r="T256">
        <f t="shared" si="158"/>
        <v>0</v>
      </c>
      <c r="U256">
        <v>1</v>
      </c>
      <c r="V256">
        <f t="shared" si="159"/>
        <v>0</v>
      </c>
      <c r="X256">
        <f t="shared" si="160"/>
        <v>4027.2</v>
      </c>
      <c r="Y256">
        <f t="shared" si="161"/>
        <v>4027.2</v>
      </c>
      <c r="Z256">
        <v>1</v>
      </c>
      <c r="AA256">
        <f t="shared" si="162"/>
        <v>4027.2</v>
      </c>
      <c r="AB256">
        <f t="shared" si="163"/>
        <v>4027.2</v>
      </c>
      <c r="AC256">
        <f t="shared" si="164"/>
        <v>0</v>
      </c>
      <c r="AD256">
        <f t="shared" si="165"/>
        <v>2009.3333333333333</v>
      </c>
      <c r="AE256">
        <f t="shared" si="166"/>
        <v>2018.0833333333333</v>
      </c>
      <c r="AF256">
        <f t="shared" si="167"/>
        <v>2012.3333333333333</v>
      </c>
      <c r="AG256">
        <f t="shared" si="168"/>
        <v>2017.0833333333333</v>
      </c>
      <c r="AH256">
        <f t="shared" si="169"/>
        <v>-8.3333333333333329E-2</v>
      </c>
    </row>
    <row r="257" spans="1:34">
      <c r="A257" t="s">
        <v>284</v>
      </c>
      <c r="C257">
        <v>3556</v>
      </c>
      <c r="D257" t="s">
        <v>370</v>
      </c>
      <c r="E257">
        <v>2009</v>
      </c>
      <c r="F257">
        <v>7</v>
      </c>
      <c r="G257">
        <v>0.2</v>
      </c>
      <c r="I257" t="s">
        <v>78</v>
      </c>
      <c r="J257">
        <v>7</v>
      </c>
      <c r="K257">
        <f t="shared" si="153"/>
        <v>2016</v>
      </c>
      <c r="N257">
        <v>61.25</v>
      </c>
      <c r="P257">
        <f t="shared" si="154"/>
        <v>49</v>
      </c>
      <c r="Q257">
        <f t="shared" si="155"/>
        <v>0.58333333333333337</v>
      </c>
      <c r="R257">
        <f t="shared" si="156"/>
        <v>0</v>
      </c>
      <c r="S257">
        <f t="shared" si="157"/>
        <v>0</v>
      </c>
      <c r="T257">
        <f t="shared" si="158"/>
        <v>0</v>
      </c>
      <c r="U257">
        <v>1</v>
      </c>
      <c r="V257">
        <f t="shared" si="159"/>
        <v>0</v>
      </c>
      <c r="X257">
        <f t="shared" si="160"/>
        <v>49</v>
      </c>
      <c r="Y257">
        <f t="shared" si="161"/>
        <v>49</v>
      </c>
      <c r="Z257">
        <v>1</v>
      </c>
      <c r="AA257">
        <f t="shared" si="162"/>
        <v>49</v>
      </c>
      <c r="AB257">
        <f t="shared" si="163"/>
        <v>49</v>
      </c>
      <c r="AC257">
        <f t="shared" si="164"/>
        <v>12.25</v>
      </c>
      <c r="AD257">
        <f t="shared" si="165"/>
        <v>2009.5</v>
      </c>
      <c r="AE257">
        <f t="shared" si="166"/>
        <v>2018.0833333333333</v>
      </c>
      <c r="AF257">
        <f t="shared" si="167"/>
        <v>2016.5</v>
      </c>
      <c r="AG257">
        <f t="shared" si="168"/>
        <v>2017.0833333333333</v>
      </c>
      <c r="AH257">
        <f t="shared" si="169"/>
        <v>-8.3333333333333329E-2</v>
      </c>
    </row>
    <row r="258" spans="1:34">
      <c r="A258" t="s">
        <v>284</v>
      </c>
      <c r="C258">
        <v>3556</v>
      </c>
      <c r="D258" t="s">
        <v>371</v>
      </c>
      <c r="E258">
        <v>2009</v>
      </c>
      <c r="F258">
        <v>7</v>
      </c>
      <c r="G258">
        <v>0.2</v>
      </c>
      <c r="I258" t="s">
        <v>78</v>
      </c>
      <c r="J258">
        <v>7</v>
      </c>
      <c r="K258">
        <f t="shared" si="153"/>
        <v>2016</v>
      </c>
      <c r="N258">
        <v>192.5</v>
      </c>
      <c r="P258">
        <f t="shared" si="154"/>
        <v>154</v>
      </c>
      <c r="Q258">
        <f t="shared" si="155"/>
        <v>1.8333333333333333</v>
      </c>
      <c r="R258">
        <f t="shared" si="156"/>
        <v>0</v>
      </c>
      <c r="S258">
        <f t="shared" si="157"/>
        <v>0</v>
      </c>
      <c r="T258">
        <f t="shared" si="158"/>
        <v>0</v>
      </c>
      <c r="U258">
        <v>1</v>
      </c>
      <c r="V258">
        <f t="shared" si="159"/>
        <v>0</v>
      </c>
      <c r="X258">
        <f t="shared" si="160"/>
        <v>154</v>
      </c>
      <c r="Y258">
        <f t="shared" si="161"/>
        <v>154</v>
      </c>
      <c r="Z258">
        <v>1</v>
      </c>
      <c r="AA258">
        <f t="shared" si="162"/>
        <v>154</v>
      </c>
      <c r="AB258">
        <f t="shared" si="163"/>
        <v>154</v>
      </c>
      <c r="AC258">
        <f t="shared" si="164"/>
        <v>38.5</v>
      </c>
      <c r="AD258">
        <f t="shared" si="165"/>
        <v>2009.5</v>
      </c>
      <c r="AE258">
        <f t="shared" si="166"/>
        <v>2018.0833333333333</v>
      </c>
      <c r="AF258">
        <f t="shared" si="167"/>
        <v>2016.5</v>
      </c>
      <c r="AG258">
        <f t="shared" si="168"/>
        <v>2017.0833333333333</v>
      </c>
      <c r="AH258">
        <f t="shared" si="169"/>
        <v>-8.3333333333333329E-2</v>
      </c>
    </row>
    <row r="259" spans="1:34">
      <c r="A259" t="s">
        <v>284</v>
      </c>
      <c r="B259" t="s">
        <v>504</v>
      </c>
      <c r="C259">
        <v>245</v>
      </c>
      <c r="D259" t="s">
        <v>503</v>
      </c>
      <c r="E259">
        <v>2000</v>
      </c>
      <c r="F259">
        <v>6</v>
      </c>
      <c r="G259">
        <v>0.2</v>
      </c>
      <c r="I259" t="s">
        <v>78</v>
      </c>
      <c r="J259">
        <v>7</v>
      </c>
      <c r="K259">
        <f t="shared" si="153"/>
        <v>2007</v>
      </c>
      <c r="N259">
        <f>71878.98+46599</f>
        <v>118477.98</v>
      </c>
      <c r="P259">
        <f t="shared" si="154"/>
        <v>94782.383999999991</v>
      </c>
      <c r="Q259">
        <f t="shared" si="155"/>
        <v>1128.3617142857142</v>
      </c>
      <c r="R259">
        <f>IF(O259&gt;0,0,IF(OR(AD259&gt;AE259,AF259&lt;AG259),0,IF(AND(AF259&gt;=AG259,AF259&lt;=AE259),Q259*((AF259-AG259)*12),IF(AND(AG259&lt;=AD259,AE259&gt;=AD259),((AE259-AD259)*12)*Q259,IF(AF259&gt;AE259,12*Q259,0)))))</f>
        <v>0</v>
      </c>
      <c r="S259">
        <f>IF(O259=0,0,IF(AND(AH259&gt;=AG259,AH259&lt;=AF259),((AH259-AG259)*12)*Q259,0))</f>
        <v>0</v>
      </c>
      <c r="T259">
        <f>IF(S259&gt;0,S259,R259)</f>
        <v>0</v>
      </c>
      <c r="U259">
        <v>1</v>
      </c>
      <c r="V259">
        <f>U259*SUM(R259:S259)</f>
        <v>0</v>
      </c>
      <c r="X259">
        <f>IF(AD259&gt;AE259,0,IF(AF259&lt;AG259,P259,IF(AND(AF259&gt;=AG259,AF259&lt;=AE259),(P259-T259),IF(AND(AG259&lt;=AD259,AE259&gt;=AD259),0,IF(AF259&gt;AE259,((AG259-AD259)*12)*Q259,0)))))</f>
        <v>94782.383999999991</v>
      </c>
      <c r="Y259">
        <f>X259*U259</f>
        <v>94782.383999999991</v>
      </c>
      <c r="Z259">
        <v>1</v>
      </c>
      <c r="AA259">
        <f>Y259*Z259</f>
        <v>94782.383999999991</v>
      </c>
      <c r="AB259">
        <f>IF(O259&gt;0,0,AA259+V259*Z259)*Z259</f>
        <v>94782.383999999991</v>
      </c>
      <c r="AC259">
        <f>IF(O259&gt;0,(N259-AA259)/2,IF(AD259&gt;=AG259,(((N259*U259)*Z259)-AB259)/2,((((N259*U259)*Z259)-AA259)+(((N259*U259)*Z259)-AB259))/2))</f>
        <v>23695.596000000005</v>
      </c>
      <c r="AD259">
        <f t="shared" si="165"/>
        <v>2000.4166666666667</v>
      </c>
      <c r="AE259">
        <f t="shared" si="166"/>
        <v>2018.0833333333333</v>
      </c>
      <c r="AF259">
        <f t="shared" si="167"/>
        <v>2007.4166666666667</v>
      </c>
      <c r="AG259">
        <f t="shared" si="168"/>
        <v>2017.0833333333333</v>
      </c>
      <c r="AH259">
        <f t="shared" si="169"/>
        <v>-8.3333333333333329E-2</v>
      </c>
    </row>
    <row r="260" spans="1:34">
      <c r="B260">
        <v>111223</v>
      </c>
      <c r="C260">
        <v>245</v>
      </c>
      <c r="D260" t="s">
        <v>506</v>
      </c>
      <c r="E260">
        <v>2009</v>
      </c>
      <c r="F260">
        <v>6</v>
      </c>
      <c r="G260">
        <v>0</v>
      </c>
      <c r="I260" t="s">
        <v>78</v>
      </c>
      <c r="J260">
        <v>3</v>
      </c>
      <c r="K260">
        <f>E260+J260</f>
        <v>2012</v>
      </c>
      <c r="N260">
        <v>7065.91</v>
      </c>
      <c r="P260">
        <f t="shared" si="154"/>
        <v>7065.91</v>
      </c>
      <c r="Q260">
        <f t="shared" si="155"/>
        <v>196.27527777777777</v>
      </c>
      <c r="R260">
        <f>IF(O260&gt;0,0,IF(OR(AD260&gt;AE260,AF260&lt;AG260),0,IF(AND(AF260&gt;=AG260,AF260&lt;=AE260),Q260*((AF260-AG260)*12),IF(AND(AG260&lt;=AD260,AE260&gt;=AD260),((AE260-AD260)*12)*Q260,IF(AF260&gt;AE260,12*Q260,0)))))</f>
        <v>0</v>
      </c>
      <c r="S260">
        <f>IF(O260=0,0,IF(AND(AH260&gt;=AG260,AH260&lt;=AF260),((AH260-AG260)*12)*Q260,0))</f>
        <v>0</v>
      </c>
      <c r="T260">
        <f>IF(S260&gt;0,S260,R260)</f>
        <v>0</v>
      </c>
      <c r="U260">
        <v>1</v>
      </c>
      <c r="V260">
        <f>U260*SUM(R260:S260)</f>
        <v>0</v>
      </c>
      <c r="X260">
        <f>IF(AD260&gt;AE260,0,IF(AF260&lt;AG260,P260,IF(AND(AF260&gt;=AG260,AF260&lt;=AE260),(P260-T260),IF(AND(AG260&lt;=AD260,AE260&gt;=AD260),0,IF(AF260&gt;AE260,((AG260-AD260)*12)*Q260,0)))))</f>
        <v>7065.91</v>
      </c>
      <c r="Y260">
        <f>X260*U260</f>
        <v>7065.91</v>
      </c>
      <c r="Z260">
        <v>1</v>
      </c>
      <c r="AA260">
        <f>Y260*Z260</f>
        <v>7065.91</v>
      </c>
      <c r="AB260">
        <f>IF(O260&gt;0,0,AA260+V260*Z260)*Z260</f>
        <v>7065.91</v>
      </c>
      <c r="AC260">
        <f>IF(O260&gt;0,(N260-AA260)/2,IF(AD260&gt;=AG260,(((N260*U260)*Z260)-AB260)/2,((((N260*U260)*Z260)-AA260)+(((N260*U260)*Z260)-AB260))/2))</f>
        <v>0</v>
      </c>
      <c r="AD260">
        <f t="shared" si="165"/>
        <v>2009.4166666666667</v>
      </c>
      <c r="AE260">
        <f t="shared" si="166"/>
        <v>2018.0833333333333</v>
      </c>
      <c r="AF260">
        <f t="shared" si="167"/>
        <v>2012.4166666666667</v>
      </c>
      <c r="AG260">
        <f t="shared" si="168"/>
        <v>2017.0833333333333</v>
      </c>
      <c r="AH260">
        <f t="shared" si="169"/>
        <v>-8.3333333333333329E-2</v>
      </c>
    </row>
    <row r="261" spans="1:34">
      <c r="B261">
        <v>111224</v>
      </c>
      <c r="C261">
        <v>245</v>
      </c>
      <c r="D261" t="s">
        <v>505</v>
      </c>
      <c r="E261">
        <v>2009</v>
      </c>
      <c r="F261">
        <v>9</v>
      </c>
      <c r="G261">
        <v>0</v>
      </c>
      <c r="I261" t="s">
        <v>78</v>
      </c>
      <c r="J261">
        <v>3</v>
      </c>
      <c r="K261">
        <f>E261+J261</f>
        <v>2012</v>
      </c>
      <c r="N261">
        <v>14680.19</v>
      </c>
      <c r="P261">
        <f t="shared" si="154"/>
        <v>14680.19</v>
      </c>
      <c r="Q261">
        <f t="shared" si="155"/>
        <v>407.78305555555556</v>
      </c>
      <c r="R261">
        <f>IF(O261&gt;0,0,IF(OR(AD261&gt;AE261,AF261&lt;AG261),0,IF(AND(AF261&gt;=AG261,AF261&lt;=AE261),Q261*((AF261-AG261)*12),IF(AND(AG261&lt;=AD261,AE261&gt;=AD261),((AE261-AD261)*12)*Q261,IF(AF261&gt;AE261,12*Q261,0)))))</f>
        <v>0</v>
      </c>
      <c r="S261">
        <f>IF(O261=0,0,IF(AND(AH261&gt;=AG261,AH261&lt;=AF261),((AH261-AG261)*12)*Q261,0))</f>
        <v>0</v>
      </c>
      <c r="T261">
        <f>IF(S261&gt;0,S261,R261)</f>
        <v>0</v>
      </c>
      <c r="U261">
        <v>1</v>
      </c>
      <c r="V261">
        <f>U261*SUM(R261:S261)</f>
        <v>0</v>
      </c>
      <c r="X261">
        <f>IF(AD261&gt;AE261,0,IF(AF261&lt;AG261,P261,IF(AND(AF261&gt;=AG261,AF261&lt;=AE261),(P261-T261),IF(AND(AG261&lt;=AD261,AE261&gt;=AD261),0,IF(AF261&gt;AE261,((AG261-AD261)*12)*Q261,0)))))</f>
        <v>14680.19</v>
      </c>
      <c r="Y261">
        <f>X261*U261</f>
        <v>14680.19</v>
      </c>
      <c r="Z261">
        <v>1</v>
      </c>
      <c r="AA261">
        <f>Y261*Z261</f>
        <v>14680.19</v>
      </c>
      <c r="AB261">
        <f>IF(O261&gt;0,0,AA261+V261*Z261)*Z261</f>
        <v>14680.19</v>
      </c>
      <c r="AC261">
        <f>IF(O261&gt;0,(N261-AA261)/2,IF(AD261&gt;=AG261,(((N261*U261)*Z261)-AB261)/2,((((N261*U261)*Z261)-AA261)+(((N261*U261)*Z261)-AB261))/2))</f>
        <v>0</v>
      </c>
      <c r="AD261">
        <f t="shared" si="165"/>
        <v>2009.6666666666667</v>
      </c>
      <c r="AE261">
        <f t="shared" si="166"/>
        <v>2018.0833333333333</v>
      </c>
      <c r="AF261">
        <f t="shared" si="167"/>
        <v>2012.6666666666667</v>
      </c>
      <c r="AG261">
        <f t="shared" si="168"/>
        <v>2017.0833333333333</v>
      </c>
      <c r="AH261">
        <f t="shared" si="169"/>
        <v>-8.3333333333333329E-2</v>
      </c>
    </row>
    <row r="262" spans="1:34">
      <c r="A262" t="s">
        <v>284</v>
      </c>
      <c r="C262">
        <v>3557</v>
      </c>
      <c r="D262" t="s">
        <v>156</v>
      </c>
      <c r="E262">
        <v>2000</v>
      </c>
      <c r="F262">
        <v>6</v>
      </c>
      <c r="G262">
        <v>0.2</v>
      </c>
      <c r="I262" t="s">
        <v>78</v>
      </c>
      <c r="J262">
        <v>7</v>
      </c>
      <c r="K262">
        <f>E262+J262</f>
        <v>2007</v>
      </c>
      <c r="N262">
        <v>149691.38</v>
      </c>
      <c r="P262">
        <f t="shared" si="154"/>
        <v>119753.10400000001</v>
      </c>
      <c r="Q262">
        <f t="shared" si="155"/>
        <v>1425.6321904761905</v>
      </c>
      <c r="R262">
        <f>IF(O262&gt;0,0,IF(OR(AD262&gt;AE262,AF262&lt;AG262),0,IF(AND(AF262&gt;=AG262,AF262&lt;=AE262),Q262*((AF262-AG262)*12),IF(AND(AG262&lt;=AD262,AE262&gt;=AD262),((AE262-AD262)*12)*Q262,IF(AF262&gt;AE262,12*Q262,0)))))</f>
        <v>0</v>
      </c>
      <c r="S262">
        <f>IF(O262=0,0,IF(AND(AH262&gt;=AG262,AH262&lt;=AF262),((AH262-AG262)*12)*Q262,0))</f>
        <v>0</v>
      </c>
      <c r="T262">
        <f>IF(S262&gt;0,S262,R262)</f>
        <v>0</v>
      </c>
      <c r="U262">
        <v>1</v>
      </c>
      <c r="V262">
        <f>U262*SUM(R262:S262)</f>
        <v>0</v>
      </c>
      <c r="X262">
        <f>IF(AD262&gt;AE262,0,IF(AF262&lt;AG262,P262,IF(AND(AF262&gt;=AG262,AF262&lt;=AE262),(P262-T262),IF(AND(AG262&lt;=AD262,AE262&gt;=AD262),0,IF(AF262&gt;AE262,((AG262-AD262)*12)*Q262,0)))))</f>
        <v>119753.10400000001</v>
      </c>
      <c r="Y262">
        <f>X262*U262</f>
        <v>119753.10400000001</v>
      </c>
      <c r="Z262">
        <v>1</v>
      </c>
      <c r="AA262">
        <f>Y262*Z262</f>
        <v>119753.10400000001</v>
      </c>
      <c r="AB262">
        <f>IF(O262&gt;0,0,AA262+V262*Z262)*Z262</f>
        <v>119753.10400000001</v>
      </c>
      <c r="AC262">
        <f>IF(O262&gt;0,(N262-AA262)/2,IF(AD262&gt;=AG262,(((N262*U262)*Z262)-AB262)/2,((((N262*U262)*Z262)-AA262)+(((N262*U262)*Z262)-AB262))/2))</f>
        <v>29938.275999999998</v>
      </c>
      <c r="AD262">
        <f t="shared" si="165"/>
        <v>2000.4166666666667</v>
      </c>
      <c r="AE262">
        <f t="shared" si="166"/>
        <v>2018.0833333333333</v>
      </c>
      <c r="AF262">
        <f t="shared" si="167"/>
        <v>2007.4166666666667</v>
      </c>
      <c r="AG262">
        <f t="shared" si="168"/>
        <v>2017.0833333333333</v>
      </c>
      <c r="AH262">
        <f t="shared" si="169"/>
        <v>-8.3333333333333329E-2</v>
      </c>
    </row>
    <row r="264" spans="1:34">
      <c r="D264" t="s">
        <v>608</v>
      </c>
    </row>
    <row r="265" spans="1:34">
      <c r="A265" t="s">
        <v>155</v>
      </c>
      <c r="B265">
        <v>61066</v>
      </c>
      <c r="C265">
        <v>3552</v>
      </c>
      <c r="D265" t="s">
        <v>169</v>
      </c>
      <c r="E265">
        <v>1999</v>
      </c>
      <c r="F265">
        <v>10</v>
      </c>
      <c r="G265">
        <v>0.2</v>
      </c>
      <c r="I265" t="s">
        <v>78</v>
      </c>
      <c r="J265">
        <v>7</v>
      </c>
      <c r="K265">
        <f t="shared" ref="K265:K272" si="170">E265+J265</f>
        <v>2006</v>
      </c>
      <c r="N265">
        <v>85471.71</v>
      </c>
      <c r="P265">
        <f t="shared" ref="P265:P272" si="171">N265-N265*G265</f>
        <v>68377.368000000002</v>
      </c>
      <c r="Q265">
        <f t="shared" ref="Q265:Q272" si="172">P265/J265/12</f>
        <v>814.0162857142858</v>
      </c>
      <c r="R265">
        <f t="shared" ref="R265:R272" si="173">IF(O265&gt;0,0,IF(OR(AD265&gt;AE265,AF265&lt;AG265),0,IF(AND(AF265&gt;=AG265,AF265&lt;=AE265),Q265*((AF265-AG265)*12),IF(AND(AG265&lt;=AD265,AE265&gt;=AD265),((AE265-AD265)*12)*Q265,IF(AF265&gt;AE265,12*Q265,0)))))</f>
        <v>0</v>
      </c>
      <c r="S265">
        <f t="shared" ref="S265:S272" si="174">IF(O265=0,0,IF(AND(AH265&gt;=AG265,AH265&lt;=AF265),((AH265-AG265)*12)*Q265,0))</f>
        <v>0</v>
      </c>
      <c r="T265">
        <f t="shared" ref="T265:T272" si="175">IF(S265&gt;0,S265,R265)</f>
        <v>0</v>
      </c>
      <c r="U265">
        <v>1</v>
      </c>
      <c r="V265">
        <f t="shared" ref="V265:V272" si="176">U265*SUM(R265:S265)</f>
        <v>0</v>
      </c>
      <c r="X265">
        <f t="shared" ref="X265:X272" si="177">IF(AD265&gt;AE265,0,IF(AF265&lt;AG265,P265,IF(AND(AF265&gt;=AG265,AF265&lt;=AE265),(P265-T265),IF(AND(AG265&lt;=AD265,AE265&gt;=AD265),0,IF(AF265&gt;AE265,((AG265-AD265)*12)*Q265,0)))))</f>
        <v>68377.368000000002</v>
      </c>
      <c r="Y265">
        <f t="shared" ref="Y265:Y272" si="178">X265*U265</f>
        <v>68377.368000000002</v>
      </c>
      <c r="Z265">
        <v>1</v>
      </c>
      <c r="AA265">
        <f t="shared" ref="AA265:AA272" si="179">Y265*Z265</f>
        <v>68377.368000000002</v>
      </c>
      <c r="AB265">
        <f t="shared" ref="AB265:AB272" si="180">IF(O265&gt;0,0,AA265+V265*Z265)*Z265</f>
        <v>68377.368000000002</v>
      </c>
      <c r="AC265">
        <f t="shared" ref="AC265:AC272" si="181">IF(O265&gt;0,(N265-AA265)/2,IF(AD265&gt;=AG265,(((N265*U265)*Z265)-AB265)/2,((((N265*U265)*Z265)-AA265)+(((N265*U265)*Z265)-AB265))/2))</f>
        <v>17094.342000000004</v>
      </c>
      <c r="AD265">
        <f t="shared" ref="AD265:AD272" si="182">$E265+(($F265-1)/12)</f>
        <v>1999.75</v>
      </c>
      <c r="AE265">
        <f t="shared" ref="AE265:AE272" si="183">($P$5+1)-($P$2/12)</f>
        <v>2018.0833333333333</v>
      </c>
      <c r="AF265">
        <f t="shared" ref="AF265:AF272" si="184">$K265+(($F265-1)/12)</f>
        <v>2006.75</v>
      </c>
      <c r="AG265">
        <f t="shared" ref="AG265:AG272" si="185">$P$4+($P$3/12)</f>
        <v>2017.0833333333333</v>
      </c>
      <c r="AH265">
        <f t="shared" ref="AH265:AH272" si="186">$L265+(($M265-1)/12)</f>
        <v>-8.3333333333333329E-2</v>
      </c>
    </row>
    <row r="266" spans="1:34">
      <c r="A266" t="s">
        <v>155</v>
      </c>
      <c r="B266">
        <v>79325</v>
      </c>
      <c r="C266">
        <v>3552</v>
      </c>
      <c r="D266" t="s">
        <v>389</v>
      </c>
      <c r="E266">
        <v>2010</v>
      </c>
      <c r="F266">
        <v>10</v>
      </c>
      <c r="G266">
        <v>0</v>
      </c>
      <c r="I266" t="s">
        <v>78</v>
      </c>
      <c r="J266">
        <v>3</v>
      </c>
      <c r="K266">
        <f t="shared" si="170"/>
        <v>2013</v>
      </c>
      <c r="N266">
        <v>14337.43</v>
      </c>
      <c r="P266">
        <f t="shared" si="171"/>
        <v>14337.43</v>
      </c>
      <c r="Q266">
        <f t="shared" si="172"/>
        <v>398.26194444444445</v>
      </c>
      <c r="R266">
        <f t="shared" si="173"/>
        <v>0</v>
      </c>
      <c r="S266">
        <f t="shared" si="174"/>
        <v>0</v>
      </c>
      <c r="T266">
        <f t="shared" si="175"/>
        <v>0</v>
      </c>
      <c r="U266">
        <v>1</v>
      </c>
      <c r="V266">
        <f t="shared" si="176"/>
        <v>0</v>
      </c>
      <c r="X266">
        <f t="shared" si="177"/>
        <v>14337.43</v>
      </c>
      <c r="Y266">
        <f t="shared" si="178"/>
        <v>14337.43</v>
      </c>
      <c r="Z266">
        <v>1</v>
      </c>
      <c r="AA266">
        <f t="shared" si="179"/>
        <v>14337.43</v>
      </c>
      <c r="AB266">
        <f t="shared" si="180"/>
        <v>14337.43</v>
      </c>
      <c r="AC266">
        <f t="shared" si="181"/>
        <v>0</v>
      </c>
      <c r="AD266">
        <f t="shared" si="182"/>
        <v>2010.75</v>
      </c>
      <c r="AE266">
        <f t="shared" si="183"/>
        <v>2018.0833333333333</v>
      </c>
      <c r="AF266">
        <f t="shared" si="184"/>
        <v>2013.75</v>
      </c>
      <c r="AG266">
        <f t="shared" si="185"/>
        <v>2017.0833333333333</v>
      </c>
      <c r="AH266">
        <f t="shared" si="186"/>
        <v>-8.3333333333333329E-2</v>
      </c>
    </row>
    <row r="267" spans="1:34">
      <c r="A267" t="s">
        <v>462</v>
      </c>
      <c r="B267">
        <v>114547</v>
      </c>
      <c r="C267">
        <v>3552</v>
      </c>
      <c r="D267" t="s">
        <v>509</v>
      </c>
      <c r="E267">
        <v>2014</v>
      </c>
      <c r="F267">
        <v>7</v>
      </c>
      <c r="G267">
        <v>0</v>
      </c>
      <c r="I267" t="s">
        <v>78</v>
      </c>
      <c r="J267">
        <v>3</v>
      </c>
      <c r="K267">
        <f t="shared" si="170"/>
        <v>2017</v>
      </c>
      <c r="N267">
        <v>6550.26</v>
      </c>
      <c r="P267">
        <f t="shared" si="171"/>
        <v>6550.26</v>
      </c>
      <c r="Q267">
        <f t="shared" si="172"/>
        <v>181.95166666666668</v>
      </c>
      <c r="R267">
        <f t="shared" si="173"/>
        <v>909.75833333349885</v>
      </c>
      <c r="S267">
        <f t="shared" si="174"/>
        <v>0</v>
      </c>
      <c r="T267">
        <f t="shared" si="175"/>
        <v>909.75833333349885</v>
      </c>
      <c r="U267">
        <v>1</v>
      </c>
      <c r="V267">
        <f t="shared" si="176"/>
        <v>909.75833333349885</v>
      </c>
      <c r="X267">
        <f t="shared" si="177"/>
        <v>5640.5016666665015</v>
      </c>
      <c r="Y267">
        <f t="shared" si="178"/>
        <v>5640.5016666665015</v>
      </c>
      <c r="Z267">
        <v>1</v>
      </c>
      <c r="AA267">
        <f t="shared" si="179"/>
        <v>5640.5016666665015</v>
      </c>
      <c r="AB267">
        <f t="shared" si="180"/>
        <v>6550.26</v>
      </c>
      <c r="AC267">
        <f t="shared" si="181"/>
        <v>454.87916666674937</v>
      </c>
      <c r="AD267">
        <f t="shared" si="182"/>
        <v>2014.5</v>
      </c>
      <c r="AE267">
        <f t="shared" si="183"/>
        <v>2018.0833333333333</v>
      </c>
      <c r="AF267">
        <f t="shared" si="184"/>
        <v>2017.5</v>
      </c>
      <c r="AG267">
        <f t="shared" si="185"/>
        <v>2017.0833333333333</v>
      </c>
      <c r="AH267">
        <f t="shared" si="186"/>
        <v>-8.3333333333333329E-2</v>
      </c>
    </row>
    <row r="268" spans="1:34">
      <c r="A268" t="s">
        <v>155</v>
      </c>
      <c r="C268">
        <v>3552</v>
      </c>
      <c r="D268" t="s">
        <v>142</v>
      </c>
      <c r="E268">
        <v>1999</v>
      </c>
      <c r="F268">
        <v>10</v>
      </c>
      <c r="G268">
        <v>0.2</v>
      </c>
      <c r="I268" t="s">
        <v>78</v>
      </c>
      <c r="J268">
        <v>7</v>
      </c>
      <c r="K268">
        <f t="shared" si="170"/>
        <v>2006</v>
      </c>
      <c r="N268">
        <v>1532.03</v>
      </c>
      <c r="P268">
        <f t="shared" si="171"/>
        <v>1225.624</v>
      </c>
      <c r="Q268">
        <f t="shared" si="172"/>
        <v>14.590761904761905</v>
      </c>
      <c r="R268">
        <f t="shared" si="173"/>
        <v>0</v>
      </c>
      <c r="S268">
        <f t="shared" si="174"/>
        <v>0</v>
      </c>
      <c r="T268">
        <f t="shared" si="175"/>
        <v>0</v>
      </c>
      <c r="U268">
        <v>1</v>
      </c>
      <c r="V268">
        <f t="shared" si="176"/>
        <v>0</v>
      </c>
      <c r="X268">
        <f t="shared" si="177"/>
        <v>1225.624</v>
      </c>
      <c r="Y268">
        <f t="shared" si="178"/>
        <v>1225.624</v>
      </c>
      <c r="Z268">
        <v>1</v>
      </c>
      <c r="AA268">
        <f t="shared" si="179"/>
        <v>1225.624</v>
      </c>
      <c r="AB268">
        <f t="shared" si="180"/>
        <v>1225.624</v>
      </c>
      <c r="AC268">
        <f t="shared" si="181"/>
        <v>306.40599999999995</v>
      </c>
      <c r="AD268">
        <f t="shared" si="182"/>
        <v>1999.75</v>
      </c>
      <c r="AE268">
        <f t="shared" si="183"/>
        <v>2018.0833333333333</v>
      </c>
      <c r="AF268">
        <f t="shared" si="184"/>
        <v>2006.75</v>
      </c>
      <c r="AG268">
        <f t="shared" si="185"/>
        <v>2017.0833333333333</v>
      </c>
      <c r="AH268">
        <f t="shared" si="186"/>
        <v>-8.3333333333333329E-2</v>
      </c>
    </row>
    <row r="269" spans="1:34">
      <c r="A269" t="s">
        <v>155</v>
      </c>
      <c r="C269">
        <v>3552</v>
      </c>
      <c r="D269" t="s">
        <v>92</v>
      </c>
      <c r="E269">
        <v>1999</v>
      </c>
      <c r="F269">
        <v>11</v>
      </c>
      <c r="G269">
        <v>0.2</v>
      </c>
      <c r="I269" t="s">
        <v>78</v>
      </c>
      <c r="J269">
        <v>7</v>
      </c>
      <c r="K269">
        <f t="shared" si="170"/>
        <v>2006</v>
      </c>
      <c r="N269">
        <v>63738.66</v>
      </c>
      <c r="P269">
        <f t="shared" si="171"/>
        <v>50990.928</v>
      </c>
      <c r="Q269">
        <f t="shared" si="172"/>
        <v>607.03485714285716</v>
      </c>
      <c r="R269">
        <f t="shared" si="173"/>
        <v>0</v>
      </c>
      <c r="S269">
        <f t="shared" si="174"/>
        <v>0</v>
      </c>
      <c r="T269">
        <f t="shared" si="175"/>
        <v>0</v>
      </c>
      <c r="U269">
        <v>1</v>
      </c>
      <c r="V269">
        <f t="shared" si="176"/>
        <v>0</v>
      </c>
      <c r="X269">
        <f t="shared" si="177"/>
        <v>50990.928</v>
      </c>
      <c r="Y269">
        <f t="shared" si="178"/>
        <v>50990.928</v>
      </c>
      <c r="Z269">
        <v>1</v>
      </c>
      <c r="AA269">
        <f t="shared" si="179"/>
        <v>50990.928</v>
      </c>
      <c r="AB269">
        <f t="shared" si="180"/>
        <v>50990.928</v>
      </c>
      <c r="AC269">
        <f t="shared" si="181"/>
        <v>12747.732000000004</v>
      </c>
      <c r="AD269">
        <f t="shared" si="182"/>
        <v>1999.8333333333333</v>
      </c>
      <c r="AE269">
        <f t="shared" si="183"/>
        <v>2018.0833333333333</v>
      </c>
      <c r="AF269">
        <f t="shared" si="184"/>
        <v>2006.8333333333333</v>
      </c>
      <c r="AG269">
        <f t="shared" si="185"/>
        <v>2017.0833333333333</v>
      </c>
      <c r="AH269">
        <f t="shared" si="186"/>
        <v>-8.3333333333333329E-2</v>
      </c>
    </row>
    <row r="270" spans="1:34">
      <c r="A270" t="s">
        <v>155</v>
      </c>
      <c r="C270">
        <v>3552</v>
      </c>
      <c r="D270" t="s">
        <v>90</v>
      </c>
      <c r="E270">
        <v>1999</v>
      </c>
      <c r="F270">
        <v>11</v>
      </c>
      <c r="G270">
        <v>0.2</v>
      </c>
      <c r="I270" t="s">
        <v>78</v>
      </c>
      <c r="J270">
        <v>7</v>
      </c>
      <c r="K270">
        <f t="shared" si="170"/>
        <v>2006</v>
      </c>
      <c r="N270">
        <v>550.87</v>
      </c>
      <c r="P270">
        <f t="shared" si="171"/>
        <v>440.69600000000003</v>
      </c>
      <c r="Q270">
        <f t="shared" si="172"/>
        <v>5.2463809523809521</v>
      </c>
      <c r="R270">
        <f t="shared" si="173"/>
        <v>0</v>
      </c>
      <c r="S270">
        <f t="shared" si="174"/>
        <v>0</v>
      </c>
      <c r="T270">
        <f t="shared" si="175"/>
        <v>0</v>
      </c>
      <c r="U270">
        <v>1</v>
      </c>
      <c r="V270">
        <f t="shared" si="176"/>
        <v>0</v>
      </c>
      <c r="X270">
        <f t="shared" si="177"/>
        <v>440.69600000000003</v>
      </c>
      <c r="Y270">
        <f t="shared" si="178"/>
        <v>440.69600000000003</v>
      </c>
      <c r="Z270">
        <v>1</v>
      </c>
      <c r="AA270">
        <f t="shared" si="179"/>
        <v>440.69600000000003</v>
      </c>
      <c r="AB270">
        <f t="shared" si="180"/>
        <v>440.69600000000003</v>
      </c>
      <c r="AC270">
        <f t="shared" si="181"/>
        <v>110.17399999999998</v>
      </c>
      <c r="AD270">
        <f t="shared" si="182"/>
        <v>1999.8333333333333</v>
      </c>
      <c r="AE270">
        <f t="shared" si="183"/>
        <v>2018.0833333333333</v>
      </c>
      <c r="AF270">
        <f t="shared" si="184"/>
        <v>2006.8333333333333</v>
      </c>
      <c r="AG270">
        <f t="shared" si="185"/>
        <v>2017.0833333333333</v>
      </c>
      <c r="AH270">
        <f t="shared" si="186"/>
        <v>-8.3333333333333329E-2</v>
      </c>
    </row>
    <row r="271" spans="1:34">
      <c r="A271" t="s">
        <v>155</v>
      </c>
      <c r="C271">
        <v>3552</v>
      </c>
      <c r="D271" t="s">
        <v>89</v>
      </c>
      <c r="E271">
        <v>1999</v>
      </c>
      <c r="F271">
        <v>11</v>
      </c>
      <c r="G271">
        <v>0.2</v>
      </c>
      <c r="I271" t="s">
        <v>78</v>
      </c>
      <c r="J271">
        <v>7</v>
      </c>
      <c r="K271">
        <f t="shared" si="170"/>
        <v>2006</v>
      </c>
      <c r="N271">
        <v>1118.51</v>
      </c>
      <c r="P271">
        <f t="shared" si="171"/>
        <v>894.80799999999999</v>
      </c>
      <c r="Q271">
        <f t="shared" si="172"/>
        <v>10.652476190476191</v>
      </c>
      <c r="R271">
        <f t="shared" si="173"/>
        <v>0</v>
      </c>
      <c r="S271">
        <f t="shared" si="174"/>
        <v>0</v>
      </c>
      <c r="T271">
        <f t="shared" si="175"/>
        <v>0</v>
      </c>
      <c r="U271">
        <v>1</v>
      </c>
      <c r="V271">
        <f t="shared" si="176"/>
        <v>0</v>
      </c>
      <c r="X271">
        <f t="shared" si="177"/>
        <v>894.80799999999999</v>
      </c>
      <c r="Y271">
        <f t="shared" si="178"/>
        <v>894.80799999999999</v>
      </c>
      <c r="Z271">
        <v>1</v>
      </c>
      <c r="AA271">
        <f t="shared" si="179"/>
        <v>894.80799999999999</v>
      </c>
      <c r="AB271">
        <f t="shared" si="180"/>
        <v>894.80799999999999</v>
      </c>
      <c r="AC271">
        <f t="shared" si="181"/>
        <v>223.702</v>
      </c>
      <c r="AD271">
        <f t="shared" si="182"/>
        <v>1999.8333333333333</v>
      </c>
      <c r="AE271">
        <f t="shared" si="183"/>
        <v>2018.0833333333333</v>
      </c>
      <c r="AF271">
        <f t="shared" si="184"/>
        <v>2006.8333333333333</v>
      </c>
      <c r="AG271">
        <f t="shared" si="185"/>
        <v>2017.0833333333333</v>
      </c>
      <c r="AH271">
        <f t="shared" si="186"/>
        <v>-8.3333333333333329E-2</v>
      </c>
    </row>
    <row r="272" spans="1:34">
      <c r="A272" t="s">
        <v>284</v>
      </c>
      <c r="C272">
        <v>3552</v>
      </c>
      <c r="D272" t="s">
        <v>91</v>
      </c>
      <c r="E272">
        <v>2000</v>
      </c>
      <c r="F272">
        <v>1</v>
      </c>
      <c r="G272">
        <v>0.2</v>
      </c>
      <c r="I272" t="s">
        <v>78</v>
      </c>
      <c r="J272">
        <v>7</v>
      </c>
      <c r="K272">
        <f t="shared" si="170"/>
        <v>2007</v>
      </c>
      <c r="N272">
        <v>3143.6</v>
      </c>
      <c r="P272">
        <f t="shared" si="171"/>
        <v>2514.88</v>
      </c>
      <c r="Q272">
        <f t="shared" si="172"/>
        <v>29.939047619047617</v>
      </c>
      <c r="R272">
        <f t="shared" si="173"/>
        <v>0</v>
      </c>
      <c r="S272">
        <f t="shared" si="174"/>
        <v>0</v>
      </c>
      <c r="T272">
        <f t="shared" si="175"/>
        <v>0</v>
      </c>
      <c r="U272">
        <v>1</v>
      </c>
      <c r="V272">
        <f t="shared" si="176"/>
        <v>0</v>
      </c>
      <c r="X272">
        <f t="shared" si="177"/>
        <v>2514.88</v>
      </c>
      <c r="Y272">
        <f t="shared" si="178"/>
        <v>2514.88</v>
      </c>
      <c r="Z272">
        <v>1</v>
      </c>
      <c r="AA272">
        <f t="shared" si="179"/>
        <v>2514.88</v>
      </c>
      <c r="AB272">
        <f t="shared" si="180"/>
        <v>2514.88</v>
      </c>
      <c r="AC272">
        <f t="shared" si="181"/>
        <v>628.7199999999998</v>
      </c>
      <c r="AD272">
        <f t="shared" si="182"/>
        <v>2000</v>
      </c>
      <c r="AE272">
        <f t="shared" si="183"/>
        <v>2018.0833333333333</v>
      </c>
      <c r="AF272">
        <f t="shared" si="184"/>
        <v>2007</v>
      </c>
      <c r="AG272">
        <f t="shared" si="185"/>
        <v>2017.0833333333333</v>
      </c>
      <c r="AH272">
        <f t="shared" si="186"/>
        <v>-8.3333333333333329E-2</v>
      </c>
    </row>
    <row r="276" spans="1:34">
      <c r="D276" t="s">
        <v>609</v>
      </c>
    </row>
    <row r="277" spans="1:34">
      <c r="A277" t="s">
        <v>286</v>
      </c>
      <c r="B277">
        <v>61106</v>
      </c>
      <c r="C277">
        <v>2029</v>
      </c>
      <c r="D277" t="s">
        <v>153</v>
      </c>
      <c r="E277">
        <v>2007</v>
      </c>
      <c r="F277">
        <v>6</v>
      </c>
      <c r="G277">
        <v>0.2</v>
      </c>
      <c r="I277" t="s">
        <v>78</v>
      </c>
      <c r="J277">
        <v>7</v>
      </c>
      <c r="K277">
        <f>E277+J277</f>
        <v>2014</v>
      </c>
      <c r="N277">
        <v>215572.54</v>
      </c>
      <c r="P277">
        <f>N277-N277*G277</f>
        <v>172458.03200000001</v>
      </c>
      <c r="Q277">
        <f>P277/J277/12</f>
        <v>2053.0718095238094</v>
      </c>
      <c r="R277">
        <f>IF(O277&gt;0,0,IF(OR(AD277&gt;AE277,AF277&lt;AG277),0,IF(AND(AF277&gt;=AG277,AF277&lt;=AE277),Q277*((AF277-AG277)*12),IF(AND(AG277&lt;=AD277,AE277&gt;=AD277),((AE277-AD277)*12)*Q277,IF(AF277&gt;AE277,12*Q277,0)))))</f>
        <v>0</v>
      </c>
      <c r="S277">
        <f>IF(O277=0,0,IF(AND(AH277&gt;=AG277,AH277&lt;=AF277),((AH277-AG277)*12)*Q277,0))</f>
        <v>0</v>
      </c>
      <c r="T277">
        <f>IF(S277&gt;0,S277,R277)</f>
        <v>0</v>
      </c>
      <c r="U277">
        <v>1</v>
      </c>
      <c r="V277">
        <f>U277*SUM(R277:S277)</f>
        <v>0</v>
      </c>
      <c r="X277">
        <f>IF(AD277&gt;AE277,0,IF(AF277&lt;AG277,P277,IF(AND(AF277&gt;=AG277,AF277&lt;=AE277),(P277-T277),IF(AND(AG277&lt;=AD277,AE277&gt;=AD277),0,IF(AF277&gt;AE277,((AG277-AD277)*12)*Q277,0)))))</f>
        <v>172458.03200000001</v>
      </c>
      <c r="Y277">
        <f>X277*U277</f>
        <v>172458.03200000001</v>
      </c>
      <c r="Z277">
        <v>1</v>
      </c>
      <c r="AA277">
        <f>Y277*Z277</f>
        <v>172458.03200000001</v>
      </c>
      <c r="AB277">
        <f>IF(O277&gt;0,0,AA277+V277*Z277)*Z277</f>
        <v>172458.03200000001</v>
      </c>
      <c r="AC277">
        <f>IF(O277&gt;0,(N277-AA277)/2,IF(AD277&gt;=AG277,(((N277*U277)*Z277)-AB277)/2,((((N277*U277)*Z277)-AA277)+(((N277*U277)*Z277)-AB277))/2))</f>
        <v>43114.508000000002</v>
      </c>
      <c r="AD277">
        <f>$E277+(($F277-1)/12)</f>
        <v>2007.4166666666667</v>
      </c>
      <c r="AE277">
        <f>($P$5+1)-($P$2/12)</f>
        <v>2018.0833333333333</v>
      </c>
      <c r="AF277">
        <f>$K277+(($F277-1)/12)</f>
        <v>2014.4166666666667</v>
      </c>
      <c r="AG277">
        <f>$P$4+($P$3/12)</f>
        <v>2017.0833333333333</v>
      </c>
      <c r="AH277">
        <f>$L277+(($M277-1)/12)</f>
        <v>-8.3333333333333329E-2</v>
      </c>
    </row>
  </sheetData>
  <autoFilter ref="B1:B5553" xr:uid="{00000000-0009-0000-0000-00000A000000}"/>
  <mergeCells count="1">
    <mergeCell ref="AJ5:AR6"/>
  </mergeCells>
  <hyperlinks>
    <hyperlink ref="I196" r:id="rId1" display="\\sacinf05\DistShares\Fixed Assets\2013" xr:uid="{00000000-0004-0000-0A00-000000000000}"/>
  </hyperlinks>
  <pageMargins left="0" right="0" top="0" bottom="0" header="0.5" footer="0.5"/>
  <pageSetup scale="62" fitToHeight="0" orientation="portrait" r:id="rId2"/>
  <headerFooter alignWithMargins="0"/>
  <rowBreaks count="1" manualBreakCount="1">
    <brk id="325" min="2" max="28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214"/>
  <sheetViews>
    <sheetView tabSelected="1" topLeftCell="A7" workbookViewId="0">
      <selection activeCell="R41" sqref="R41"/>
    </sheetView>
  </sheetViews>
  <sheetFormatPr defaultColWidth="11.42578125" defaultRowHeight="12.75"/>
  <cols>
    <col min="1" max="1" width="7" customWidth="1"/>
    <col min="2" max="2" width="6.7109375" customWidth="1"/>
    <col min="3" max="3" width="44.7109375" bestFit="1" customWidth="1"/>
    <col min="4" max="4" width="11.28515625" bestFit="1" customWidth="1"/>
    <col min="5" max="5" width="7.28515625" bestFit="1" customWidth="1"/>
    <col min="6" max="6" width="3.42578125" bestFit="1" customWidth="1"/>
    <col min="7" max="7" width="7" bestFit="1" customWidth="1"/>
    <col min="8" max="8" width="1.28515625" customWidth="1"/>
    <col min="9" max="9" width="7" bestFit="1" customWidth="1"/>
    <col min="10" max="10" width="5.5703125" bestFit="1" customWidth="1"/>
    <col min="11" max="11" width="5" bestFit="1" customWidth="1"/>
    <col min="12" max="12" width="5.7109375" customWidth="1"/>
    <col min="13" max="13" width="4.28515625" customWidth="1"/>
    <col min="14" max="14" width="9.140625" bestFit="1" customWidth="1"/>
    <col min="15" max="15" width="7.7109375" customWidth="1"/>
    <col min="16" max="16" width="9" bestFit="1" customWidth="1"/>
    <col min="17" max="17" width="7" customWidth="1"/>
    <col min="18" max="18" width="7.7109375" bestFit="1" customWidth="1"/>
    <col min="19" max="20" width="7.7109375" customWidth="1"/>
    <col min="21" max="21" width="4.42578125" customWidth="1"/>
    <col min="22" max="22" width="8.42578125" bestFit="1" customWidth="1"/>
    <col min="23" max="23" width="4.42578125" customWidth="1"/>
    <col min="24" max="25" width="9" customWidth="1"/>
    <col min="26" max="26" width="6.42578125" customWidth="1"/>
    <col min="27" max="27" width="9.28515625" bestFit="1" customWidth="1"/>
    <col min="28" max="28" width="9" bestFit="1" customWidth="1"/>
    <col min="29" max="29" width="10" bestFit="1" customWidth="1"/>
    <col min="30" max="30" width="7.85546875" bestFit="1" customWidth="1"/>
    <col min="31" max="31" width="8.28515625" customWidth="1"/>
    <col min="32" max="32" width="8" customWidth="1"/>
    <col min="33" max="33" width="7.85546875" bestFit="1" customWidth="1"/>
    <col min="34" max="34" width="7" bestFit="1" customWidth="1"/>
    <col min="35" max="35" width="11.42578125" customWidth="1"/>
    <col min="36" max="36" width="13.42578125" bestFit="1" customWidth="1"/>
    <col min="37" max="37" width="3.7109375" customWidth="1"/>
    <col min="38" max="38" width="17.5703125" bestFit="1" customWidth="1"/>
    <col min="39" max="39" width="3.7109375" customWidth="1"/>
    <col min="40" max="40" width="17.85546875" bestFit="1" customWidth="1"/>
    <col min="41" max="41" width="3.7109375" customWidth="1"/>
    <col min="42" max="42" width="18.28515625" bestFit="1" customWidth="1"/>
    <col min="43" max="43" width="3.42578125" customWidth="1"/>
    <col min="44" max="44" width="13.42578125" bestFit="1" customWidth="1"/>
  </cols>
  <sheetData>
    <row r="1" spans="1:44">
      <c r="C1" t="s">
        <v>343</v>
      </c>
    </row>
    <row r="2" spans="1:44">
      <c r="C2" t="s">
        <v>26</v>
      </c>
      <c r="P2">
        <f>'Trucks 2183'!M2</f>
        <v>0</v>
      </c>
      <c r="Q2" t="s">
        <v>27</v>
      </c>
    </row>
    <row r="3" spans="1:44">
      <c r="C3" s="228">
        <f>'Summary 2183'!H8</f>
        <v>45412</v>
      </c>
      <c r="P3">
        <f>'Trucks 2183'!M3</f>
        <v>0</v>
      </c>
      <c r="Q3" t="s">
        <v>28</v>
      </c>
      <c r="AE3" t="s">
        <v>29</v>
      </c>
      <c r="AF3" t="s">
        <v>30</v>
      </c>
    </row>
    <row r="4" spans="1:44">
      <c r="P4">
        <f>'Trucks 2183'!M4</f>
        <v>0</v>
      </c>
      <c r="Q4" t="s">
        <v>31</v>
      </c>
      <c r="AE4" t="s">
        <v>32</v>
      </c>
      <c r="AF4" t="s">
        <v>33</v>
      </c>
    </row>
    <row r="5" spans="1:44">
      <c r="P5">
        <f>'Trucks 2183'!M5</f>
        <v>0</v>
      </c>
      <c r="Q5" t="s">
        <v>34</v>
      </c>
      <c r="AE5" t="s">
        <v>35</v>
      </c>
      <c r="AF5" t="s">
        <v>36</v>
      </c>
      <c r="AJ5" s="226" t="s">
        <v>633</v>
      </c>
      <c r="AK5" s="226"/>
      <c r="AL5" s="226"/>
      <c r="AM5" s="226"/>
      <c r="AN5" s="226"/>
      <c r="AO5" s="226"/>
      <c r="AP5" s="226"/>
      <c r="AQ5" s="226"/>
      <c r="AR5" s="226"/>
    </row>
    <row r="6" spans="1:44">
      <c r="AE6" t="s">
        <v>37</v>
      </c>
      <c r="AF6" t="s">
        <v>38</v>
      </c>
      <c r="AJ6" s="226"/>
      <c r="AK6" s="226"/>
      <c r="AL6" s="226"/>
      <c r="AM6" s="226"/>
      <c r="AN6" s="226"/>
      <c r="AO6" s="226"/>
      <c r="AP6" s="226"/>
      <c r="AQ6" s="226"/>
      <c r="AR6" s="226"/>
    </row>
    <row r="7" spans="1:44">
      <c r="AE7" t="s">
        <v>39</v>
      </c>
      <c r="AF7" t="s">
        <v>40</v>
      </c>
    </row>
    <row r="8" spans="1:44">
      <c r="S8" t="s">
        <v>41</v>
      </c>
      <c r="V8" t="s">
        <v>42</v>
      </c>
      <c r="X8" t="s">
        <v>44</v>
      </c>
      <c r="Y8" t="s">
        <v>44</v>
      </c>
      <c r="AA8" t="s">
        <v>25</v>
      </c>
      <c r="AB8" t="s">
        <v>43</v>
      </c>
      <c r="AN8" t="s">
        <v>634</v>
      </c>
      <c r="AP8" t="s">
        <v>634</v>
      </c>
    </row>
    <row r="9" spans="1:44">
      <c r="B9" t="s">
        <v>45</v>
      </c>
      <c r="E9" t="s">
        <v>46</v>
      </c>
      <c r="G9" t="s">
        <v>47</v>
      </c>
      <c r="I9" t="s">
        <v>45</v>
      </c>
      <c r="K9" t="s">
        <v>48</v>
      </c>
      <c r="L9" t="s">
        <v>45</v>
      </c>
      <c r="N9" t="s">
        <v>45</v>
      </c>
      <c r="O9" t="s">
        <v>49</v>
      </c>
      <c r="P9" t="s">
        <v>45</v>
      </c>
      <c r="R9" t="s">
        <v>50</v>
      </c>
      <c r="S9" t="s">
        <v>48</v>
      </c>
      <c r="T9" t="s">
        <v>42</v>
      </c>
      <c r="U9" t="s">
        <v>51</v>
      </c>
      <c r="V9" t="s">
        <v>44</v>
      </c>
      <c r="X9" t="s">
        <v>52</v>
      </c>
      <c r="Y9" t="s">
        <v>52</v>
      </c>
      <c r="Z9" t="s">
        <v>53</v>
      </c>
      <c r="AA9" t="s">
        <v>54</v>
      </c>
      <c r="AB9" t="s">
        <v>54</v>
      </c>
      <c r="AC9" t="s">
        <v>55</v>
      </c>
      <c r="AJ9" t="s">
        <v>635</v>
      </c>
      <c r="AL9" t="s">
        <v>636</v>
      </c>
      <c r="AN9" t="s">
        <v>637</v>
      </c>
      <c r="AP9" t="s">
        <v>637</v>
      </c>
      <c r="AR9" t="s">
        <v>638</v>
      </c>
    </row>
    <row r="10" spans="1:44">
      <c r="C10" t="s">
        <v>56</v>
      </c>
      <c r="E10" t="s">
        <v>57</v>
      </c>
      <c r="G10" t="s">
        <v>58</v>
      </c>
      <c r="I10" t="s">
        <v>100</v>
      </c>
      <c r="J10" t="s">
        <v>59</v>
      </c>
      <c r="K10" t="s">
        <v>60</v>
      </c>
      <c r="L10" t="s">
        <v>49</v>
      </c>
      <c r="M10" t="s">
        <v>61</v>
      </c>
      <c r="N10" t="s">
        <v>49</v>
      </c>
      <c r="O10" t="s">
        <v>41</v>
      </c>
      <c r="P10" t="s">
        <v>62</v>
      </c>
      <c r="Q10" t="s">
        <v>63</v>
      </c>
      <c r="R10" t="s">
        <v>48</v>
      </c>
      <c r="S10" t="s">
        <v>64</v>
      </c>
      <c r="T10" t="s">
        <v>65</v>
      </c>
      <c r="U10" t="s">
        <v>66</v>
      </c>
      <c r="V10" t="s">
        <v>67</v>
      </c>
      <c r="X10" t="s">
        <v>62</v>
      </c>
      <c r="Y10" t="s">
        <v>62</v>
      </c>
      <c r="Z10" t="s">
        <v>66</v>
      </c>
      <c r="AA10" t="s">
        <v>68</v>
      </c>
      <c r="AB10" t="s">
        <v>68</v>
      </c>
      <c r="AC10" t="s">
        <v>6</v>
      </c>
      <c r="AD10" t="s">
        <v>29</v>
      </c>
      <c r="AE10" t="s">
        <v>69</v>
      </c>
      <c r="AF10" t="s">
        <v>70</v>
      </c>
      <c r="AG10" t="s">
        <v>37</v>
      </c>
      <c r="AH10" t="s">
        <v>39</v>
      </c>
      <c r="AJ10" t="s">
        <v>639</v>
      </c>
      <c r="AL10" t="s">
        <v>640</v>
      </c>
      <c r="AN10" t="s">
        <v>641</v>
      </c>
      <c r="AP10" t="s">
        <v>642</v>
      </c>
      <c r="AR10" t="s">
        <v>6</v>
      </c>
    </row>
    <row r="11" spans="1:44">
      <c r="A11" t="s">
        <v>71</v>
      </c>
      <c r="B11" t="s">
        <v>72</v>
      </c>
      <c r="C11" t="s">
        <v>73</v>
      </c>
      <c r="D11" t="s">
        <v>432</v>
      </c>
      <c r="E11" t="s">
        <v>48</v>
      </c>
      <c r="F11" t="s">
        <v>74</v>
      </c>
      <c r="G11" t="s">
        <v>51</v>
      </c>
      <c r="H11" t="s">
        <v>99</v>
      </c>
      <c r="I11" t="s">
        <v>75</v>
      </c>
      <c r="J11" t="s">
        <v>76</v>
      </c>
      <c r="K11" t="s">
        <v>62</v>
      </c>
      <c r="L11" t="s">
        <v>173</v>
      </c>
      <c r="M11" t="s">
        <v>99</v>
      </c>
      <c r="N11" t="s">
        <v>173</v>
      </c>
      <c r="O11" t="s">
        <v>99</v>
      </c>
      <c r="P11" t="s">
        <v>173</v>
      </c>
      <c r="Q11" t="s">
        <v>62</v>
      </c>
      <c r="R11" t="s">
        <v>62</v>
      </c>
      <c r="S11" t="s">
        <v>99</v>
      </c>
      <c r="T11" t="s">
        <v>77</v>
      </c>
      <c r="U11" t="s">
        <v>99</v>
      </c>
      <c r="V11" t="s">
        <v>68</v>
      </c>
      <c r="X11">
        <f>'Summary 2183'!F8</f>
        <v>45047</v>
      </c>
      <c r="Y11">
        <f>+C3</f>
        <v>45412</v>
      </c>
      <c r="Z11" t="s">
        <v>51</v>
      </c>
      <c r="AA11">
        <f>+X11</f>
        <v>45047</v>
      </c>
      <c r="AB11">
        <f>+C3</f>
        <v>45412</v>
      </c>
      <c r="AC11">
        <f>AB11</f>
        <v>45412</v>
      </c>
    </row>
    <row r="12" spans="1:44">
      <c r="C12" t="s">
        <v>17</v>
      </c>
      <c r="E12">
        <v>2000</v>
      </c>
      <c r="F12">
        <v>7</v>
      </c>
      <c r="G12">
        <v>0</v>
      </c>
      <c r="I12" t="s">
        <v>78</v>
      </c>
      <c r="J12" t="s">
        <v>10</v>
      </c>
      <c r="K12">
        <f t="shared" ref="K12:K20" si="0">E12+J12</f>
        <v>2039</v>
      </c>
      <c r="N12">
        <v>157653.60999999999</v>
      </c>
      <c r="O12">
        <v>0</v>
      </c>
      <c r="P12">
        <f t="shared" ref="P12:P20" si="1">N12-N12*G12</f>
        <v>157653.60999999999</v>
      </c>
      <c r="Q12">
        <f t="shared" ref="Q12:Q20" si="2">P12/J12/12</f>
        <v>336.86668803418803</v>
      </c>
      <c r="R12">
        <f t="shared" ref="R12:R20" si="3">IF(O12&gt;0,0,IF(OR(AD12&gt;AE12,AF12&lt;AG12),0,IF(AND(AF12&gt;=AG12,AF12&lt;=AE12),Q12*((AF12-AG12)*12),IF(AND(AG12&lt;=AD12,AE12&gt;=AD12),((AE12-AD12)*12)*Q12,IF(AF12&gt;AE12,12*Q12,0)))))</f>
        <v>0</v>
      </c>
      <c r="S12">
        <f t="shared" ref="S12:S20" si="4">IF(O12=0,0,IF(AND(AH12&gt;=AG12,AH12&lt;=AF12),((AH12-AG12)*12)*Q12,0))</f>
        <v>0</v>
      </c>
      <c r="T12">
        <f t="shared" ref="T12:T20" si="5">IF(S12&gt;0,S12,R12)</f>
        <v>0</v>
      </c>
      <c r="U12">
        <v>1</v>
      </c>
      <c r="V12">
        <f t="shared" ref="V12:V20" si="6">U12*SUM(R12:S12)</f>
        <v>0</v>
      </c>
      <c r="X12">
        <f t="shared" ref="X12:X20" si="7">IF(AD12&gt;AE12,0,IF(AF12&lt;AG12,P12,IF(AND(AF12&gt;=AG12,AF12&lt;=AE12),(P12-T12),IF(AND(AG12&lt;=AD12,AE12&gt;=AD12),0,IF(AF12&gt;AE12,((AG12-AD12)*12)*Q12,0)))))</f>
        <v>0</v>
      </c>
      <c r="Y12">
        <f t="shared" ref="Y12:Y20" si="8">X12*U12</f>
        <v>0</v>
      </c>
      <c r="Z12">
        <v>1</v>
      </c>
      <c r="AA12">
        <f t="shared" ref="AA12:AA20" si="9">Y12*Z12</f>
        <v>0</v>
      </c>
      <c r="AB12">
        <f t="shared" ref="AB12:AB20" si="10">IF(O12&gt;0,0,AA12+V12*Z12)*Z12</f>
        <v>0</v>
      </c>
      <c r="AC12">
        <f t="shared" ref="AC12:AC20" si="11">IF(O12&gt;0,(N12-AA12)/2,IF(AD12&gt;=AG12,(((N12*U12)*Z12)-AB12)/2,((((N12*U12)*Z12)-AA12)+(((N12*U12)*Z12)-AB12))/2))</f>
        <v>78826.804999999993</v>
      </c>
      <c r="AD12">
        <f t="shared" ref="AD12:AD20" si="12">$E12+(($F12-1)/12)</f>
        <v>2000.5</v>
      </c>
      <c r="AE12">
        <f t="shared" ref="AE12:AE20" si="13">($P$5+1)-($P$2/12)</f>
        <v>1</v>
      </c>
      <c r="AF12">
        <f t="shared" ref="AF12:AF20" si="14">$K12+(($F12-1)/12)</f>
        <v>2039.5</v>
      </c>
      <c r="AG12">
        <f t="shared" ref="AG12:AG20" si="15">$P$4+($P$3/12)</f>
        <v>0</v>
      </c>
      <c r="AH12">
        <f t="shared" ref="AH12:AH20" si="16">$L12+(($M12-1)/12)</f>
        <v>-8.3333333333333329E-2</v>
      </c>
      <c r="AJ12">
        <f>+IF((AF12-AG12)&gt;3,((N12-P12)/(AF12-AG12)),(N12-P12)/3)</f>
        <v>0</v>
      </c>
      <c r="AL12">
        <f>+AJ12+V12</f>
        <v>0</v>
      </c>
      <c r="AN12">
        <f>+IF(AF12&lt;AG12,-AC12,0)</f>
        <v>0</v>
      </c>
      <c r="AP12">
        <f>IF(AF12&gt;AG12,IF(AJ12&gt;0,IF(O12&gt;0,(N12-AA12)/2,IF(AD12&gt;=AG12,(((N12*U12)*Z12)-(AB12+AJ12))/2,((((N12*U12)*Z12)-AA12)+(((N12*U12)*Z12)-(AB12+AJ12)))/2)),0),0)</f>
        <v>0</v>
      </c>
      <c r="AR12">
        <f>+AC12+AN12+(IF(AP12&gt;0,(AP12-AC12),0))</f>
        <v>78826.804999999993</v>
      </c>
    </row>
    <row r="13" spans="1:44">
      <c r="C13" t="s">
        <v>18</v>
      </c>
      <c r="E13">
        <v>2000</v>
      </c>
      <c r="F13">
        <v>7</v>
      </c>
      <c r="G13">
        <v>0</v>
      </c>
      <c r="I13" t="s">
        <v>78</v>
      </c>
      <c r="J13" t="s">
        <v>10</v>
      </c>
      <c r="K13">
        <f t="shared" si="0"/>
        <v>2039</v>
      </c>
      <c r="N13">
        <v>749055.76</v>
      </c>
      <c r="O13">
        <v>0</v>
      </c>
      <c r="P13">
        <f t="shared" si="1"/>
        <v>749055.76</v>
      </c>
      <c r="Q13">
        <f t="shared" si="2"/>
        <v>1600.5464957264958</v>
      </c>
      <c r="R13">
        <f t="shared" si="3"/>
        <v>0</v>
      </c>
      <c r="S13">
        <f t="shared" si="4"/>
        <v>0</v>
      </c>
      <c r="T13">
        <f t="shared" si="5"/>
        <v>0</v>
      </c>
      <c r="U13">
        <v>1</v>
      </c>
      <c r="V13">
        <f t="shared" si="6"/>
        <v>0</v>
      </c>
      <c r="X13">
        <f t="shared" si="7"/>
        <v>0</v>
      </c>
      <c r="Y13">
        <f t="shared" si="8"/>
        <v>0</v>
      </c>
      <c r="Z13">
        <v>1</v>
      </c>
      <c r="AA13">
        <f t="shared" si="9"/>
        <v>0</v>
      </c>
      <c r="AB13">
        <f t="shared" si="10"/>
        <v>0</v>
      </c>
      <c r="AC13">
        <f t="shared" si="11"/>
        <v>374527.88</v>
      </c>
      <c r="AD13">
        <f t="shared" si="12"/>
        <v>2000.5</v>
      </c>
      <c r="AE13">
        <f t="shared" si="13"/>
        <v>1</v>
      </c>
      <c r="AF13">
        <f t="shared" si="14"/>
        <v>2039.5</v>
      </c>
      <c r="AG13">
        <f t="shared" si="15"/>
        <v>0</v>
      </c>
      <c r="AH13">
        <f t="shared" si="16"/>
        <v>-8.3333333333333329E-2</v>
      </c>
      <c r="AJ13">
        <f t="shared" ref="AJ13:AJ20" si="17">+IF((AF13-AG13)&gt;3,((N13-P13)/(AF13-AG13)),(N13-P13)/3)</f>
        <v>0</v>
      </c>
      <c r="AL13">
        <f t="shared" ref="AL13:AL20" si="18">+AJ13+V13</f>
        <v>0</v>
      </c>
      <c r="AN13">
        <f t="shared" ref="AN13:AN20" si="19">+IF(AF13&lt;AG13,-AC13,0)</f>
        <v>0</v>
      </c>
      <c r="AP13">
        <f t="shared" ref="AP13:AP20" si="20">IF(AF13&gt;AG13,IF(AJ13&gt;0,IF(O13&gt;0,(N13-AA13)/2,IF(AD13&gt;=AG13,(((N13*U13)*Z13)-(AB13+AJ13))/2,((((N13*U13)*Z13)-AA13)+(((N13*U13)*Z13)-(AB13+AJ13)))/2)),0),0)</f>
        <v>0</v>
      </c>
      <c r="AR13">
        <f t="shared" ref="AR13:AR20" si="21">+AC13+AN13+(IF(AP13&gt;0,(AP13-AC13),0))</f>
        <v>374527.88</v>
      </c>
    </row>
    <row r="14" spans="1:44">
      <c r="C14" t="s">
        <v>19</v>
      </c>
      <c r="E14">
        <v>2000</v>
      </c>
      <c r="F14">
        <v>7</v>
      </c>
      <c r="G14">
        <v>0</v>
      </c>
      <c r="I14" t="s">
        <v>78</v>
      </c>
      <c r="J14" t="s">
        <v>10</v>
      </c>
      <c r="K14">
        <f t="shared" si="0"/>
        <v>2039</v>
      </c>
      <c r="N14">
        <v>1278030.99</v>
      </c>
      <c r="O14">
        <v>0</v>
      </c>
      <c r="P14">
        <f t="shared" si="1"/>
        <v>1278030.99</v>
      </c>
      <c r="Q14">
        <f t="shared" si="2"/>
        <v>2730.835448717949</v>
      </c>
      <c r="R14">
        <f t="shared" si="3"/>
        <v>0</v>
      </c>
      <c r="S14">
        <f t="shared" si="4"/>
        <v>0</v>
      </c>
      <c r="T14">
        <f t="shared" si="5"/>
        <v>0</v>
      </c>
      <c r="U14">
        <v>1</v>
      </c>
      <c r="V14">
        <f t="shared" si="6"/>
        <v>0</v>
      </c>
      <c r="X14">
        <f t="shared" si="7"/>
        <v>0</v>
      </c>
      <c r="Y14">
        <f t="shared" si="8"/>
        <v>0</v>
      </c>
      <c r="Z14">
        <v>1</v>
      </c>
      <c r="AA14">
        <f t="shared" si="9"/>
        <v>0</v>
      </c>
      <c r="AB14">
        <f t="shared" si="10"/>
        <v>0</v>
      </c>
      <c r="AC14">
        <f t="shared" si="11"/>
        <v>639015.495</v>
      </c>
      <c r="AD14">
        <f t="shared" si="12"/>
        <v>2000.5</v>
      </c>
      <c r="AE14">
        <f t="shared" si="13"/>
        <v>1</v>
      </c>
      <c r="AF14">
        <f t="shared" si="14"/>
        <v>2039.5</v>
      </c>
      <c r="AG14">
        <f t="shared" si="15"/>
        <v>0</v>
      </c>
      <c r="AH14">
        <f t="shared" si="16"/>
        <v>-8.3333333333333329E-2</v>
      </c>
      <c r="AJ14">
        <f t="shared" si="17"/>
        <v>0</v>
      </c>
      <c r="AL14">
        <f t="shared" si="18"/>
        <v>0</v>
      </c>
      <c r="AN14">
        <f t="shared" si="19"/>
        <v>0</v>
      </c>
      <c r="AP14">
        <f t="shared" si="20"/>
        <v>0</v>
      </c>
      <c r="AR14">
        <f t="shared" si="21"/>
        <v>639015.495</v>
      </c>
    </row>
    <row r="15" spans="1:44">
      <c r="C15" t="s">
        <v>349</v>
      </c>
      <c r="E15">
        <v>2001</v>
      </c>
      <c r="F15">
        <v>1</v>
      </c>
      <c r="G15">
        <v>0</v>
      </c>
      <c r="I15" t="s">
        <v>78</v>
      </c>
      <c r="J15" t="s">
        <v>10</v>
      </c>
      <c r="K15">
        <f t="shared" si="0"/>
        <v>2040</v>
      </c>
      <c r="N15">
        <v>26815.63</v>
      </c>
      <c r="O15">
        <v>0</v>
      </c>
      <c r="P15">
        <f t="shared" si="1"/>
        <v>26815.63</v>
      </c>
      <c r="Q15">
        <f t="shared" si="2"/>
        <v>57.298354700854702</v>
      </c>
      <c r="R15">
        <f t="shared" si="3"/>
        <v>0</v>
      </c>
      <c r="S15">
        <f t="shared" si="4"/>
        <v>0</v>
      </c>
      <c r="T15">
        <f t="shared" si="5"/>
        <v>0</v>
      </c>
      <c r="U15">
        <v>1</v>
      </c>
      <c r="V15">
        <f t="shared" si="6"/>
        <v>0</v>
      </c>
      <c r="X15">
        <f t="shared" si="7"/>
        <v>0</v>
      </c>
      <c r="Y15">
        <f t="shared" si="8"/>
        <v>0</v>
      </c>
      <c r="Z15">
        <v>1</v>
      </c>
      <c r="AA15">
        <f t="shared" si="9"/>
        <v>0</v>
      </c>
      <c r="AB15">
        <f t="shared" si="10"/>
        <v>0</v>
      </c>
      <c r="AC15">
        <f t="shared" si="11"/>
        <v>13407.815000000001</v>
      </c>
      <c r="AD15">
        <f t="shared" si="12"/>
        <v>2001</v>
      </c>
      <c r="AE15">
        <f t="shared" si="13"/>
        <v>1</v>
      </c>
      <c r="AF15">
        <f t="shared" si="14"/>
        <v>2040</v>
      </c>
      <c r="AG15">
        <f t="shared" si="15"/>
        <v>0</v>
      </c>
      <c r="AH15">
        <f t="shared" si="16"/>
        <v>-8.3333333333333329E-2</v>
      </c>
      <c r="AJ15">
        <f t="shared" si="17"/>
        <v>0</v>
      </c>
      <c r="AL15">
        <f t="shared" si="18"/>
        <v>0</v>
      </c>
      <c r="AN15">
        <f t="shared" si="19"/>
        <v>0</v>
      </c>
      <c r="AP15">
        <f t="shared" si="20"/>
        <v>0</v>
      </c>
      <c r="AR15">
        <f t="shared" si="21"/>
        <v>13407.815000000001</v>
      </c>
    </row>
    <row r="16" spans="1:44">
      <c r="C16" t="s">
        <v>14</v>
      </c>
      <c r="E16">
        <v>2004</v>
      </c>
      <c r="F16">
        <v>7</v>
      </c>
      <c r="G16">
        <v>0</v>
      </c>
      <c r="I16" t="s">
        <v>78</v>
      </c>
      <c r="J16" t="s">
        <v>102</v>
      </c>
      <c r="K16">
        <f t="shared" si="0"/>
        <v>2019</v>
      </c>
      <c r="N16">
        <v>4936.42</v>
      </c>
      <c r="O16">
        <v>0</v>
      </c>
      <c r="P16">
        <f t="shared" si="1"/>
        <v>4936.42</v>
      </c>
      <c r="Q16">
        <f t="shared" si="2"/>
        <v>27.424555555555557</v>
      </c>
      <c r="R16">
        <f t="shared" si="3"/>
        <v>0</v>
      </c>
      <c r="S16">
        <f t="shared" si="4"/>
        <v>0</v>
      </c>
      <c r="T16">
        <f t="shared" si="5"/>
        <v>0</v>
      </c>
      <c r="U16">
        <v>1</v>
      </c>
      <c r="V16">
        <f t="shared" si="6"/>
        <v>0</v>
      </c>
      <c r="X16">
        <f t="shared" si="7"/>
        <v>0</v>
      </c>
      <c r="Y16">
        <f t="shared" si="8"/>
        <v>0</v>
      </c>
      <c r="Z16">
        <v>1</v>
      </c>
      <c r="AA16">
        <f t="shared" si="9"/>
        <v>0</v>
      </c>
      <c r="AB16">
        <f t="shared" si="10"/>
        <v>0</v>
      </c>
      <c r="AC16">
        <f t="shared" si="11"/>
        <v>2468.21</v>
      </c>
      <c r="AD16">
        <f t="shared" si="12"/>
        <v>2004.5</v>
      </c>
      <c r="AE16">
        <f t="shared" si="13"/>
        <v>1</v>
      </c>
      <c r="AF16">
        <f t="shared" si="14"/>
        <v>2019.5</v>
      </c>
      <c r="AG16">
        <f t="shared" si="15"/>
        <v>0</v>
      </c>
      <c r="AH16">
        <f t="shared" si="16"/>
        <v>-8.3333333333333329E-2</v>
      </c>
      <c r="AJ16">
        <f t="shared" si="17"/>
        <v>0</v>
      </c>
      <c r="AL16">
        <f t="shared" si="18"/>
        <v>0</v>
      </c>
      <c r="AN16">
        <f t="shared" si="19"/>
        <v>0</v>
      </c>
      <c r="AP16">
        <f t="shared" si="20"/>
        <v>0</v>
      </c>
      <c r="AR16">
        <f t="shared" si="21"/>
        <v>2468.21</v>
      </c>
    </row>
    <row r="17" spans="3:44">
      <c r="C17" t="s">
        <v>344</v>
      </c>
      <c r="E17">
        <v>2006</v>
      </c>
      <c r="F17">
        <v>8</v>
      </c>
      <c r="G17">
        <v>0</v>
      </c>
      <c r="I17" t="s">
        <v>78</v>
      </c>
      <c r="J17" t="s">
        <v>10</v>
      </c>
      <c r="K17">
        <f t="shared" si="0"/>
        <v>2045</v>
      </c>
      <c r="N17">
        <v>32833.279999999999</v>
      </c>
      <c r="O17">
        <v>0</v>
      </c>
      <c r="P17">
        <f t="shared" si="1"/>
        <v>32833.279999999999</v>
      </c>
      <c r="Q17">
        <f t="shared" si="2"/>
        <v>70.1565811965812</v>
      </c>
      <c r="R17">
        <f t="shared" si="3"/>
        <v>0</v>
      </c>
      <c r="S17">
        <f t="shared" si="4"/>
        <v>0</v>
      </c>
      <c r="T17">
        <f t="shared" si="5"/>
        <v>0</v>
      </c>
      <c r="U17">
        <v>1</v>
      </c>
      <c r="V17">
        <f t="shared" si="6"/>
        <v>0</v>
      </c>
      <c r="X17">
        <f t="shared" si="7"/>
        <v>0</v>
      </c>
      <c r="Y17">
        <f t="shared" si="8"/>
        <v>0</v>
      </c>
      <c r="Z17">
        <v>1</v>
      </c>
      <c r="AA17">
        <f t="shared" si="9"/>
        <v>0</v>
      </c>
      <c r="AB17">
        <f t="shared" si="10"/>
        <v>0</v>
      </c>
      <c r="AC17">
        <f t="shared" si="11"/>
        <v>16416.64</v>
      </c>
      <c r="AD17">
        <f t="shared" si="12"/>
        <v>2006.5833333333333</v>
      </c>
      <c r="AE17">
        <f t="shared" si="13"/>
        <v>1</v>
      </c>
      <c r="AF17">
        <f t="shared" si="14"/>
        <v>2045.5833333333333</v>
      </c>
      <c r="AG17">
        <f t="shared" si="15"/>
        <v>0</v>
      </c>
      <c r="AH17">
        <f t="shared" si="16"/>
        <v>-8.3333333333333329E-2</v>
      </c>
      <c r="AJ17">
        <f t="shared" si="17"/>
        <v>0</v>
      </c>
      <c r="AL17">
        <f t="shared" si="18"/>
        <v>0</v>
      </c>
      <c r="AN17">
        <f t="shared" si="19"/>
        <v>0</v>
      </c>
      <c r="AP17">
        <f t="shared" si="20"/>
        <v>0</v>
      </c>
      <c r="AR17">
        <f t="shared" si="21"/>
        <v>16416.64</v>
      </c>
    </row>
    <row r="18" spans="3:44">
      <c r="C18" t="s">
        <v>301</v>
      </c>
      <c r="E18">
        <v>2006</v>
      </c>
      <c r="F18">
        <v>4</v>
      </c>
      <c r="G18">
        <v>0</v>
      </c>
      <c r="I18" t="s">
        <v>78</v>
      </c>
      <c r="J18" t="s">
        <v>10</v>
      </c>
      <c r="K18">
        <f t="shared" si="0"/>
        <v>2045</v>
      </c>
      <c r="N18">
        <v>8226.42</v>
      </c>
      <c r="O18">
        <v>0</v>
      </c>
      <c r="P18">
        <f t="shared" si="1"/>
        <v>8226.42</v>
      </c>
      <c r="Q18">
        <f t="shared" si="2"/>
        <v>17.577820512820512</v>
      </c>
      <c r="R18">
        <f t="shared" si="3"/>
        <v>0</v>
      </c>
      <c r="S18">
        <f t="shared" si="4"/>
        <v>0</v>
      </c>
      <c r="T18">
        <f t="shared" si="5"/>
        <v>0</v>
      </c>
      <c r="U18">
        <v>1</v>
      </c>
      <c r="V18">
        <f t="shared" si="6"/>
        <v>0</v>
      </c>
      <c r="X18">
        <f t="shared" si="7"/>
        <v>0</v>
      </c>
      <c r="Y18">
        <f t="shared" si="8"/>
        <v>0</v>
      </c>
      <c r="Z18">
        <v>1</v>
      </c>
      <c r="AA18">
        <f t="shared" si="9"/>
        <v>0</v>
      </c>
      <c r="AB18">
        <f t="shared" si="10"/>
        <v>0</v>
      </c>
      <c r="AC18">
        <f t="shared" si="11"/>
        <v>4113.21</v>
      </c>
      <c r="AD18">
        <f t="shared" si="12"/>
        <v>2006.25</v>
      </c>
      <c r="AE18">
        <f t="shared" si="13"/>
        <v>1</v>
      </c>
      <c r="AF18">
        <f t="shared" si="14"/>
        <v>2045.25</v>
      </c>
      <c r="AG18">
        <f t="shared" si="15"/>
        <v>0</v>
      </c>
      <c r="AH18">
        <f t="shared" si="16"/>
        <v>-8.3333333333333329E-2</v>
      </c>
      <c r="AJ18">
        <f t="shared" si="17"/>
        <v>0</v>
      </c>
      <c r="AL18">
        <f t="shared" si="18"/>
        <v>0</v>
      </c>
      <c r="AN18">
        <f t="shared" si="19"/>
        <v>0</v>
      </c>
      <c r="AP18">
        <f t="shared" si="20"/>
        <v>0</v>
      </c>
      <c r="AR18">
        <f t="shared" si="21"/>
        <v>4113.21</v>
      </c>
    </row>
    <row r="19" spans="3:44">
      <c r="C19" t="s">
        <v>15</v>
      </c>
      <c r="E19">
        <v>2006</v>
      </c>
      <c r="F19">
        <v>1</v>
      </c>
      <c r="G19">
        <v>0</v>
      </c>
      <c r="I19" t="s">
        <v>78</v>
      </c>
      <c r="J19" t="s">
        <v>10</v>
      </c>
      <c r="K19">
        <f t="shared" si="0"/>
        <v>2045</v>
      </c>
      <c r="N19">
        <v>16082.22</v>
      </c>
      <c r="O19">
        <v>0</v>
      </c>
      <c r="P19">
        <f t="shared" si="1"/>
        <v>16082.22</v>
      </c>
      <c r="Q19">
        <f t="shared" si="2"/>
        <v>34.363717948717948</v>
      </c>
      <c r="R19">
        <f t="shared" si="3"/>
        <v>0</v>
      </c>
      <c r="S19">
        <f t="shared" si="4"/>
        <v>0</v>
      </c>
      <c r="T19">
        <f t="shared" si="5"/>
        <v>0</v>
      </c>
      <c r="U19">
        <v>1</v>
      </c>
      <c r="V19">
        <f t="shared" si="6"/>
        <v>0</v>
      </c>
      <c r="X19">
        <f t="shared" si="7"/>
        <v>0</v>
      </c>
      <c r="Y19">
        <f t="shared" si="8"/>
        <v>0</v>
      </c>
      <c r="Z19">
        <v>1</v>
      </c>
      <c r="AA19">
        <f t="shared" si="9"/>
        <v>0</v>
      </c>
      <c r="AB19">
        <f t="shared" si="10"/>
        <v>0</v>
      </c>
      <c r="AC19">
        <f t="shared" si="11"/>
        <v>8041.11</v>
      </c>
      <c r="AD19">
        <f t="shared" si="12"/>
        <v>2006</v>
      </c>
      <c r="AE19">
        <f t="shared" si="13"/>
        <v>1</v>
      </c>
      <c r="AF19">
        <f t="shared" si="14"/>
        <v>2045</v>
      </c>
      <c r="AG19">
        <f t="shared" si="15"/>
        <v>0</v>
      </c>
      <c r="AH19">
        <f t="shared" si="16"/>
        <v>-8.3333333333333329E-2</v>
      </c>
      <c r="AJ19">
        <f t="shared" si="17"/>
        <v>0</v>
      </c>
      <c r="AL19">
        <f t="shared" si="18"/>
        <v>0</v>
      </c>
      <c r="AN19">
        <f t="shared" si="19"/>
        <v>0</v>
      </c>
      <c r="AP19">
        <f t="shared" si="20"/>
        <v>0</v>
      </c>
      <c r="AR19">
        <f t="shared" si="21"/>
        <v>8041.11</v>
      </c>
    </row>
    <row r="20" spans="3:44">
      <c r="C20" t="s">
        <v>110</v>
      </c>
      <c r="E20">
        <v>2007</v>
      </c>
      <c r="F20">
        <v>5</v>
      </c>
      <c r="G20">
        <v>0</v>
      </c>
      <c r="I20" t="s">
        <v>78</v>
      </c>
      <c r="J20" t="s">
        <v>102</v>
      </c>
      <c r="K20">
        <f t="shared" si="0"/>
        <v>2022</v>
      </c>
      <c r="N20">
        <v>6504</v>
      </c>
      <c r="O20">
        <v>0</v>
      </c>
      <c r="P20">
        <f t="shared" si="1"/>
        <v>6504</v>
      </c>
      <c r="Q20">
        <f t="shared" si="2"/>
        <v>36.133333333333333</v>
      </c>
      <c r="R20">
        <f t="shared" si="3"/>
        <v>0</v>
      </c>
      <c r="S20">
        <f t="shared" si="4"/>
        <v>0</v>
      </c>
      <c r="T20">
        <f t="shared" si="5"/>
        <v>0</v>
      </c>
      <c r="U20">
        <v>1</v>
      </c>
      <c r="V20">
        <f t="shared" si="6"/>
        <v>0</v>
      </c>
      <c r="X20">
        <f t="shared" si="7"/>
        <v>0</v>
      </c>
      <c r="Y20">
        <f t="shared" si="8"/>
        <v>0</v>
      </c>
      <c r="Z20">
        <v>1</v>
      </c>
      <c r="AA20">
        <f t="shared" si="9"/>
        <v>0</v>
      </c>
      <c r="AB20">
        <f t="shared" si="10"/>
        <v>0</v>
      </c>
      <c r="AC20">
        <f t="shared" si="11"/>
        <v>3252</v>
      </c>
      <c r="AD20">
        <f t="shared" si="12"/>
        <v>2007.3333333333333</v>
      </c>
      <c r="AE20">
        <f t="shared" si="13"/>
        <v>1</v>
      </c>
      <c r="AF20">
        <f t="shared" si="14"/>
        <v>2022.3333333333333</v>
      </c>
      <c r="AG20">
        <f t="shared" si="15"/>
        <v>0</v>
      </c>
      <c r="AH20">
        <f t="shared" si="16"/>
        <v>-8.3333333333333329E-2</v>
      </c>
      <c r="AJ20">
        <f t="shared" si="17"/>
        <v>0</v>
      </c>
      <c r="AL20">
        <f t="shared" si="18"/>
        <v>0</v>
      </c>
      <c r="AN20">
        <f t="shared" si="19"/>
        <v>0</v>
      </c>
      <c r="AP20">
        <f t="shared" si="20"/>
        <v>0</v>
      </c>
      <c r="AR20">
        <f t="shared" si="21"/>
        <v>3252</v>
      </c>
    </row>
    <row r="21" spans="3:44">
      <c r="C21" t="s">
        <v>316</v>
      </c>
    </row>
    <row r="22" spans="3:44">
      <c r="C22" t="s">
        <v>79</v>
      </c>
      <c r="M22">
        <f>SUM(M21:M21)</f>
        <v>0</v>
      </c>
      <c r="N22">
        <f>SUM(N12:N20)</f>
        <v>2280138.3299999996</v>
      </c>
      <c r="O22">
        <f>SUM(O21:O21)</f>
        <v>0</v>
      </c>
      <c r="P22">
        <f>SUM(P12:P20)</f>
        <v>2280138.3299999996</v>
      </c>
      <c r="Q22">
        <f>SUM(Q12:Q20)</f>
        <v>4911.2029957264958</v>
      </c>
      <c r="R22">
        <f>SUM(R12:R20)</f>
        <v>0</v>
      </c>
      <c r="S22">
        <f>SUM(S21:S21)</f>
        <v>0</v>
      </c>
      <c r="T22">
        <f>SUM(T21:T21)</f>
        <v>0</v>
      </c>
      <c r="U22">
        <f>SUM(U21:U21)</f>
        <v>0</v>
      </c>
      <c r="V22">
        <f>SUM(V12:V20)</f>
        <v>0</v>
      </c>
      <c r="W22">
        <f>SUM(W21:W21)</f>
        <v>0</v>
      </c>
      <c r="X22">
        <f>SUM(X12:X20)</f>
        <v>0</v>
      </c>
      <c r="Y22">
        <f>SUM(Y12:Y20)</f>
        <v>0</v>
      </c>
      <c r="Z22">
        <f>SUM(Z21:Z21)</f>
        <v>0</v>
      </c>
      <c r="AA22">
        <f>SUM(AA12:AA20)</f>
        <v>0</v>
      </c>
      <c r="AB22">
        <f>SUM(AB12:AB20)</f>
        <v>0</v>
      </c>
      <c r="AC22">
        <f>SUM(AC12:AC20)</f>
        <v>1140069.1649999998</v>
      </c>
      <c r="AJ22">
        <f t="shared" ref="AJ22:AR22" si="22">SUM(AJ12:AJ20)</f>
        <v>0</v>
      </c>
      <c r="AK22">
        <f t="shared" si="22"/>
        <v>0</v>
      </c>
      <c r="AL22">
        <f t="shared" si="22"/>
        <v>0</v>
      </c>
      <c r="AM22">
        <f t="shared" si="22"/>
        <v>0</v>
      </c>
      <c r="AN22">
        <f t="shared" si="22"/>
        <v>0</v>
      </c>
      <c r="AO22">
        <f t="shared" si="22"/>
        <v>0</v>
      </c>
      <c r="AP22">
        <f t="shared" si="22"/>
        <v>0</v>
      </c>
      <c r="AQ22">
        <f t="shared" si="22"/>
        <v>0</v>
      </c>
      <c r="AR22">
        <f t="shared" si="22"/>
        <v>1140069.1649999998</v>
      </c>
    </row>
    <row r="23" spans="3:44">
      <c r="C23" t="s">
        <v>316</v>
      </c>
    </row>
    <row r="24" spans="3:44">
      <c r="C24" t="s">
        <v>316</v>
      </c>
    </row>
    <row r="25" spans="3:44">
      <c r="C25" t="s">
        <v>264</v>
      </c>
    </row>
    <row r="26" spans="3:44">
      <c r="C26" t="s">
        <v>316</v>
      </c>
    </row>
    <row r="27" spans="3:44">
      <c r="C27" t="s">
        <v>347</v>
      </c>
      <c r="E27">
        <v>1982</v>
      </c>
      <c r="F27">
        <v>4</v>
      </c>
      <c r="G27">
        <v>0</v>
      </c>
      <c r="I27" t="s">
        <v>78</v>
      </c>
      <c r="J27" t="s">
        <v>176</v>
      </c>
      <c r="K27">
        <f t="shared" ref="K27:K45" si="23">E27+J27</f>
        <v>2032</v>
      </c>
      <c r="N27">
        <v>3500</v>
      </c>
      <c r="O27">
        <v>0</v>
      </c>
      <c r="P27">
        <f t="shared" ref="P27:P45" si="24">N27-N27*G27</f>
        <v>3500</v>
      </c>
      <c r="Q27">
        <f t="shared" ref="Q27:Q45" si="25">P27/J27/12</f>
        <v>5.833333333333333</v>
      </c>
      <c r="R27">
        <f t="shared" ref="R27:R44" si="26">IF(O27&gt;0,0,IF(OR(AD27&gt;AE27,AF27&lt;AG27),0,IF(AND(AF27&gt;=AG27,AF27&lt;=AE27),Q27*((AF27-AG27)*12),IF(AND(AG27&lt;=AD27,AE27&gt;=AD27),((AE27-AD27)*12)*Q27,IF(AF27&gt;AE27,12*Q27,0)))))</f>
        <v>0</v>
      </c>
      <c r="S27">
        <f t="shared" ref="S27:S44" si="27">IF(O27=0,0,IF(AND(AH27&gt;=AG27,AH27&lt;=AF27),((AH27-AG27)*12)*Q27,0))</f>
        <v>0</v>
      </c>
      <c r="T27">
        <f t="shared" ref="T27:T44" si="28">IF(S27&gt;0,S27,R27)</f>
        <v>0</v>
      </c>
      <c r="U27">
        <v>1</v>
      </c>
      <c r="V27">
        <f t="shared" ref="V27:V44" si="29">U27*SUM(R27:S27)</f>
        <v>0</v>
      </c>
      <c r="X27">
        <f t="shared" ref="X27:X44" si="30">IF(AD27&gt;AE27,0,IF(AF27&lt;AG27,P27,IF(AND(AF27&gt;=AG27,AF27&lt;=AE27),(P27-T27),IF(AND(AG27&lt;=AD27,AE27&gt;=AD27),0,IF(AF27&gt;AE27,((AG27-AD27)*12)*Q27,0)))))</f>
        <v>0</v>
      </c>
      <c r="Y27">
        <f t="shared" ref="Y27:Y44" si="31">X27*U27</f>
        <v>0</v>
      </c>
      <c r="Z27">
        <v>1</v>
      </c>
      <c r="AA27">
        <f t="shared" ref="AA27:AA44" si="32">Y27*Z27</f>
        <v>0</v>
      </c>
      <c r="AB27">
        <f t="shared" ref="AB27:AB44" si="33">IF(O27&gt;0,0,AA27+V27*Z27)*Z27</f>
        <v>0</v>
      </c>
      <c r="AC27">
        <f t="shared" ref="AC27:AC44" si="34">IF(O27&gt;0,(N27-AA27)/2,IF(AD27&gt;=AG27,(((N27*U27)*Z27)-AB27)/2,((((N27*U27)*Z27)-AA27)+(((N27*U27)*Z27)-AB27))/2))</f>
        <v>1750</v>
      </c>
      <c r="AD27">
        <f t="shared" ref="AD27:AD46" si="35">$E27+(($F27-1)/12)</f>
        <v>1982.25</v>
      </c>
      <c r="AE27">
        <f t="shared" ref="AE27:AE46" si="36">($P$5+1)-($P$2/12)</f>
        <v>1</v>
      </c>
      <c r="AF27">
        <f t="shared" ref="AF27:AF46" si="37">$K27+(($F27-1)/12)</f>
        <v>2032.25</v>
      </c>
      <c r="AG27">
        <f t="shared" ref="AG27:AG46" si="38">$P$4+($P$3/12)</f>
        <v>0</v>
      </c>
      <c r="AH27">
        <f t="shared" ref="AH27:AH46" si="39">$L27+(($M27-1)/12)</f>
        <v>-8.3333333333333329E-2</v>
      </c>
      <c r="AJ27">
        <f>+IF((AF27-AG27)&gt;3,((N27-P27)/(AF27-AG27)),(N27-P27)/3)</f>
        <v>0</v>
      </c>
      <c r="AL27">
        <f>+AJ27+V27</f>
        <v>0</v>
      </c>
      <c r="AN27">
        <f>+IF(AF27&lt;AG27,-AC27,0)</f>
        <v>0</v>
      </c>
      <c r="AP27">
        <f>IF(AF27&gt;AG27,IF(AJ27&gt;0,IF(O27&gt;0,(N27-AA27)/2,IF(AD27&gt;=AG27,(((N27*U27)*Z27)-(AB27+AJ27))/2,((((N27*U27)*Z27)-AA27)+(((N27*U27)*Z27)-(AB27+AJ27)))/2)),0),0)</f>
        <v>0</v>
      </c>
      <c r="AR27">
        <f>+AC27+AN27+(IF(AP27&gt;0,(AP27-AC27),0))</f>
        <v>1750</v>
      </c>
    </row>
    <row r="28" spans="3:44">
      <c r="C28" t="s">
        <v>347</v>
      </c>
      <c r="E28">
        <v>1982</v>
      </c>
      <c r="F28">
        <v>4</v>
      </c>
      <c r="G28">
        <v>0</v>
      </c>
      <c r="I28" t="s">
        <v>78</v>
      </c>
      <c r="J28" t="s">
        <v>102</v>
      </c>
      <c r="K28">
        <f t="shared" si="23"/>
        <v>1997</v>
      </c>
      <c r="N28">
        <v>25135</v>
      </c>
      <c r="O28">
        <v>0</v>
      </c>
      <c r="P28">
        <f t="shared" si="24"/>
        <v>25135</v>
      </c>
      <c r="Q28">
        <f t="shared" si="25"/>
        <v>139.63888888888889</v>
      </c>
      <c r="R28">
        <f t="shared" si="26"/>
        <v>0</v>
      </c>
      <c r="S28">
        <f t="shared" si="27"/>
        <v>0</v>
      </c>
      <c r="T28">
        <f t="shared" si="28"/>
        <v>0</v>
      </c>
      <c r="U28">
        <v>1</v>
      </c>
      <c r="V28">
        <f t="shared" si="29"/>
        <v>0</v>
      </c>
      <c r="X28">
        <f t="shared" si="30"/>
        <v>0</v>
      </c>
      <c r="Y28">
        <f t="shared" si="31"/>
        <v>0</v>
      </c>
      <c r="Z28">
        <v>1</v>
      </c>
      <c r="AA28">
        <f t="shared" si="32"/>
        <v>0</v>
      </c>
      <c r="AB28">
        <f t="shared" si="33"/>
        <v>0</v>
      </c>
      <c r="AC28">
        <f t="shared" si="34"/>
        <v>12567.5</v>
      </c>
      <c r="AD28">
        <f t="shared" si="35"/>
        <v>1982.25</v>
      </c>
      <c r="AE28">
        <f t="shared" si="36"/>
        <v>1</v>
      </c>
      <c r="AF28">
        <f t="shared" si="37"/>
        <v>1997.25</v>
      </c>
      <c r="AG28">
        <f t="shared" si="38"/>
        <v>0</v>
      </c>
      <c r="AH28">
        <f t="shared" si="39"/>
        <v>-8.3333333333333329E-2</v>
      </c>
      <c r="AJ28">
        <f t="shared" ref="AJ28:AJ46" si="40">+IF((AF28-AG28)&gt;3,((N28-P28)/(AF28-AG28)),(N28-P28)/3)</f>
        <v>0</v>
      </c>
      <c r="AL28">
        <f t="shared" ref="AL28:AL46" si="41">+AJ28+V28</f>
        <v>0</v>
      </c>
      <c r="AN28">
        <f t="shared" ref="AN28:AN46" si="42">+IF(AF28&lt;AG28,-AC28,0)</f>
        <v>0</v>
      </c>
      <c r="AP28">
        <f t="shared" ref="AP28:AP46" si="43">IF(AF28&gt;AG28,IF(AJ28&gt;0,IF(O28&gt;0,(N28-AA28)/2,IF(AD28&gt;=AG28,(((N28*U28)*Z28)-(AB28+AJ28))/2,((((N28*U28)*Z28)-AA28)+(((N28*U28)*Z28)-(AB28+AJ28)))/2)),0),0)</f>
        <v>0</v>
      </c>
      <c r="AR28">
        <f t="shared" ref="AR28:AR46" si="44">+AC28+AN28+(IF(AP28&gt;0,(AP28-AC28),0))</f>
        <v>12567.5</v>
      </c>
    </row>
    <row r="29" spans="3:44">
      <c r="C29" t="s">
        <v>16</v>
      </c>
      <c r="E29">
        <v>2000</v>
      </c>
      <c r="F29">
        <v>7</v>
      </c>
      <c r="G29">
        <v>0</v>
      </c>
      <c r="I29" t="s">
        <v>78</v>
      </c>
      <c r="J29" t="s">
        <v>102</v>
      </c>
      <c r="K29">
        <f t="shared" si="23"/>
        <v>2015</v>
      </c>
      <c r="N29">
        <v>1338603.97</v>
      </c>
      <c r="O29">
        <v>0</v>
      </c>
      <c r="P29">
        <f t="shared" si="24"/>
        <v>1338603.97</v>
      </c>
      <c r="Q29">
        <f t="shared" si="25"/>
        <v>7436.6887222222222</v>
      </c>
      <c r="R29">
        <f t="shared" si="26"/>
        <v>0</v>
      </c>
      <c r="S29">
        <f t="shared" si="27"/>
        <v>0</v>
      </c>
      <c r="T29">
        <f t="shared" si="28"/>
        <v>0</v>
      </c>
      <c r="U29">
        <v>1</v>
      </c>
      <c r="V29">
        <f t="shared" si="29"/>
        <v>0</v>
      </c>
      <c r="X29">
        <f t="shared" si="30"/>
        <v>0</v>
      </c>
      <c r="Y29">
        <f t="shared" si="31"/>
        <v>0</v>
      </c>
      <c r="Z29">
        <v>1</v>
      </c>
      <c r="AA29">
        <f t="shared" si="32"/>
        <v>0</v>
      </c>
      <c r="AB29">
        <f t="shared" si="33"/>
        <v>0</v>
      </c>
      <c r="AC29">
        <f t="shared" si="34"/>
        <v>669301.98499999999</v>
      </c>
      <c r="AD29">
        <f t="shared" si="35"/>
        <v>2000.5</v>
      </c>
      <c r="AE29">
        <f t="shared" si="36"/>
        <v>1</v>
      </c>
      <c r="AF29">
        <f t="shared" si="37"/>
        <v>2015.5</v>
      </c>
      <c r="AG29">
        <f t="shared" si="38"/>
        <v>0</v>
      </c>
      <c r="AH29">
        <f t="shared" si="39"/>
        <v>-8.3333333333333329E-2</v>
      </c>
      <c r="AJ29">
        <f t="shared" si="40"/>
        <v>0</v>
      </c>
      <c r="AL29">
        <f t="shared" si="41"/>
        <v>0</v>
      </c>
      <c r="AN29">
        <f t="shared" si="42"/>
        <v>0</v>
      </c>
      <c r="AP29">
        <f t="shared" si="43"/>
        <v>0</v>
      </c>
      <c r="AR29">
        <f t="shared" si="44"/>
        <v>669301.98499999999</v>
      </c>
    </row>
    <row r="30" spans="3:44">
      <c r="C30" t="s">
        <v>350</v>
      </c>
      <c r="E30">
        <v>2001</v>
      </c>
      <c r="F30">
        <v>12</v>
      </c>
      <c r="G30">
        <v>0</v>
      </c>
      <c r="I30" t="s">
        <v>78</v>
      </c>
      <c r="J30" t="s">
        <v>7</v>
      </c>
      <c r="K30">
        <f t="shared" si="23"/>
        <v>2021</v>
      </c>
      <c r="N30">
        <v>16629.8</v>
      </c>
      <c r="O30">
        <v>0</v>
      </c>
      <c r="P30">
        <f t="shared" si="24"/>
        <v>16629.8</v>
      </c>
      <c r="Q30">
        <f t="shared" si="25"/>
        <v>69.290833333333339</v>
      </c>
      <c r="R30">
        <f t="shared" si="26"/>
        <v>0</v>
      </c>
      <c r="S30">
        <f t="shared" si="27"/>
        <v>0</v>
      </c>
      <c r="T30">
        <f t="shared" si="28"/>
        <v>0</v>
      </c>
      <c r="U30">
        <v>1</v>
      </c>
      <c r="V30">
        <f t="shared" si="29"/>
        <v>0</v>
      </c>
      <c r="X30">
        <f t="shared" si="30"/>
        <v>0</v>
      </c>
      <c r="Y30">
        <f t="shared" si="31"/>
        <v>0</v>
      </c>
      <c r="Z30">
        <v>1</v>
      </c>
      <c r="AA30">
        <f t="shared" si="32"/>
        <v>0</v>
      </c>
      <c r="AB30">
        <f t="shared" si="33"/>
        <v>0</v>
      </c>
      <c r="AC30">
        <f t="shared" si="34"/>
        <v>8314.9</v>
      </c>
      <c r="AD30">
        <f t="shared" si="35"/>
        <v>2001.9166666666667</v>
      </c>
      <c r="AE30">
        <f t="shared" si="36"/>
        <v>1</v>
      </c>
      <c r="AF30">
        <f t="shared" si="37"/>
        <v>2021.9166666666667</v>
      </c>
      <c r="AG30">
        <f t="shared" si="38"/>
        <v>0</v>
      </c>
      <c r="AH30">
        <f t="shared" si="39"/>
        <v>-8.3333333333333329E-2</v>
      </c>
      <c r="AJ30">
        <f t="shared" si="40"/>
        <v>0</v>
      </c>
      <c r="AL30">
        <f t="shared" si="41"/>
        <v>0</v>
      </c>
      <c r="AN30">
        <f t="shared" si="42"/>
        <v>0</v>
      </c>
      <c r="AP30">
        <f t="shared" si="43"/>
        <v>0</v>
      </c>
      <c r="AR30">
        <f t="shared" si="44"/>
        <v>8314.9</v>
      </c>
    </row>
    <row r="31" spans="3:44">
      <c r="C31" t="s">
        <v>351</v>
      </c>
      <c r="E31">
        <v>2001</v>
      </c>
      <c r="F31">
        <v>11</v>
      </c>
      <c r="G31">
        <v>0</v>
      </c>
      <c r="I31" t="s">
        <v>78</v>
      </c>
      <c r="J31" t="s">
        <v>7</v>
      </c>
      <c r="K31">
        <f t="shared" si="23"/>
        <v>2021</v>
      </c>
      <c r="N31">
        <v>944175.96</v>
      </c>
      <c r="O31">
        <v>0</v>
      </c>
      <c r="P31">
        <f t="shared" si="24"/>
        <v>944175.96</v>
      </c>
      <c r="Q31">
        <f t="shared" si="25"/>
        <v>3934.0664999999995</v>
      </c>
      <c r="R31">
        <f t="shared" si="26"/>
        <v>0</v>
      </c>
      <c r="S31">
        <f t="shared" si="27"/>
        <v>0</v>
      </c>
      <c r="T31">
        <f t="shared" si="28"/>
        <v>0</v>
      </c>
      <c r="U31">
        <v>1</v>
      </c>
      <c r="V31">
        <f t="shared" si="29"/>
        <v>0</v>
      </c>
      <c r="X31">
        <f t="shared" si="30"/>
        <v>0</v>
      </c>
      <c r="Y31">
        <f t="shared" si="31"/>
        <v>0</v>
      </c>
      <c r="Z31">
        <v>1</v>
      </c>
      <c r="AA31">
        <f t="shared" si="32"/>
        <v>0</v>
      </c>
      <c r="AB31">
        <f t="shared" si="33"/>
        <v>0</v>
      </c>
      <c r="AC31">
        <f t="shared" si="34"/>
        <v>472087.98</v>
      </c>
      <c r="AD31">
        <f t="shared" si="35"/>
        <v>2001.8333333333333</v>
      </c>
      <c r="AE31">
        <f t="shared" si="36"/>
        <v>1</v>
      </c>
      <c r="AF31">
        <f t="shared" si="37"/>
        <v>2021.8333333333333</v>
      </c>
      <c r="AG31">
        <f t="shared" si="38"/>
        <v>0</v>
      </c>
      <c r="AH31">
        <f t="shared" si="39"/>
        <v>-8.3333333333333329E-2</v>
      </c>
      <c r="AJ31">
        <f t="shared" si="40"/>
        <v>0</v>
      </c>
      <c r="AL31">
        <f t="shared" si="41"/>
        <v>0</v>
      </c>
      <c r="AN31">
        <f t="shared" si="42"/>
        <v>0</v>
      </c>
      <c r="AP31">
        <f t="shared" si="43"/>
        <v>0</v>
      </c>
      <c r="AR31">
        <f t="shared" si="44"/>
        <v>472087.98</v>
      </c>
    </row>
    <row r="32" spans="3:44">
      <c r="C32" t="s">
        <v>13</v>
      </c>
      <c r="E32">
        <v>2001</v>
      </c>
      <c r="F32">
        <v>7</v>
      </c>
      <c r="G32">
        <v>0</v>
      </c>
      <c r="I32" t="s">
        <v>78</v>
      </c>
      <c r="J32" t="s">
        <v>7</v>
      </c>
      <c r="K32">
        <f t="shared" si="23"/>
        <v>2021</v>
      </c>
      <c r="N32">
        <v>46855</v>
      </c>
      <c r="O32">
        <v>0</v>
      </c>
      <c r="P32">
        <f t="shared" si="24"/>
        <v>46855</v>
      </c>
      <c r="Q32">
        <f t="shared" si="25"/>
        <v>195.22916666666666</v>
      </c>
      <c r="R32">
        <f t="shared" si="26"/>
        <v>0</v>
      </c>
      <c r="S32">
        <f t="shared" si="27"/>
        <v>0</v>
      </c>
      <c r="T32">
        <f t="shared" si="28"/>
        <v>0</v>
      </c>
      <c r="U32">
        <v>1</v>
      </c>
      <c r="V32">
        <f t="shared" si="29"/>
        <v>0</v>
      </c>
      <c r="X32">
        <f t="shared" si="30"/>
        <v>0</v>
      </c>
      <c r="Y32">
        <f t="shared" si="31"/>
        <v>0</v>
      </c>
      <c r="Z32">
        <v>1</v>
      </c>
      <c r="AA32">
        <f t="shared" si="32"/>
        <v>0</v>
      </c>
      <c r="AB32">
        <f t="shared" si="33"/>
        <v>0</v>
      </c>
      <c r="AC32">
        <f t="shared" si="34"/>
        <v>23427.5</v>
      </c>
      <c r="AD32">
        <f t="shared" si="35"/>
        <v>2001.5</v>
      </c>
      <c r="AE32">
        <f t="shared" si="36"/>
        <v>1</v>
      </c>
      <c r="AF32">
        <f t="shared" si="37"/>
        <v>2021.5</v>
      </c>
      <c r="AG32">
        <f t="shared" si="38"/>
        <v>0</v>
      </c>
      <c r="AH32">
        <f t="shared" si="39"/>
        <v>-8.3333333333333329E-2</v>
      </c>
      <c r="AJ32">
        <f t="shared" si="40"/>
        <v>0</v>
      </c>
      <c r="AL32">
        <f t="shared" si="41"/>
        <v>0</v>
      </c>
      <c r="AN32">
        <f t="shared" si="42"/>
        <v>0</v>
      </c>
      <c r="AP32">
        <f t="shared" si="43"/>
        <v>0</v>
      </c>
      <c r="AR32">
        <f t="shared" si="44"/>
        <v>23427.5</v>
      </c>
    </row>
    <row r="33" spans="3:44">
      <c r="C33" t="s">
        <v>86</v>
      </c>
      <c r="E33">
        <v>2002</v>
      </c>
      <c r="F33">
        <v>9</v>
      </c>
      <c r="G33">
        <v>0</v>
      </c>
      <c r="I33" t="s">
        <v>78</v>
      </c>
      <c r="J33" t="s">
        <v>10</v>
      </c>
      <c r="K33">
        <f t="shared" si="23"/>
        <v>2041</v>
      </c>
      <c r="N33">
        <v>17566.23</v>
      </c>
      <c r="O33">
        <v>0</v>
      </c>
      <c r="P33">
        <f t="shared" si="24"/>
        <v>17566.23</v>
      </c>
      <c r="Q33">
        <f t="shared" si="25"/>
        <v>37.534679487179488</v>
      </c>
      <c r="R33">
        <f t="shared" si="26"/>
        <v>0</v>
      </c>
      <c r="S33">
        <f t="shared" si="27"/>
        <v>0</v>
      </c>
      <c r="T33">
        <f t="shared" si="28"/>
        <v>0</v>
      </c>
      <c r="U33">
        <v>1</v>
      </c>
      <c r="V33">
        <f t="shared" si="29"/>
        <v>0</v>
      </c>
      <c r="X33">
        <f t="shared" si="30"/>
        <v>0</v>
      </c>
      <c r="Y33">
        <f t="shared" si="31"/>
        <v>0</v>
      </c>
      <c r="Z33">
        <v>1</v>
      </c>
      <c r="AA33">
        <f t="shared" si="32"/>
        <v>0</v>
      </c>
      <c r="AB33">
        <f t="shared" si="33"/>
        <v>0</v>
      </c>
      <c r="AC33">
        <f t="shared" si="34"/>
        <v>8783.1149999999998</v>
      </c>
      <c r="AD33">
        <f t="shared" si="35"/>
        <v>2002.6666666666667</v>
      </c>
      <c r="AE33">
        <f t="shared" si="36"/>
        <v>1</v>
      </c>
      <c r="AF33">
        <f t="shared" si="37"/>
        <v>2041.6666666666667</v>
      </c>
      <c r="AG33">
        <f t="shared" si="38"/>
        <v>0</v>
      </c>
      <c r="AH33">
        <f t="shared" si="39"/>
        <v>-8.3333333333333329E-2</v>
      </c>
      <c r="AJ33">
        <f t="shared" si="40"/>
        <v>0</v>
      </c>
      <c r="AL33">
        <f t="shared" si="41"/>
        <v>0</v>
      </c>
      <c r="AN33">
        <f t="shared" si="42"/>
        <v>0</v>
      </c>
      <c r="AP33">
        <f t="shared" si="43"/>
        <v>0</v>
      </c>
      <c r="AR33">
        <f t="shared" si="44"/>
        <v>8783.1149999999998</v>
      </c>
    </row>
    <row r="34" spans="3:44">
      <c r="C34" t="s">
        <v>267</v>
      </c>
      <c r="E34">
        <v>2002</v>
      </c>
      <c r="F34">
        <v>11</v>
      </c>
      <c r="G34">
        <v>0</v>
      </c>
      <c r="I34" t="s">
        <v>78</v>
      </c>
      <c r="J34" t="s">
        <v>102</v>
      </c>
      <c r="K34">
        <f t="shared" si="23"/>
        <v>2017</v>
      </c>
      <c r="N34">
        <v>4096.84</v>
      </c>
      <c r="O34">
        <v>0</v>
      </c>
      <c r="P34">
        <f t="shared" si="24"/>
        <v>4096.84</v>
      </c>
      <c r="Q34">
        <f t="shared" si="25"/>
        <v>22.760222222222225</v>
      </c>
      <c r="R34">
        <f t="shared" si="26"/>
        <v>0</v>
      </c>
      <c r="S34">
        <f t="shared" si="27"/>
        <v>0</v>
      </c>
      <c r="T34">
        <f t="shared" si="28"/>
        <v>0</v>
      </c>
      <c r="U34">
        <v>1</v>
      </c>
      <c r="V34">
        <f t="shared" si="29"/>
        <v>0</v>
      </c>
      <c r="X34">
        <f t="shared" si="30"/>
        <v>0</v>
      </c>
      <c r="Y34">
        <f t="shared" si="31"/>
        <v>0</v>
      </c>
      <c r="Z34">
        <v>1</v>
      </c>
      <c r="AA34">
        <f t="shared" si="32"/>
        <v>0</v>
      </c>
      <c r="AB34">
        <f t="shared" si="33"/>
        <v>0</v>
      </c>
      <c r="AC34">
        <f t="shared" si="34"/>
        <v>2048.42</v>
      </c>
      <c r="AD34">
        <f t="shared" si="35"/>
        <v>2002.8333333333333</v>
      </c>
      <c r="AE34">
        <f t="shared" si="36"/>
        <v>1</v>
      </c>
      <c r="AF34">
        <f t="shared" si="37"/>
        <v>2017.8333333333333</v>
      </c>
      <c r="AG34">
        <f t="shared" si="38"/>
        <v>0</v>
      </c>
      <c r="AH34">
        <f t="shared" si="39"/>
        <v>-8.3333333333333329E-2</v>
      </c>
      <c r="AJ34">
        <f t="shared" si="40"/>
        <v>0</v>
      </c>
      <c r="AL34">
        <f t="shared" si="41"/>
        <v>0</v>
      </c>
      <c r="AN34">
        <f t="shared" si="42"/>
        <v>0</v>
      </c>
      <c r="AP34">
        <f t="shared" si="43"/>
        <v>0</v>
      </c>
      <c r="AR34">
        <f t="shared" si="44"/>
        <v>2048.42</v>
      </c>
    </row>
    <row r="35" spans="3:44">
      <c r="C35" t="s">
        <v>12</v>
      </c>
      <c r="E35">
        <v>2004</v>
      </c>
      <c r="F35">
        <v>7</v>
      </c>
      <c r="G35">
        <v>0</v>
      </c>
      <c r="I35" t="s">
        <v>78</v>
      </c>
      <c r="J35" t="s">
        <v>102</v>
      </c>
      <c r="K35">
        <f t="shared" si="23"/>
        <v>2019</v>
      </c>
      <c r="N35">
        <v>24008.400000000001</v>
      </c>
      <c r="O35">
        <v>0</v>
      </c>
      <c r="P35">
        <f t="shared" si="24"/>
        <v>24008.400000000001</v>
      </c>
      <c r="Q35">
        <f t="shared" si="25"/>
        <v>133.38000000000002</v>
      </c>
      <c r="R35">
        <f t="shared" si="26"/>
        <v>0</v>
      </c>
      <c r="S35">
        <f t="shared" si="27"/>
        <v>0</v>
      </c>
      <c r="T35">
        <f t="shared" si="28"/>
        <v>0</v>
      </c>
      <c r="U35">
        <v>1</v>
      </c>
      <c r="V35">
        <f t="shared" si="29"/>
        <v>0</v>
      </c>
      <c r="X35">
        <f t="shared" si="30"/>
        <v>0</v>
      </c>
      <c r="Y35">
        <f t="shared" si="31"/>
        <v>0</v>
      </c>
      <c r="Z35">
        <v>1</v>
      </c>
      <c r="AA35">
        <f t="shared" si="32"/>
        <v>0</v>
      </c>
      <c r="AB35">
        <f t="shared" si="33"/>
        <v>0</v>
      </c>
      <c r="AC35">
        <f t="shared" si="34"/>
        <v>12004.2</v>
      </c>
      <c r="AD35">
        <f t="shared" si="35"/>
        <v>2004.5</v>
      </c>
      <c r="AE35">
        <f t="shared" si="36"/>
        <v>1</v>
      </c>
      <c r="AF35">
        <f t="shared" si="37"/>
        <v>2019.5</v>
      </c>
      <c r="AG35">
        <f t="shared" si="38"/>
        <v>0</v>
      </c>
      <c r="AH35">
        <f t="shared" si="39"/>
        <v>-8.3333333333333329E-2</v>
      </c>
      <c r="AJ35">
        <f t="shared" si="40"/>
        <v>0</v>
      </c>
      <c r="AL35">
        <f t="shared" si="41"/>
        <v>0</v>
      </c>
      <c r="AN35">
        <f t="shared" si="42"/>
        <v>0</v>
      </c>
      <c r="AP35">
        <f t="shared" si="43"/>
        <v>0</v>
      </c>
      <c r="AR35">
        <f t="shared" si="44"/>
        <v>12004.2</v>
      </c>
    </row>
    <row r="36" spans="3:44">
      <c r="C36" t="s">
        <v>109</v>
      </c>
      <c r="E36">
        <v>2007</v>
      </c>
      <c r="F36">
        <v>3</v>
      </c>
      <c r="G36">
        <v>0</v>
      </c>
      <c r="I36" t="s">
        <v>78</v>
      </c>
      <c r="J36" t="s">
        <v>102</v>
      </c>
      <c r="K36">
        <f t="shared" si="23"/>
        <v>2022</v>
      </c>
      <c r="N36">
        <v>163426.01999999999</v>
      </c>
      <c r="O36">
        <v>0</v>
      </c>
      <c r="P36">
        <f t="shared" si="24"/>
        <v>163426.01999999999</v>
      </c>
      <c r="Q36">
        <f t="shared" si="25"/>
        <v>907.92233333333331</v>
      </c>
      <c r="R36">
        <f t="shared" si="26"/>
        <v>0</v>
      </c>
      <c r="S36">
        <f t="shared" si="27"/>
        <v>0</v>
      </c>
      <c r="T36">
        <f t="shared" si="28"/>
        <v>0</v>
      </c>
      <c r="U36">
        <v>1</v>
      </c>
      <c r="V36">
        <f t="shared" si="29"/>
        <v>0</v>
      </c>
      <c r="X36">
        <f t="shared" si="30"/>
        <v>0</v>
      </c>
      <c r="Y36">
        <f t="shared" si="31"/>
        <v>0</v>
      </c>
      <c r="Z36">
        <v>1</v>
      </c>
      <c r="AA36">
        <f t="shared" si="32"/>
        <v>0</v>
      </c>
      <c r="AB36">
        <f t="shared" si="33"/>
        <v>0</v>
      </c>
      <c r="AC36">
        <f t="shared" si="34"/>
        <v>81713.009999999995</v>
      </c>
      <c r="AD36">
        <f t="shared" si="35"/>
        <v>2007.1666666666667</v>
      </c>
      <c r="AE36">
        <f t="shared" si="36"/>
        <v>1</v>
      </c>
      <c r="AF36">
        <f t="shared" si="37"/>
        <v>2022.1666666666667</v>
      </c>
      <c r="AG36">
        <f t="shared" si="38"/>
        <v>0</v>
      </c>
      <c r="AH36">
        <f t="shared" si="39"/>
        <v>-8.3333333333333329E-2</v>
      </c>
      <c r="AJ36">
        <f t="shared" si="40"/>
        <v>0</v>
      </c>
      <c r="AL36">
        <f t="shared" si="41"/>
        <v>0</v>
      </c>
      <c r="AN36">
        <f t="shared" si="42"/>
        <v>0</v>
      </c>
      <c r="AP36">
        <f t="shared" si="43"/>
        <v>0</v>
      </c>
      <c r="AR36">
        <f t="shared" si="44"/>
        <v>81713.009999999995</v>
      </c>
    </row>
    <row r="37" spans="3:44">
      <c r="C37" t="s">
        <v>111</v>
      </c>
      <c r="E37">
        <v>2008</v>
      </c>
      <c r="F37">
        <v>1</v>
      </c>
      <c r="G37">
        <v>0</v>
      </c>
      <c r="I37" t="s">
        <v>78</v>
      </c>
      <c r="J37" t="s">
        <v>102</v>
      </c>
      <c r="K37">
        <f t="shared" si="23"/>
        <v>2023</v>
      </c>
      <c r="N37">
        <v>3824.1</v>
      </c>
      <c r="O37">
        <v>0</v>
      </c>
      <c r="P37">
        <f t="shared" si="24"/>
        <v>3824.1</v>
      </c>
      <c r="Q37">
        <f t="shared" si="25"/>
        <v>21.245000000000001</v>
      </c>
      <c r="R37">
        <f t="shared" si="26"/>
        <v>0</v>
      </c>
      <c r="S37">
        <f t="shared" si="27"/>
        <v>0</v>
      </c>
      <c r="T37">
        <f t="shared" si="28"/>
        <v>0</v>
      </c>
      <c r="U37">
        <v>1</v>
      </c>
      <c r="V37">
        <f t="shared" si="29"/>
        <v>0</v>
      </c>
      <c r="X37">
        <f t="shared" si="30"/>
        <v>0</v>
      </c>
      <c r="Y37">
        <f t="shared" si="31"/>
        <v>0</v>
      </c>
      <c r="Z37">
        <v>1</v>
      </c>
      <c r="AA37">
        <f t="shared" si="32"/>
        <v>0</v>
      </c>
      <c r="AB37">
        <f t="shared" si="33"/>
        <v>0</v>
      </c>
      <c r="AC37">
        <f t="shared" si="34"/>
        <v>1912.05</v>
      </c>
      <c r="AD37">
        <f t="shared" si="35"/>
        <v>2008</v>
      </c>
      <c r="AE37">
        <f t="shared" si="36"/>
        <v>1</v>
      </c>
      <c r="AF37">
        <f t="shared" si="37"/>
        <v>2023</v>
      </c>
      <c r="AG37">
        <f t="shared" si="38"/>
        <v>0</v>
      </c>
      <c r="AH37">
        <f t="shared" si="39"/>
        <v>-8.3333333333333329E-2</v>
      </c>
      <c r="AJ37">
        <f t="shared" si="40"/>
        <v>0</v>
      </c>
      <c r="AL37">
        <f t="shared" si="41"/>
        <v>0</v>
      </c>
      <c r="AN37">
        <f t="shared" si="42"/>
        <v>0</v>
      </c>
      <c r="AP37">
        <f t="shared" si="43"/>
        <v>0</v>
      </c>
      <c r="AR37">
        <f t="shared" si="44"/>
        <v>1912.05</v>
      </c>
    </row>
    <row r="38" spans="3:44">
      <c r="C38" t="s">
        <v>413</v>
      </c>
      <c r="D38">
        <v>77321</v>
      </c>
      <c r="E38">
        <v>2010</v>
      </c>
      <c r="F38">
        <v>8</v>
      </c>
      <c r="G38">
        <v>0</v>
      </c>
      <c r="I38" t="s">
        <v>78</v>
      </c>
      <c r="J38">
        <v>10</v>
      </c>
      <c r="K38">
        <f t="shared" si="23"/>
        <v>2020</v>
      </c>
      <c r="N38">
        <v>790.01</v>
      </c>
      <c r="O38">
        <v>0</v>
      </c>
      <c r="P38">
        <f t="shared" si="24"/>
        <v>790.01</v>
      </c>
      <c r="Q38">
        <f t="shared" si="25"/>
        <v>6.5834166666666674</v>
      </c>
      <c r="R38">
        <f t="shared" si="26"/>
        <v>0</v>
      </c>
      <c r="S38">
        <f t="shared" si="27"/>
        <v>0</v>
      </c>
      <c r="T38">
        <f t="shared" si="28"/>
        <v>0</v>
      </c>
      <c r="U38">
        <v>1</v>
      </c>
      <c r="V38">
        <f t="shared" si="29"/>
        <v>0</v>
      </c>
      <c r="X38">
        <f t="shared" si="30"/>
        <v>0</v>
      </c>
      <c r="Y38">
        <f t="shared" si="31"/>
        <v>0</v>
      </c>
      <c r="Z38">
        <v>1</v>
      </c>
      <c r="AA38">
        <f t="shared" si="32"/>
        <v>0</v>
      </c>
      <c r="AB38">
        <f t="shared" si="33"/>
        <v>0</v>
      </c>
      <c r="AC38">
        <f t="shared" si="34"/>
        <v>395.005</v>
      </c>
      <c r="AD38">
        <f t="shared" si="35"/>
        <v>2010.5833333333333</v>
      </c>
      <c r="AE38">
        <f t="shared" si="36"/>
        <v>1</v>
      </c>
      <c r="AF38">
        <f t="shared" si="37"/>
        <v>2020.5833333333333</v>
      </c>
      <c r="AG38">
        <f t="shared" si="38"/>
        <v>0</v>
      </c>
      <c r="AH38">
        <f t="shared" si="39"/>
        <v>-8.3333333333333329E-2</v>
      </c>
      <c r="AJ38">
        <f t="shared" si="40"/>
        <v>0</v>
      </c>
      <c r="AL38">
        <f t="shared" si="41"/>
        <v>0</v>
      </c>
      <c r="AN38">
        <f t="shared" si="42"/>
        <v>0</v>
      </c>
      <c r="AP38">
        <f t="shared" si="43"/>
        <v>0</v>
      </c>
      <c r="AR38">
        <f t="shared" si="44"/>
        <v>395.005</v>
      </c>
    </row>
    <row r="39" spans="3:44">
      <c r="C39" t="s">
        <v>414</v>
      </c>
      <c r="D39">
        <v>76639</v>
      </c>
      <c r="E39">
        <v>2010</v>
      </c>
      <c r="F39">
        <v>8</v>
      </c>
      <c r="G39">
        <v>0</v>
      </c>
      <c r="I39" t="s">
        <v>78</v>
      </c>
      <c r="J39">
        <v>10</v>
      </c>
      <c r="K39">
        <f t="shared" si="23"/>
        <v>2020</v>
      </c>
      <c r="N39">
        <v>7000</v>
      </c>
      <c r="O39">
        <v>0</v>
      </c>
      <c r="P39">
        <f t="shared" si="24"/>
        <v>7000</v>
      </c>
      <c r="Q39">
        <f t="shared" si="25"/>
        <v>58.333333333333336</v>
      </c>
      <c r="R39">
        <f t="shared" si="26"/>
        <v>0</v>
      </c>
      <c r="S39">
        <f t="shared" si="27"/>
        <v>0</v>
      </c>
      <c r="T39">
        <f t="shared" si="28"/>
        <v>0</v>
      </c>
      <c r="U39">
        <v>1</v>
      </c>
      <c r="V39">
        <f t="shared" si="29"/>
        <v>0</v>
      </c>
      <c r="X39">
        <f t="shared" si="30"/>
        <v>0</v>
      </c>
      <c r="Y39">
        <f t="shared" si="31"/>
        <v>0</v>
      </c>
      <c r="Z39">
        <v>1</v>
      </c>
      <c r="AA39">
        <f t="shared" si="32"/>
        <v>0</v>
      </c>
      <c r="AB39">
        <f t="shared" si="33"/>
        <v>0</v>
      </c>
      <c r="AC39">
        <f t="shared" si="34"/>
        <v>3500</v>
      </c>
      <c r="AD39">
        <f t="shared" si="35"/>
        <v>2010.5833333333333</v>
      </c>
      <c r="AE39">
        <f t="shared" si="36"/>
        <v>1</v>
      </c>
      <c r="AF39">
        <f t="shared" si="37"/>
        <v>2020.5833333333333</v>
      </c>
      <c r="AG39">
        <f t="shared" si="38"/>
        <v>0</v>
      </c>
      <c r="AH39">
        <f t="shared" si="39"/>
        <v>-8.3333333333333329E-2</v>
      </c>
      <c r="AJ39">
        <f t="shared" si="40"/>
        <v>0</v>
      </c>
      <c r="AL39">
        <f t="shared" si="41"/>
        <v>0</v>
      </c>
      <c r="AN39">
        <f t="shared" si="42"/>
        <v>0</v>
      </c>
      <c r="AP39">
        <f t="shared" si="43"/>
        <v>0</v>
      </c>
      <c r="AR39">
        <f t="shared" si="44"/>
        <v>3500</v>
      </c>
    </row>
    <row r="40" spans="3:44">
      <c r="C40" t="s">
        <v>415</v>
      </c>
      <c r="D40">
        <v>77322</v>
      </c>
      <c r="E40">
        <v>2010</v>
      </c>
      <c r="F40">
        <v>8</v>
      </c>
      <c r="G40">
        <v>0</v>
      </c>
      <c r="I40" t="s">
        <v>78</v>
      </c>
      <c r="J40">
        <v>10</v>
      </c>
      <c r="K40">
        <f t="shared" si="23"/>
        <v>2020</v>
      </c>
      <c r="N40">
        <v>1127.8399999999999</v>
      </c>
      <c r="O40">
        <v>0</v>
      </c>
      <c r="P40">
        <f t="shared" si="24"/>
        <v>1127.8399999999999</v>
      </c>
      <c r="Q40">
        <f t="shared" si="25"/>
        <v>9.3986666666666654</v>
      </c>
      <c r="R40">
        <f t="shared" si="26"/>
        <v>0</v>
      </c>
      <c r="S40">
        <f t="shared" si="27"/>
        <v>0</v>
      </c>
      <c r="T40">
        <f t="shared" si="28"/>
        <v>0</v>
      </c>
      <c r="U40">
        <v>1</v>
      </c>
      <c r="V40">
        <f t="shared" si="29"/>
        <v>0</v>
      </c>
      <c r="X40">
        <f t="shared" si="30"/>
        <v>0</v>
      </c>
      <c r="Y40">
        <f t="shared" si="31"/>
        <v>0</v>
      </c>
      <c r="Z40">
        <v>1</v>
      </c>
      <c r="AA40">
        <f t="shared" si="32"/>
        <v>0</v>
      </c>
      <c r="AB40">
        <f t="shared" si="33"/>
        <v>0</v>
      </c>
      <c r="AC40">
        <f t="shared" si="34"/>
        <v>563.91999999999996</v>
      </c>
      <c r="AD40">
        <f t="shared" si="35"/>
        <v>2010.5833333333333</v>
      </c>
      <c r="AE40">
        <f t="shared" si="36"/>
        <v>1</v>
      </c>
      <c r="AF40">
        <f t="shared" si="37"/>
        <v>2020.5833333333333</v>
      </c>
      <c r="AG40">
        <f t="shared" si="38"/>
        <v>0</v>
      </c>
      <c r="AH40">
        <f t="shared" si="39"/>
        <v>-8.3333333333333329E-2</v>
      </c>
      <c r="AJ40">
        <f t="shared" si="40"/>
        <v>0</v>
      </c>
      <c r="AL40">
        <f t="shared" si="41"/>
        <v>0</v>
      </c>
      <c r="AN40">
        <f t="shared" si="42"/>
        <v>0</v>
      </c>
      <c r="AP40">
        <f t="shared" si="43"/>
        <v>0</v>
      </c>
      <c r="AR40">
        <f t="shared" si="44"/>
        <v>563.91999999999996</v>
      </c>
    </row>
    <row r="41" spans="3:44">
      <c r="C41" t="s">
        <v>416</v>
      </c>
      <c r="D41">
        <v>76800</v>
      </c>
      <c r="E41">
        <v>2010</v>
      </c>
      <c r="F41">
        <v>8</v>
      </c>
      <c r="G41">
        <v>0</v>
      </c>
      <c r="I41" t="s">
        <v>78</v>
      </c>
      <c r="J41">
        <v>10</v>
      </c>
      <c r="K41">
        <f t="shared" si="23"/>
        <v>2020</v>
      </c>
      <c r="N41">
        <v>8574.6</v>
      </c>
      <c r="O41">
        <v>0</v>
      </c>
      <c r="P41">
        <f t="shared" si="24"/>
        <v>8574.6</v>
      </c>
      <c r="Q41">
        <f t="shared" si="25"/>
        <v>71.454999999999998</v>
      </c>
      <c r="R41">
        <f t="shared" si="26"/>
        <v>0</v>
      </c>
      <c r="S41">
        <f t="shared" si="27"/>
        <v>0</v>
      </c>
      <c r="T41">
        <f t="shared" si="28"/>
        <v>0</v>
      </c>
      <c r="U41">
        <v>1</v>
      </c>
      <c r="V41">
        <f t="shared" si="29"/>
        <v>0</v>
      </c>
      <c r="X41">
        <f t="shared" si="30"/>
        <v>0</v>
      </c>
      <c r="Y41">
        <f t="shared" si="31"/>
        <v>0</v>
      </c>
      <c r="Z41">
        <v>1</v>
      </c>
      <c r="AA41">
        <f t="shared" si="32"/>
        <v>0</v>
      </c>
      <c r="AB41">
        <f t="shared" si="33"/>
        <v>0</v>
      </c>
      <c r="AC41">
        <f t="shared" si="34"/>
        <v>4287.3</v>
      </c>
      <c r="AD41">
        <f t="shared" si="35"/>
        <v>2010.5833333333333</v>
      </c>
      <c r="AE41">
        <f t="shared" si="36"/>
        <v>1</v>
      </c>
      <c r="AF41">
        <f t="shared" si="37"/>
        <v>2020.5833333333333</v>
      </c>
      <c r="AG41">
        <f t="shared" si="38"/>
        <v>0</v>
      </c>
      <c r="AH41">
        <f t="shared" si="39"/>
        <v>-8.3333333333333329E-2</v>
      </c>
      <c r="AJ41">
        <f t="shared" si="40"/>
        <v>0</v>
      </c>
      <c r="AL41">
        <f t="shared" si="41"/>
        <v>0</v>
      </c>
      <c r="AN41">
        <f t="shared" si="42"/>
        <v>0</v>
      </c>
      <c r="AP41">
        <f t="shared" si="43"/>
        <v>0</v>
      </c>
      <c r="AR41">
        <f t="shared" si="44"/>
        <v>4287.3</v>
      </c>
    </row>
    <row r="42" spans="3:44">
      <c r="C42" t="s">
        <v>411</v>
      </c>
      <c r="D42">
        <v>76648</v>
      </c>
      <c r="E42">
        <v>2010</v>
      </c>
      <c r="F42">
        <v>9</v>
      </c>
      <c r="G42">
        <v>0</v>
      </c>
      <c r="I42" t="s">
        <v>78</v>
      </c>
      <c r="J42">
        <v>10</v>
      </c>
      <c r="K42">
        <f t="shared" si="23"/>
        <v>2020</v>
      </c>
      <c r="N42">
        <v>19869.22</v>
      </c>
      <c r="O42">
        <v>0</v>
      </c>
      <c r="P42">
        <f t="shared" si="24"/>
        <v>19869.22</v>
      </c>
      <c r="Q42">
        <f t="shared" si="25"/>
        <v>165.57683333333333</v>
      </c>
      <c r="R42">
        <f t="shared" si="26"/>
        <v>0</v>
      </c>
      <c r="S42">
        <f t="shared" si="27"/>
        <v>0</v>
      </c>
      <c r="T42">
        <f t="shared" si="28"/>
        <v>0</v>
      </c>
      <c r="U42">
        <v>1</v>
      </c>
      <c r="V42">
        <f t="shared" si="29"/>
        <v>0</v>
      </c>
      <c r="X42">
        <f t="shared" si="30"/>
        <v>0</v>
      </c>
      <c r="Y42">
        <f t="shared" si="31"/>
        <v>0</v>
      </c>
      <c r="Z42">
        <v>1</v>
      </c>
      <c r="AA42">
        <f t="shared" si="32"/>
        <v>0</v>
      </c>
      <c r="AB42">
        <f t="shared" si="33"/>
        <v>0</v>
      </c>
      <c r="AC42">
        <f t="shared" si="34"/>
        <v>9934.61</v>
      </c>
      <c r="AD42">
        <f t="shared" si="35"/>
        <v>2010.6666666666667</v>
      </c>
      <c r="AE42">
        <f t="shared" si="36"/>
        <v>1</v>
      </c>
      <c r="AF42">
        <f t="shared" si="37"/>
        <v>2020.6666666666667</v>
      </c>
      <c r="AG42">
        <f t="shared" si="38"/>
        <v>0</v>
      </c>
      <c r="AH42">
        <f t="shared" si="39"/>
        <v>-8.3333333333333329E-2</v>
      </c>
      <c r="AJ42">
        <f t="shared" si="40"/>
        <v>0</v>
      </c>
      <c r="AL42">
        <f t="shared" si="41"/>
        <v>0</v>
      </c>
      <c r="AN42">
        <f t="shared" si="42"/>
        <v>0</v>
      </c>
      <c r="AP42">
        <f t="shared" si="43"/>
        <v>0</v>
      </c>
      <c r="AR42">
        <f t="shared" si="44"/>
        <v>9934.61</v>
      </c>
    </row>
    <row r="43" spans="3:44">
      <c r="C43" t="s">
        <v>412</v>
      </c>
      <c r="D43">
        <v>77100</v>
      </c>
      <c r="E43">
        <v>2010</v>
      </c>
      <c r="F43">
        <v>9</v>
      </c>
      <c r="G43">
        <v>0</v>
      </c>
      <c r="I43" t="s">
        <v>78</v>
      </c>
      <c r="J43">
        <v>10</v>
      </c>
      <c r="K43">
        <f t="shared" si="23"/>
        <v>2020</v>
      </c>
      <c r="N43">
        <v>932.5</v>
      </c>
      <c r="O43">
        <v>0</v>
      </c>
      <c r="P43">
        <f t="shared" si="24"/>
        <v>932.5</v>
      </c>
      <c r="Q43">
        <f t="shared" si="25"/>
        <v>7.770833333333333</v>
      </c>
      <c r="R43">
        <f t="shared" si="26"/>
        <v>0</v>
      </c>
      <c r="S43">
        <f t="shared" si="27"/>
        <v>0</v>
      </c>
      <c r="T43">
        <f t="shared" si="28"/>
        <v>0</v>
      </c>
      <c r="U43">
        <v>1</v>
      </c>
      <c r="V43">
        <f t="shared" si="29"/>
        <v>0</v>
      </c>
      <c r="X43">
        <f t="shared" si="30"/>
        <v>0</v>
      </c>
      <c r="Y43">
        <f t="shared" si="31"/>
        <v>0</v>
      </c>
      <c r="Z43">
        <v>1</v>
      </c>
      <c r="AA43">
        <f t="shared" si="32"/>
        <v>0</v>
      </c>
      <c r="AB43">
        <f t="shared" si="33"/>
        <v>0</v>
      </c>
      <c r="AC43">
        <f t="shared" si="34"/>
        <v>466.25</v>
      </c>
      <c r="AD43">
        <f t="shared" si="35"/>
        <v>2010.6666666666667</v>
      </c>
      <c r="AE43">
        <f t="shared" si="36"/>
        <v>1</v>
      </c>
      <c r="AF43">
        <f t="shared" si="37"/>
        <v>2020.6666666666667</v>
      </c>
      <c r="AG43">
        <f t="shared" si="38"/>
        <v>0</v>
      </c>
      <c r="AH43">
        <f t="shared" si="39"/>
        <v>-8.3333333333333329E-2</v>
      </c>
      <c r="AJ43">
        <f t="shared" si="40"/>
        <v>0</v>
      </c>
      <c r="AL43">
        <f t="shared" si="41"/>
        <v>0</v>
      </c>
      <c r="AN43">
        <f t="shared" si="42"/>
        <v>0</v>
      </c>
      <c r="AP43">
        <f t="shared" si="43"/>
        <v>0</v>
      </c>
      <c r="AR43">
        <f t="shared" si="44"/>
        <v>466.25</v>
      </c>
    </row>
    <row r="44" spans="3:44">
      <c r="C44" t="s">
        <v>412</v>
      </c>
      <c r="D44">
        <v>77791</v>
      </c>
      <c r="E44">
        <v>2010</v>
      </c>
      <c r="F44">
        <v>9</v>
      </c>
      <c r="G44">
        <v>0</v>
      </c>
      <c r="I44" t="s">
        <v>78</v>
      </c>
      <c r="J44">
        <v>10</v>
      </c>
      <c r="K44">
        <f t="shared" si="23"/>
        <v>2020</v>
      </c>
      <c r="N44">
        <v>1098.69</v>
      </c>
      <c r="O44">
        <v>0</v>
      </c>
      <c r="P44">
        <f t="shared" si="24"/>
        <v>1098.69</v>
      </c>
      <c r="Q44">
        <f t="shared" si="25"/>
        <v>9.1557499999999994</v>
      </c>
      <c r="R44">
        <f t="shared" si="26"/>
        <v>0</v>
      </c>
      <c r="S44">
        <f t="shared" si="27"/>
        <v>0</v>
      </c>
      <c r="T44">
        <f t="shared" si="28"/>
        <v>0</v>
      </c>
      <c r="U44">
        <v>1</v>
      </c>
      <c r="V44">
        <f t="shared" si="29"/>
        <v>0</v>
      </c>
      <c r="X44">
        <f t="shared" si="30"/>
        <v>0</v>
      </c>
      <c r="Y44">
        <f t="shared" si="31"/>
        <v>0</v>
      </c>
      <c r="Z44">
        <v>1</v>
      </c>
      <c r="AA44">
        <f t="shared" si="32"/>
        <v>0</v>
      </c>
      <c r="AB44">
        <f t="shared" si="33"/>
        <v>0</v>
      </c>
      <c r="AC44">
        <f t="shared" si="34"/>
        <v>549.34500000000003</v>
      </c>
      <c r="AD44">
        <f t="shared" si="35"/>
        <v>2010.6666666666667</v>
      </c>
      <c r="AE44">
        <f t="shared" si="36"/>
        <v>1</v>
      </c>
      <c r="AF44">
        <f t="shared" si="37"/>
        <v>2020.6666666666667</v>
      </c>
      <c r="AG44">
        <f t="shared" si="38"/>
        <v>0</v>
      </c>
      <c r="AH44">
        <f t="shared" si="39"/>
        <v>-8.3333333333333329E-2</v>
      </c>
      <c r="AJ44">
        <f t="shared" si="40"/>
        <v>0</v>
      </c>
      <c r="AL44">
        <f t="shared" si="41"/>
        <v>0</v>
      </c>
      <c r="AN44">
        <f t="shared" si="42"/>
        <v>0</v>
      </c>
      <c r="AP44">
        <f t="shared" si="43"/>
        <v>0</v>
      </c>
      <c r="AR44">
        <f t="shared" si="44"/>
        <v>549.34500000000003</v>
      </c>
    </row>
    <row r="45" spans="3:44">
      <c r="C45" t="s">
        <v>579</v>
      </c>
      <c r="D45">
        <v>125074</v>
      </c>
      <c r="E45">
        <v>2015</v>
      </c>
      <c r="F45">
        <v>7</v>
      </c>
      <c r="G45">
        <v>0</v>
      </c>
      <c r="I45" t="s">
        <v>78</v>
      </c>
      <c r="J45">
        <v>10</v>
      </c>
      <c r="K45">
        <f t="shared" si="23"/>
        <v>2025</v>
      </c>
      <c r="N45">
        <v>5978.5</v>
      </c>
      <c r="P45">
        <f t="shared" si="24"/>
        <v>5978.5</v>
      </c>
      <c r="Q45">
        <f t="shared" si="25"/>
        <v>49.820833333333333</v>
      </c>
      <c r="R45">
        <f>IF(O45&gt;0,0,IF(OR(AD45&gt;AE45,AF45&lt;AG45),0,IF(AND(AF45&gt;=AG45,AF45&lt;=AE45),Q45*((AF45-AG45)*12),IF(AND(AG45&lt;=AD45,AE45&gt;=AD45),((AE45-AD45)*12)*Q45,IF(AF45&gt;AE45,12*Q45,0)))))</f>
        <v>0</v>
      </c>
      <c r="S45">
        <f>IF(O45=0,0,IF(AND(AH45&gt;=AG45,AH45&lt;=AF45),((AH45-AG45)*12)*Q45,0))</f>
        <v>0</v>
      </c>
      <c r="T45">
        <f>IF(S45&gt;0,S45,R45)</f>
        <v>0</v>
      </c>
      <c r="U45">
        <v>1</v>
      </c>
      <c r="V45">
        <f>U45*SUM(R45:S45)</f>
        <v>0</v>
      </c>
      <c r="X45">
        <f>IF(AD45&gt;AE45,0,IF(AF45&lt;AG45,P45,IF(AND(AF45&gt;=AG45,AF45&lt;=AE45),(P45-T45),IF(AND(AG45&lt;=AD45,AE45&gt;=AD45),0,IF(AF45&gt;AE45,((AG45-AD45)*12)*Q45,0)))))</f>
        <v>0</v>
      </c>
      <c r="Y45">
        <f>X45*U45</f>
        <v>0</v>
      </c>
      <c r="Z45">
        <v>1</v>
      </c>
      <c r="AA45">
        <f>Y45*Z45</f>
        <v>0</v>
      </c>
      <c r="AB45">
        <f>IF(O45&gt;0,0,AA45+V45*Z45)*Z45</f>
        <v>0</v>
      </c>
      <c r="AC45">
        <f>IF(O45&gt;0,(N45-AA45)/2,IF(AD45&gt;=AG45,(((N45*U45)*Z45)-AB45)/2,((((N45*U45)*Z45)-AA45)+(((N45*U45)*Z45)-AB45))/2))</f>
        <v>2989.25</v>
      </c>
      <c r="AD45">
        <f t="shared" si="35"/>
        <v>2015.5</v>
      </c>
      <c r="AE45">
        <f t="shared" si="36"/>
        <v>1</v>
      </c>
      <c r="AF45">
        <f t="shared" si="37"/>
        <v>2025.5</v>
      </c>
      <c r="AG45">
        <f t="shared" si="38"/>
        <v>0</v>
      </c>
      <c r="AH45">
        <f t="shared" si="39"/>
        <v>-8.3333333333333329E-2</v>
      </c>
      <c r="AJ45">
        <f t="shared" si="40"/>
        <v>0</v>
      </c>
      <c r="AL45">
        <f t="shared" si="41"/>
        <v>0</v>
      </c>
      <c r="AN45">
        <f t="shared" si="42"/>
        <v>0</v>
      </c>
      <c r="AP45">
        <f t="shared" si="43"/>
        <v>0</v>
      </c>
      <c r="AR45">
        <f t="shared" si="44"/>
        <v>2989.25</v>
      </c>
    </row>
    <row r="46" spans="3:44">
      <c r="C46" t="s">
        <v>606</v>
      </c>
      <c r="D46">
        <v>169402</v>
      </c>
      <c r="E46">
        <v>2016</v>
      </c>
      <c r="F46">
        <v>8</v>
      </c>
      <c r="G46">
        <v>0</v>
      </c>
      <c r="I46" t="s">
        <v>78</v>
      </c>
      <c r="J46">
        <v>10</v>
      </c>
      <c r="K46">
        <f>E46+J46</f>
        <v>2026</v>
      </c>
      <c r="N46">
        <v>27577.19</v>
      </c>
      <c r="P46">
        <f>N46-N46*G46</f>
        <v>27577.19</v>
      </c>
      <c r="Q46">
        <f>P46/J46/12</f>
        <v>229.80991666666668</v>
      </c>
      <c r="R46">
        <f>IF(O46&gt;0,0,IF(OR(AD46&gt;AE46,AF46&lt;AG46),0,IF(AND(AF46&gt;=AG46,AF46&lt;=AE46),Q46*((AF46-AG46)*12),IF(AND(AG46&lt;=AD46,AE46&gt;=AD46),((AE46-AD46)*12)*Q46,IF(AF46&gt;AE46,12*Q46,0)))))</f>
        <v>0</v>
      </c>
      <c r="S46">
        <f>IF(O46=0,0,IF(AND(AH46&gt;=AG46,AH46&lt;=AF46),((AH46-AG46)*12)*Q46,0))</f>
        <v>0</v>
      </c>
      <c r="T46">
        <f>IF(S46&gt;0,S46,R46)</f>
        <v>0</v>
      </c>
      <c r="U46">
        <v>1</v>
      </c>
      <c r="V46">
        <f>U46*SUM(R46:S46)</f>
        <v>0</v>
      </c>
      <c r="X46">
        <f>IF(AD46&gt;AE46,0,IF(AF46&lt;AG46,P46,IF(AND(AF46&gt;=AG46,AF46&lt;=AE46),(P46-T46),IF(AND(AG46&lt;=AD46,AE46&gt;=AD46),0,IF(AF46&gt;AE46,((AG46-AD46)*12)*Q46,0)))))</f>
        <v>0</v>
      </c>
      <c r="Y46">
        <f>X46*U46</f>
        <v>0</v>
      </c>
      <c r="Z46">
        <v>1</v>
      </c>
      <c r="AA46">
        <f>Y46*Z46</f>
        <v>0</v>
      </c>
      <c r="AB46">
        <f>IF(O46&gt;0,0,AA46+V46*Z46)*Z46</f>
        <v>0</v>
      </c>
      <c r="AC46">
        <f>IF(O46&gt;0,(N46-AA46)/2,IF(AD46&gt;=AG46,(((N46*U46)*Z46)-AB46)/2,((((N46*U46)*Z46)-AA46)+(((N46*U46)*Z46)-AB46))/2))</f>
        <v>13788.594999999999</v>
      </c>
      <c r="AD46">
        <f t="shared" si="35"/>
        <v>2016.5833333333333</v>
      </c>
      <c r="AE46">
        <f t="shared" si="36"/>
        <v>1</v>
      </c>
      <c r="AF46">
        <f t="shared" si="37"/>
        <v>2026.5833333333333</v>
      </c>
      <c r="AG46">
        <f t="shared" si="38"/>
        <v>0</v>
      </c>
      <c r="AH46">
        <f t="shared" si="39"/>
        <v>-8.3333333333333329E-2</v>
      </c>
      <c r="AJ46">
        <f t="shared" si="40"/>
        <v>0</v>
      </c>
      <c r="AL46">
        <f t="shared" si="41"/>
        <v>0</v>
      </c>
      <c r="AN46">
        <f t="shared" si="42"/>
        <v>0</v>
      </c>
      <c r="AP46">
        <f t="shared" si="43"/>
        <v>0</v>
      </c>
      <c r="AR46">
        <f t="shared" si="44"/>
        <v>13788.594999999999</v>
      </c>
    </row>
    <row r="47" spans="3:44">
      <c r="C47" t="s">
        <v>316</v>
      </c>
    </row>
    <row r="48" spans="3:44">
      <c r="C48" t="s">
        <v>177</v>
      </c>
      <c r="N48">
        <f>SUM(N27:N47)</f>
        <v>2660769.8699999996</v>
      </c>
      <c r="O48">
        <f t="shared" ref="O48:AB48" si="45">SUM(O27:O47)</f>
        <v>0</v>
      </c>
      <c r="P48">
        <f t="shared" si="45"/>
        <v>2660769.8699999996</v>
      </c>
      <c r="Q48">
        <f t="shared" si="45"/>
        <v>13511.494262820514</v>
      </c>
      <c r="R48">
        <f t="shared" si="45"/>
        <v>0</v>
      </c>
      <c r="T48">
        <f t="shared" si="45"/>
        <v>0</v>
      </c>
      <c r="V48">
        <f t="shared" si="45"/>
        <v>0</v>
      </c>
      <c r="X48">
        <f>SUM(X27:X47)</f>
        <v>0</v>
      </c>
      <c r="Y48">
        <f t="shared" si="45"/>
        <v>0</v>
      </c>
      <c r="AA48">
        <f t="shared" si="45"/>
        <v>0</v>
      </c>
      <c r="AB48">
        <f t="shared" si="45"/>
        <v>0</v>
      </c>
      <c r="AC48">
        <f>SUM(AC27:AC47)</f>
        <v>1330384.9349999998</v>
      </c>
      <c r="AJ48">
        <f t="shared" ref="AJ48:AR48" si="46">SUM(AJ27:AJ47)</f>
        <v>0</v>
      </c>
      <c r="AK48">
        <f t="shared" si="46"/>
        <v>0</v>
      </c>
      <c r="AL48">
        <f t="shared" si="46"/>
        <v>0</v>
      </c>
      <c r="AM48">
        <f t="shared" si="46"/>
        <v>0</v>
      </c>
      <c r="AN48">
        <f t="shared" si="46"/>
        <v>0</v>
      </c>
      <c r="AO48">
        <f t="shared" si="46"/>
        <v>0</v>
      </c>
      <c r="AP48">
        <f t="shared" si="46"/>
        <v>0</v>
      </c>
      <c r="AQ48">
        <f t="shared" si="46"/>
        <v>0</v>
      </c>
      <c r="AR48">
        <f t="shared" si="46"/>
        <v>1330384.9349999998</v>
      </c>
    </row>
    <row r="49" spans="2:44">
      <c r="C49" t="s">
        <v>316</v>
      </c>
    </row>
    <row r="50" spans="2:44">
      <c r="C50" t="s">
        <v>316</v>
      </c>
    </row>
    <row r="51" spans="2:44">
      <c r="C51" t="s">
        <v>265</v>
      </c>
    </row>
    <row r="52" spans="2:44">
      <c r="C52" t="s">
        <v>316</v>
      </c>
    </row>
    <row r="53" spans="2:44">
      <c r="C53" t="s">
        <v>359</v>
      </c>
      <c r="E53">
        <v>1992</v>
      </c>
      <c r="F53">
        <v>1</v>
      </c>
      <c r="G53">
        <v>0</v>
      </c>
      <c r="I53" t="s">
        <v>78</v>
      </c>
      <c r="J53" t="s">
        <v>9</v>
      </c>
      <c r="K53">
        <f t="shared" ref="K53:K104" si="47">E53+J53</f>
        <v>2002</v>
      </c>
      <c r="N53">
        <v>10411</v>
      </c>
      <c r="O53">
        <v>0</v>
      </c>
      <c r="P53">
        <f t="shared" ref="P53:P102" si="48">N53-N53*G53</f>
        <v>10411</v>
      </c>
      <c r="Q53">
        <f t="shared" ref="Q53:Q102" si="49">P53/J53/12</f>
        <v>86.758333333333326</v>
      </c>
      <c r="R53">
        <f t="shared" ref="R53:R102" si="50">IF(O53&gt;0,0,IF(OR(AD53&gt;AE53,AF53&lt;AG53),0,IF(AND(AF53&gt;=AG53,AF53&lt;=AE53),Q53*((AF53-AG53)*12),IF(AND(AG53&lt;=AD53,AE53&gt;=AD53),((AE53-AD53)*12)*Q53,IF(AF53&gt;AE53,12*Q53,0)))))</f>
        <v>0</v>
      </c>
      <c r="S53">
        <f t="shared" ref="S53:S102" si="51">IF(O53=0,0,IF(AND(AH53&gt;=AG53,AH53&lt;=AF53),((AH53-AG53)*12)*Q53,0))</f>
        <v>0</v>
      </c>
      <c r="T53">
        <f t="shared" ref="T53:T102" si="52">IF(S53&gt;0,S53,R53)</f>
        <v>0</v>
      </c>
      <c r="U53">
        <v>1</v>
      </c>
      <c r="V53">
        <f t="shared" ref="V53:V102" si="53">U53*SUM(R53:S53)</f>
        <v>0</v>
      </c>
      <c r="X53">
        <f t="shared" ref="X53:X102" si="54">IF(AD53&gt;AE53,0,IF(AF53&lt;AG53,P53,IF(AND(AF53&gt;=AG53,AF53&lt;=AE53),(P53-T53),IF(AND(AG53&lt;=AD53,AE53&gt;=AD53),0,IF(AF53&gt;AE53,((AG53-AD53)*12)*Q53,0)))))</f>
        <v>0</v>
      </c>
      <c r="Y53">
        <f t="shared" ref="Y53:Y102" si="55">X53*U53</f>
        <v>0</v>
      </c>
      <c r="Z53">
        <v>1</v>
      </c>
      <c r="AA53">
        <f t="shared" ref="AA53:AA102" si="56">Y53*Z53</f>
        <v>0</v>
      </c>
      <c r="AB53">
        <f t="shared" ref="AB53:AB102" si="57">IF(O53&gt;0,0,AA53+V53*Z53)*Z53</f>
        <v>0</v>
      </c>
      <c r="AC53">
        <f t="shared" ref="AC53:AC102" si="58">IF(O53&gt;0,(N53-AA53)/2,IF(AD53&gt;=AG53,(((N53*U53)*Z53)-AB53)/2,((((N53*U53)*Z53)-AA53)+(((N53*U53)*Z53)-AB53))/2))</f>
        <v>5205.5</v>
      </c>
      <c r="AD53">
        <f t="shared" ref="AD53:AD105" si="59">$E53+(($F53-1)/12)</f>
        <v>1992</v>
      </c>
      <c r="AE53">
        <f t="shared" ref="AE53:AE105" si="60">($P$5+1)-($P$2/12)</f>
        <v>1</v>
      </c>
      <c r="AF53">
        <f t="shared" ref="AF53:AF105" si="61">$K53+(($F53-1)/12)</f>
        <v>2002</v>
      </c>
      <c r="AG53">
        <f t="shared" ref="AG53:AG105" si="62">$P$4+($P$3/12)</f>
        <v>0</v>
      </c>
      <c r="AH53">
        <f t="shared" ref="AH53:AH105" si="63">$L53+(($M53-1)/12)</f>
        <v>-8.3333333333333329E-2</v>
      </c>
      <c r="AJ53">
        <f>+IF((AF53-AG53)&gt;3,((N53-P53)/(AF53-AG53)),(N53-P53)/3)</f>
        <v>0</v>
      </c>
      <c r="AL53">
        <f>+AJ53+V53</f>
        <v>0</v>
      </c>
      <c r="AN53">
        <f>+IF(AF53&lt;AG53,-AC53,0)</f>
        <v>0</v>
      </c>
      <c r="AP53">
        <f>IF(AF53&gt;AG53,IF(AJ53&gt;0,IF(O53&gt;0,(N53-AA53)/2,IF(AD53&gt;=AG53,(((N53*U53)*Z53)-(AB53+AJ53))/2,((((N53*U53)*Z53)-AA53)+(((N53*U53)*Z53)-(AB53+AJ53)))/2)),0),0)</f>
        <v>0</v>
      </c>
      <c r="AR53">
        <f>+AC53+AN53+(IF(AP53&gt;0,(AP53-AC53),0))</f>
        <v>5205.5</v>
      </c>
    </row>
    <row r="54" spans="2:44">
      <c r="C54" t="s">
        <v>113</v>
      </c>
      <c r="E54">
        <v>1992</v>
      </c>
      <c r="F54">
        <v>6</v>
      </c>
      <c r="G54">
        <v>0</v>
      </c>
      <c r="I54" t="s">
        <v>78</v>
      </c>
      <c r="J54">
        <v>5</v>
      </c>
      <c r="K54">
        <f t="shared" si="47"/>
        <v>1997</v>
      </c>
      <c r="N54">
        <v>179873</v>
      </c>
      <c r="O54">
        <v>0</v>
      </c>
      <c r="P54">
        <f t="shared" si="48"/>
        <v>179873</v>
      </c>
      <c r="Q54">
        <f t="shared" si="49"/>
        <v>2997.8833333333332</v>
      </c>
      <c r="R54">
        <f t="shared" si="50"/>
        <v>0</v>
      </c>
      <c r="S54">
        <f t="shared" si="51"/>
        <v>0</v>
      </c>
      <c r="T54">
        <f t="shared" si="52"/>
        <v>0</v>
      </c>
      <c r="U54">
        <v>1</v>
      </c>
      <c r="V54">
        <f t="shared" si="53"/>
        <v>0</v>
      </c>
      <c r="X54">
        <f t="shared" si="54"/>
        <v>0</v>
      </c>
      <c r="Y54">
        <f t="shared" si="55"/>
        <v>0</v>
      </c>
      <c r="Z54">
        <v>1</v>
      </c>
      <c r="AA54">
        <f t="shared" si="56"/>
        <v>0</v>
      </c>
      <c r="AB54">
        <f t="shared" si="57"/>
        <v>0</v>
      </c>
      <c r="AC54">
        <f t="shared" si="58"/>
        <v>89936.5</v>
      </c>
      <c r="AD54">
        <f t="shared" si="59"/>
        <v>1992.4166666666667</v>
      </c>
      <c r="AE54">
        <f t="shared" si="60"/>
        <v>1</v>
      </c>
      <c r="AF54">
        <f t="shared" si="61"/>
        <v>1997.4166666666667</v>
      </c>
      <c r="AG54">
        <f t="shared" si="62"/>
        <v>0</v>
      </c>
      <c r="AH54">
        <f t="shared" si="63"/>
        <v>-8.3333333333333329E-2</v>
      </c>
      <c r="AJ54">
        <f t="shared" ref="AJ54:AJ105" si="64">+IF((AF54-AG54)&gt;3,((N54-P54)/(AF54-AG54)),(N54-P54)/3)</f>
        <v>0</v>
      </c>
      <c r="AL54">
        <f t="shared" ref="AL54:AL105" si="65">+AJ54+V54</f>
        <v>0</v>
      </c>
      <c r="AN54">
        <f t="shared" ref="AN54:AN105" si="66">+IF(AF54&lt;AG54,-AC54,0)</f>
        <v>0</v>
      </c>
      <c r="AP54">
        <f t="shared" ref="AP54:AP105" si="67">IF(AF54&gt;AG54,IF(AJ54&gt;0,IF(O54&gt;0,(N54-AA54)/2,IF(AD54&gt;=AG54,(((N54*U54)*Z54)-(AB54+AJ54))/2,((((N54*U54)*Z54)-AA54)+(((N54*U54)*Z54)-(AB54+AJ54)))/2)),0),0)</f>
        <v>0</v>
      </c>
      <c r="AR54">
        <f t="shared" ref="AR54:AR105" si="68">+AC54+AN54+(IF(AP54&gt;0,(AP54-AC54),0))</f>
        <v>89936.5</v>
      </c>
    </row>
    <row r="55" spans="2:44">
      <c r="B55">
        <v>9243</v>
      </c>
      <c r="C55" t="s">
        <v>345</v>
      </c>
      <c r="E55">
        <v>1995</v>
      </c>
      <c r="F55">
        <v>8</v>
      </c>
      <c r="G55">
        <v>0.2</v>
      </c>
      <c r="I55" t="s">
        <v>78</v>
      </c>
      <c r="J55">
        <v>7</v>
      </c>
      <c r="K55">
        <f>E55+J55</f>
        <v>2002</v>
      </c>
      <c r="N55">
        <v>11060</v>
      </c>
      <c r="O55">
        <v>0</v>
      </c>
      <c r="P55">
        <f>N55-N55*G55</f>
        <v>8848</v>
      </c>
      <c r="Q55">
        <f>P55/J55/12</f>
        <v>105.33333333333333</v>
      </c>
      <c r="R55">
        <f>IF(O55&gt;0,0,IF(OR(AD55&gt;AE55,AF55&lt;AG55),0,IF(AND(AF55&gt;=AG55,AF55&lt;=AE55),Q55*((AF55-AG55)*12),IF(AND(AG55&lt;=AD55,AE55&gt;=AD55),((AE55-AD55)*12)*Q55,IF(AF55&gt;AE55,12*Q55,0)))))</f>
        <v>0</v>
      </c>
      <c r="S55">
        <f>IF(O55=0,0,IF(AND(AH55&gt;=AG55,AH55&lt;=AF55),((AH55-AG55)*12)*Q55,0))</f>
        <v>0</v>
      </c>
      <c r="T55">
        <f>IF(S55&gt;0,S55,R55)</f>
        <v>0</v>
      </c>
      <c r="U55">
        <v>1</v>
      </c>
      <c r="V55">
        <f>U55*SUM(R55:S55)</f>
        <v>0</v>
      </c>
      <c r="X55">
        <f>IF(AD55&gt;AE55,0,IF(AF55&lt;AG55,P55,IF(AND(AF55&gt;=AG55,AF55&lt;=AE55),(P55-T55),IF(AND(AG55&lt;=AD55,AE55&gt;=AD55),0,IF(AF55&gt;AE55,((AG55-AD55)*12)*Q55,0)))))</f>
        <v>0</v>
      </c>
      <c r="Y55">
        <f>X55*U55</f>
        <v>0</v>
      </c>
      <c r="Z55">
        <v>1</v>
      </c>
      <c r="AA55">
        <f>Y55*Z55</f>
        <v>0</v>
      </c>
      <c r="AB55">
        <f>IF(O55&gt;0,0,AA55+V55*Z55)*Z55</f>
        <v>0</v>
      </c>
      <c r="AC55">
        <f>IF(O55&gt;0,(N55-AA55)/2,IF(AD55&gt;=AG55,(((N55*U55)*Z55)-AB55)/2,((((N55*U55)*Z55)-AA55)+(((N55*U55)*Z55)-AB55))/2))</f>
        <v>5530</v>
      </c>
      <c r="AD55">
        <f>$E55+(($F55-1)/12)</f>
        <v>1995.5833333333333</v>
      </c>
      <c r="AE55">
        <f>($P$5+1)-($P$2/12)</f>
        <v>1</v>
      </c>
      <c r="AF55">
        <f>$K55+(($F55-1)/12)</f>
        <v>2002.5833333333333</v>
      </c>
      <c r="AG55">
        <f>$P$4+($P$3/12)</f>
        <v>0</v>
      </c>
      <c r="AH55">
        <f>$L55+(($M55-1)/12)</f>
        <v>-8.3333333333333329E-2</v>
      </c>
      <c r="AJ55">
        <f t="shared" si="64"/>
        <v>1.1045732595397613</v>
      </c>
      <c r="AL55">
        <f t="shared" si="65"/>
        <v>1.1045732595397613</v>
      </c>
      <c r="AN55">
        <f t="shared" si="66"/>
        <v>0</v>
      </c>
      <c r="AP55">
        <f t="shared" si="67"/>
        <v>5529.4477133702303</v>
      </c>
      <c r="AR55">
        <f t="shared" si="68"/>
        <v>5529.4477133702303</v>
      </c>
    </row>
    <row r="56" spans="2:44">
      <c r="C56" t="s">
        <v>360</v>
      </c>
      <c r="E56">
        <v>1996</v>
      </c>
      <c r="F56">
        <v>11</v>
      </c>
      <c r="G56">
        <v>0</v>
      </c>
      <c r="I56" t="s">
        <v>78</v>
      </c>
      <c r="J56">
        <v>5</v>
      </c>
      <c r="K56">
        <f t="shared" si="47"/>
        <v>2001</v>
      </c>
      <c r="N56">
        <v>14553</v>
      </c>
      <c r="O56">
        <v>0</v>
      </c>
      <c r="P56">
        <f t="shared" si="48"/>
        <v>14553</v>
      </c>
      <c r="Q56">
        <f t="shared" si="49"/>
        <v>242.54999999999998</v>
      </c>
      <c r="R56">
        <f t="shared" si="50"/>
        <v>0</v>
      </c>
      <c r="S56">
        <f t="shared" si="51"/>
        <v>0</v>
      </c>
      <c r="T56">
        <f t="shared" si="52"/>
        <v>0</v>
      </c>
      <c r="U56">
        <v>1</v>
      </c>
      <c r="V56">
        <f t="shared" si="53"/>
        <v>0</v>
      </c>
      <c r="X56">
        <f t="shared" si="54"/>
        <v>0</v>
      </c>
      <c r="Y56">
        <f t="shared" si="55"/>
        <v>0</v>
      </c>
      <c r="Z56">
        <v>1</v>
      </c>
      <c r="AA56">
        <f t="shared" si="56"/>
        <v>0</v>
      </c>
      <c r="AB56">
        <f t="shared" si="57"/>
        <v>0</v>
      </c>
      <c r="AC56">
        <f t="shared" si="58"/>
        <v>7276.5</v>
      </c>
      <c r="AD56">
        <f t="shared" si="59"/>
        <v>1996.8333333333333</v>
      </c>
      <c r="AE56">
        <f t="shared" si="60"/>
        <v>1</v>
      </c>
      <c r="AF56">
        <f t="shared" si="61"/>
        <v>2001.8333333333333</v>
      </c>
      <c r="AG56">
        <f t="shared" si="62"/>
        <v>0</v>
      </c>
      <c r="AH56">
        <f t="shared" si="63"/>
        <v>-8.3333333333333329E-2</v>
      </c>
      <c r="AJ56">
        <f t="shared" si="64"/>
        <v>0</v>
      </c>
      <c r="AL56">
        <f t="shared" si="65"/>
        <v>0</v>
      </c>
      <c r="AN56">
        <f t="shared" si="66"/>
        <v>0</v>
      </c>
      <c r="AP56">
        <f t="shared" si="67"/>
        <v>0</v>
      </c>
      <c r="AR56">
        <f t="shared" si="68"/>
        <v>7276.5</v>
      </c>
    </row>
    <row r="57" spans="2:44">
      <c r="C57" t="s">
        <v>116</v>
      </c>
      <c r="E57">
        <v>1997</v>
      </c>
      <c r="F57">
        <v>10</v>
      </c>
      <c r="G57">
        <v>0</v>
      </c>
      <c r="I57" t="s">
        <v>78</v>
      </c>
      <c r="J57">
        <v>5</v>
      </c>
      <c r="K57">
        <f t="shared" si="47"/>
        <v>2002</v>
      </c>
      <c r="N57">
        <v>4035.74</v>
      </c>
      <c r="O57">
        <v>0</v>
      </c>
      <c r="P57">
        <f t="shared" si="48"/>
        <v>4035.74</v>
      </c>
      <c r="Q57">
        <f t="shared" si="49"/>
        <v>67.262333333333331</v>
      </c>
      <c r="R57">
        <f t="shared" si="50"/>
        <v>0</v>
      </c>
      <c r="S57">
        <f t="shared" si="51"/>
        <v>0</v>
      </c>
      <c r="T57">
        <f t="shared" si="52"/>
        <v>0</v>
      </c>
      <c r="U57">
        <v>1</v>
      </c>
      <c r="V57">
        <f t="shared" si="53"/>
        <v>0</v>
      </c>
      <c r="X57">
        <f t="shared" si="54"/>
        <v>0</v>
      </c>
      <c r="Y57">
        <f t="shared" si="55"/>
        <v>0</v>
      </c>
      <c r="Z57">
        <v>1</v>
      </c>
      <c r="AA57">
        <f t="shared" si="56"/>
        <v>0</v>
      </c>
      <c r="AB57">
        <f t="shared" si="57"/>
        <v>0</v>
      </c>
      <c r="AC57">
        <f t="shared" si="58"/>
        <v>2017.87</v>
      </c>
      <c r="AD57">
        <f t="shared" si="59"/>
        <v>1997.75</v>
      </c>
      <c r="AE57">
        <f t="shared" si="60"/>
        <v>1</v>
      </c>
      <c r="AF57">
        <f t="shared" si="61"/>
        <v>2002.75</v>
      </c>
      <c r="AG57">
        <f t="shared" si="62"/>
        <v>0</v>
      </c>
      <c r="AH57">
        <f t="shared" si="63"/>
        <v>-8.3333333333333329E-2</v>
      </c>
      <c r="AJ57">
        <f t="shared" si="64"/>
        <v>0</v>
      </c>
      <c r="AL57">
        <f t="shared" si="65"/>
        <v>0</v>
      </c>
      <c r="AN57">
        <f t="shared" si="66"/>
        <v>0</v>
      </c>
      <c r="AP57">
        <f t="shared" si="67"/>
        <v>0</v>
      </c>
      <c r="AR57">
        <f t="shared" si="68"/>
        <v>2017.87</v>
      </c>
    </row>
    <row r="58" spans="2:44">
      <c r="C58" t="s">
        <v>358</v>
      </c>
      <c r="E58">
        <v>1997</v>
      </c>
      <c r="F58">
        <v>3</v>
      </c>
      <c r="G58">
        <v>0</v>
      </c>
      <c r="I58" t="s">
        <v>78</v>
      </c>
      <c r="J58">
        <v>5</v>
      </c>
      <c r="K58">
        <f t="shared" si="47"/>
        <v>2002</v>
      </c>
      <c r="N58">
        <v>1188</v>
      </c>
      <c r="O58">
        <v>0</v>
      </c>
      <c r="P58">
        <f t="shared" si="48"/>
        <v>1188</v>
      </c>
      <c r="Q58">
        <f t="shared" si="49"/>
        <v>19.8</v>
      </c>
      <c r="R58">
        <f t="shared" si="50"/>
        <v>0</v>
      </c>
      <c r="S58">
        <f t="shared" si="51"/>
        <v>0</v>
      </c>
      <c r="T58">
        <f t="shared" si="52"/>
        <v>0</v>
      </c>
      <c r="U58">
        <v>1</v>
      </c>
      <c r="V58">
        <f t="shared" si="53"/>
        <v>0</v>
      </c>
      <c r="X58">
        <f t="shared" si="54"/>
        <v>0</v>
      </c>
      <c r="Y58">
        <f t="shared" si="55"/>
        <v>0</v>
      </c>
      <c r="Z58">
        <v>1</v>
      </c>
      <c r="AA58">
        <f t="shared" si="56"/>
        <v>0</v>
      </c>
      <c r="AB58">
        <f t="shared" si="57"/>
        <v>0</v>
      </c>
      <c r="AC58">
        <f t="shared" si="58"/>
        <v>594</v>
      </c>
      <c r="AD58">
        <f t="shared" si="59"/>
        <v>1997.1666666666667</v>
      </c>
      <c r="AE58">
        <f t="shared" si="60"/>
        <v>1</v>
      </c>
      <c r="AF58">
        <f t="shared" si="61"/>
        <v>2002.1666666666667</v>
      </c>
      <c r="AG58">
        <f t="shared" si="62"/>
        <v>0</v>
      </c>
      <c r="AH58">
        <f t="shared" si="63"/>
        <v>-8.3333333333333329E-2</v>
      </c>
      <c r="AJ58">
        <f t="shared" si="64"/>
        <v>0</v>
      </c>
      <c r="AL58">
        <f t="shared" si="65"/>
        <v>0</v>
      </c>
      <c r="AN58">
        <f t="shared" si="66"/>
        <v>0</v>
      </c>
      <c r="AP58">
        <f t="shared" si="67"/>
        <v>0</v>
      </c>
      <c r="AR58">
        <f t="shared" si="68"/>
        <v>594</v>
      </c>
    </row>
    <row r="59" spans="2:44">
      <c r="C59" t="s">
        <v>220</v>
      </c>
      <c r="E59">
        <v>1998</v>
      </c>
      <c r="F59">
        <v>3</v>
      </c>
      <c r="G59">
        <v>0</v>
      </c>
      <c r="I59" t="s">
        <v>78</v>
      </c>
      <c r="J59">
        <v>5</v>
      </c>
      <c r="K59">
        <f t="shared" si="47"/>
        <v>2003</v>
      </c>
      <c r="N59">
        <v>6910.5</v>
      </c>
      <c r="O59">
        <v>0</v>
      </c>
      <c r="P59">
        <f t="shared" si="48"/>
        <v>6910.5</v>
      </c>
      <c r="Q59">
        <f t="shared" si="49"/>
        <v>115.175</v>
      </c>
      <c r="R59">
        <f t="shared" si="50"/>
        <v>0</v>
      </c>
      <c r="S59">
        <f t="shared" si="51"/>
        <v>0</v>
      </c>
      <c r="T59">
        <f t="shared" si="52"/>
        <v>0</v>
      </c>
      <c r="U59">
        <v>1</v>
      </c>
      <c r="V59">
        <f t="shared" si="53"/>
        <v>0</v>
      </c>
      <c r="X59">
        <f t="shared" si="54"/>
        <v>0</v>
      </c>
      <c r="Y59">
        <f t="shared" si="55"/>
        <v>0</v>
      </c>
      <c r="Z59">
        <v>1</v>
      </c>
      <c r="AA59">
        <f t="shared" si="56"/>
        <v>0</v>
      </c>
      <c r="AB59">
        <f t="shared" si="57"/>
        <v>0</v>
      </c>
      <c r="AC59">
        <f t="shared" si="58"/>
        <v>3455.25</v>
      </c>
      <c r="AD59">
        <f t="shared" si="59"/>
        <v>1998.1666666666667</v>
      </c>
      <c r="AE59">
        <f t="shared" si="60"/>
        <v>1</v>
      </c>
      <c r="AF59">
        <f t="shared" si="61"/>
        <v>2003.1666666666667</v>
      </c>
      <c r="AG59">
        <f t="shared" si="62"/>
        <v>0</v>
      </c>
      <c r="AH59">
        <f t="shared" si="63"/>
        <v>-8.3333333333333329E-2</v>
      </c>
      <c r="AJ59">
        <f t="shared" si="64"/>
        <v>0</v>
      </c>
      <c r="AL59">
        <f t="shared" si="65"/>
        <v>0</v>
      </c>
      <c r="AN59">
        <f t="shared" si="66"/>
        <v>0</v>
      </c>
      <c r="AP59">
        <f t="shared" si="67"/>
        <v>0</v>
      </c>
      <c r="AR59">
        <f t="shared" si="68"/>
        <v>3455.25</v>
      </c>
    </row>
    <row r="60" spans="2:44">
      <c r="C60" t="s">
        <v>357</v>
      </c>
      <c r="E60">
        <v>1998</v>
      </c>
      <c r="F60">
        <v>2</v>
      </c>
      <c r="G60">
        <v>0</v>
      </c>
      <c r="I60" t="s">
        <v>78</v>
      </c>
      <c r="J60">
        <v>5</v>
      </c>
      <c r="K60">
        <f t="shared" si="47"/>
        <v>2003</v>
      </c>
      <c r="N60">
        <v>130000</v>
      </c>
      <c r="O60">
        <v>0</v>
      </c>
      <c r="P60">
        <f t="shared" si="48"/>
        <v>130000</v>
      </c>
      <c r="Q60">
        <f t="shared" si="49"/>
        <v>2166.6666666666665</v>
      </c>
      <c r="R60">
        <f t="shared" si="50"/>
        <v>0</v>
      </c>
      <c r="S60">
        <f t="shared" si="51"/>
        <v>0</v>
      </c>
      <c r="T60">
        <f t="shared" si="52"/>
        <v>0</v>
      </c>
      <c r="U60">
        <v>1</v>
      </c>
      <c r="V60">
        <f t="shared" si="53"/>
        <v>0</v>
      </c>
      <c r="X60">
        <f t="shared" si="54"/>
        <v>0</v>
      </c>
      <c r="Y60">
        <f t="shared" si="55"/>
        <v>0</v>
      </c>
      <c r="Z60">
        <v>1</v>
      </c>
      <c r="AA60">
        <f t="shared" si="56"/>
        <v>0</v>
      </c>
      <c r="AB60">
        <f t="shared" si="57"/>
        <v>0</v>
      </c>
      <c r="AC60">
        <f t="shared" si="58"/>
        <v>65000</v>
      </c>
      <c r="AD60">
        <f t="shared" si="59"/>
        <v>1998.0833333333333</v>
      </c>
      <c r="AE60">
        <f t="shared" si="60"/>
        <v>1</v>
      </c>
      <c r="AF60">
        <f t="shared" si="61"/>
        <v>2003.0833333333333</v>
      </c>
      <c r="AG60">
        <f t="shared" si="62"/>
        <v>0</v>
      </c>
      <c r="AH60">
        <f t="shared" si="63"/>
        <v>-8.3333333333333329E-2</v>
      </c>
      <c r="AJ60">
        <f t="shared" si="64"/>
        <v>0</v>
      </c>
      <c r="AL60">
        <f t="shared" si="65"/>
        <v>0</v>
      </c>
      <c r="AN60">
        <f t="shared" si="66"/>
        <v>0</v>
      </c>
      <c r="AP60">
        <f t="shared" si="67"/>
        <v>0</v>
      </c>
      <c r="AR60">
        <f t="shared" si="68"/>
        <v>65000</v>
      </c>
    </row>
    <row r="61" spans="2:44">
      <c r="C61" t="s">
        <v>117</v>
      </c>
      <c r="E61">
        <v>1998</v>
      </c>
      <c r="F61">
        <v>2</v>
      </c>
      <c r="G61">
        <v>0</v>
      </c>
      <c r="I61" t="s">
        <v>78</v>
      </c>
      <c r="J61">
        <v>5</v>
      </c>
      <c r="K61">
        <f t="shared" si="47"/>
        <v>2003</v>
      </c>
      <c r="N61">
        <v>85000</v>
      </c>
      <c r="O61">
        <v>0</v>
      </c>
      <c r="P61">
        <f t="shared" si="48"/>
        <v>85000</v>
      </c>
      <c r="Q61">
        <f t="shared" si="49"/>
        <v>1416.6666666666667</v>
      </c>
      <c r="R61">
        <f t="shared" si="50"/>
        <v>0</v>
      </c>
      <c r="S61">
        <f t="shared" si="51"/>
        <v>0</v>
      </c>
      <c r="T61">
        <f t="shared" si="52"/>
        <v>0</v>
      </c>
      <c r="U61">
        <v>1</v>
      </c>
      <c r="V61">
        <f t="shared" si="53"/>
        <v>0</v>
      </c>
      <c r="X61">
        <f t="shared" si="54"/>
        <v>0</v>
      </c>
      <c r="Y61">
        <f t="shared" si="55"/>
        <v>0</v>
      </c>
      <c r="Z61">
        <v>1</v>
      </c>
      <c r="AA61">
        <f t="shared" si="56"/>
        <v>0</v>
      </c>
      <c r="AB61">
        <f t="shared" si="57"/>
        <v>0</v>
      </c>
      <c r="AC61">
        <f t="shared" si="58"/>
        <v>42500</v>
      </c>
      <c r="AD61">
        <f t="shared" si="59"/>
        <v>1998.0833333333333</v>
      </c>
      <c r="AE61">
        <f t="shared" si="60"/>
        <v>1</v>
      </c>
      <c r="AF61">
        <f t="shared" si="61"/>
        <v>2003.0833333333333</v>
      </c>
      <c r="AG61">
        <f t="shared" si="62"/>
        <v>0</v>
      </c>
      <c r="AH61">
        <f t="shared" si="63"/>
        <v>-8.3333333333333329E-2</v>
      </c>
      <c r="AJ61">
        <f t="shared" si="64"/>
        <v>0</v>
      </c>
      <c r="AL61">
        <f t="shared" si="65"/>
        <v>0</v>
      </c>
      <c r="AN61">
        <f t="shared" si="66"/>
        <v>0</v>
      </c>
      <c r="AP61">
        <f t="shared" si="67"/>
        <v>0</v>
      </c>
      <c r="AR61">
        <f t="shared" si="68"/>
        <v>42500</v>
      </c>
    </row>
    <row r="62" spans="2:44">
      <c r="C62" t="s">
        <v>118</v>
      </c>
      <c r="E62">
        <v>1998</v>
      </c>
      <c r="F62">
        <v>2</v>
      </c>
      <c r="G62">
        <v>0</v>
      </c>
      <c r="I62" t="s">
        <v>78</v>
      </c>
      <c r="J62">
        <v>5</v>
      </c>
      <c r="K62">
        <f t="shared" si="47"/>
        <v>2003</v>
      </c>
      <c r="N62">
        <v>25000</v>
      </c>
      <c r="O62">
        <v>0</v>
      </c>
      <c r="P62">
        <f t="shared" si="48"/>
        <v>25000</v>
      </c>
      <c r="Q62">
        <f t="shared" si="49"/>
        <v>416.66666666666669</v>
      </c>
      <c r="R62">
        <f t="shared" si="50"/>
        <v>0</v>
      </c>
      <c r="S62">
        <f t="shared" si="51"/>
        <v>0</v>
      </c>
      <c r="T62">
        <f t="shared" si="52"/>
        <v>0</v>
      </c>
      <c r="U62">
        <v>1</v>
      </c>
      <c r="V62">
        <f t="shared" si="53"/>
        <v>0</v>
      </c>
      <c r="X62">
        <f t="shared" si="54"/>
        <v>0</v>
      </c>
      <c r="Y62">
        <f t="shared" si="55"/>
        <v>0</v>
      </c>
      <c r="Z62">
        <v>1</v>
      </c>
      <c r="AA62">
        <f t="shared" si="56"/>
        <v>0</v>
      </c>
      <c r="AB62">
        <f t="shared" si="57"/>
        <v>0</v>
      </c>
      <c r="AC62">
        <f t="shared" si="58"/>
        <v>12500</v>
      </c>
      <c r="AD62">
        <f t="shared" si="59"/>
        <v>1998.0833333333333</v>
      </c>
      <c r="AE62">
        <f t="shared" si="60"/>
        <v>1</v>
      </c>
      <c r="AF62">
        <f t="shared" si="61"/>
        <v>2003.0833333333333</v>
      </c>
      <c r="AG62">
        <f t="shared" si="62"/>
        <v>0</v>
      </c>
      <c r="AH62">
        <f t="shared" si="63"/>
        <v>-8.3333333333333329E-2</v>
      </c>
      <c r="AJ62">
        <f t="shared" si="64"/>
        <v>0</v>
      </c>
      <c r="AL62">
        <f t="shared" si="65"/>
        <v>0</v>
      </c>
      <c r="AN62">
        <f t="shared" si="66"/>
        <v>0</v>
      </c>
      <c r="AP62">
        <f t="shared" si="67"/>
        <v>0</v>
      </c>
      <c r="AR62">
        <f t="shared" si="68"/>
        <v>12500</v>
      </c>
    </row>
    <row r="63" spans="2:44">
      <c r="B63">
        <v>9206</v>
      </c>
      <c r="C63" t="s">
        <v>364</v>
      </c>
      <c r="E63">
        <v>1999</v>
      </c>
      <c r="F63">
        <v>12</v>
      </c>
      <c r="G63">
        <v>0.33</v>
      </c>
      <c r="I63" t="s">
        <v>78</v>
      </c>
      <c r="J63">
        <v>5</v>
      </c>
      <c r="K63">
        <f t="shared" si="47"/>
        <v>2004</v>
      </c>
      <c r="N63">
        <v>9180</v>
      </c>
      <c r="O63">
        <v>0</v>
      </c>
      <c r="P63">
        <f t="shared" si="48"/>
        <v>6150.6</v>
      </c>
      <c r="Q63">
        <f t="shared" si="49"/>
        <v>102.51</v>
      </c>
      <c r="R63">
        <f t="shared" si="50"/>
        <v>0</v>
      </c>
      <c r="S63">
        <f t="shared" si="51"/>
        <v>0</v>
      </c>
      <c r="T63">
        <f t="shared" si="52"/>
        <v>0</v>
      </c>
      <c r="U63">
        <v>1</v>
      </c>
      <c r="V63">
        <f t="shared" si="53"/>
        <v>0</v>
      </c>
      <c r="X63">
        <f t="shared" si="54"/>
        <v>0</v>
      </c>
      <c r="Y63">
        <f t="shared" si="55"/>
        <v>0</v>
      </c>
      <c r="Z63">
        <v>1</v>
      </c>
      <c r="AA63">
        <f t="shared" si="56"/>
        <v>0</v>
      </c>
      <c r="AB63">
        <f t="shared" si="57"/>
        <v>0</v>
      </c>
      <c r="AC63">
        <f t="shared" si="58"/>
        <v>4590</v>
      </c>
      <c r="AD63">
        <f t="shared" si="59"/>
        <v>1999.9166666666667</v>
      </c>
      <c r="AE63">
        <f t="shared" si="60"/>
        <v>1</v>
      </c>
      <c r="AF63">
        <f t="shared" si="61"/>
        <v>2004.9166666666667</v>
      </c>
      <c r="AG63">
        <f t="shared" si="62"/>
        <v>0</v>
      </c>
      <c r="AH63">
        <f t="shared" si="63"/>
        <v>-8.3333333333333329E-2</v>
      </c>
      <c r="AJ63">
        <f t="shared" si="64"/>
        <v>1.5109854939939313</v>
      </c>
      <c r="AL63">
        <f t="shared" si="65"/>
        <v>1.5109854939939313</v>
      </c>
      <c r="AN63">
        <f t="shared" si="66"/>
        <v>0</v>
      </c>
      <c r="AP63">
        <f t="shared" si="67"/>
        <v>4589.2445072530027</v>
      </c>
      <c r="AR63">
        <f t="shared" si="68"/>
        <v>4589.2445072530027</v>
      </c>
    </row>
    <row r="64" spans="2:44">
      <c r="C64" t="s">
        <v>121</v>
      </c>
      <c r="E64">
        <v>2000</v>
      </c>
      <c r="F64">
        <v>7</v>
      </c>
      <c r="G64">
        <v>0</v>
      </c>
      <c r="I64" t="s">
        <v>78</v>
      </c>
      <c r="J64" t="s">
        <v>9</v>
      </c>
      <c r="K64">
        <f t="shared" si="47"/>
        <v>2010</v>
      </c>
      <c r="N64">
        <v>412561.55</v>
      </c>
      <c r="O64">
        <v>0</v>
      </c>
      <c r="P64">
        <f t="shared" si="48"/>
        <v>412561.55</v>
      </c>
      <c r="Q64">
        <f t="shared" si="49"/>
        <v>3438.0129166666666</v>
      </c>
      <c r="R64">
        <f t="shared" si="50"/>
        <v>0</v>
      </c>
      <c r="S64">
        <f t="shared" si="51"/>
        <v>0</v>
      </c>
      <c r="T64">
        <f t="shared" si="52"/>
        <v>0</v>
      </c>
      <c r="U64">
        <v>1</v>
      </c>
      <c r="V64">
        <f t="shared" si="53"/>
        <v>0</v>
      </c>
      <c r="X64">
        <f t="shared" si="54"/>
        <v>0</v>
      </c>
      <c r="Y64">
        <f t="shared" si="55"/>
        <v>0</v>
      </c>
      <c r="Z64">
        <v>1</v>
      </c>
      <c r="AA64">
        <f t="shared" si="56"/>
        <v>0</v>
      </c>
      <c r="AB64">
        <f t="shared" si="57"/>
        <v>0</v>
      </c>
      <c r="AC64">
        <f t="shared" si="58"/>
        <v>206280.77499999999</v>
      </c>
      <c r="AD64">
        <f t="shared" si="59"/>
        <v>2000.5</v>
      </c>
      <c r="AE64">
        <f t="shared" si="60"/>
        <v>1</v>
      </c>
      <c r="AF64">
        <f t="shared" si="61"/>
        <v>2010.5</v>
      </c>
      <c r="AG64">
        <f t="shared" si="62"/>
        <v>0</v>
      </c>
      <c r="AH64">
        <f t="shared" si="63"/>
        <v>-8.3333333333333329E-2</v>
      </c>
      <c r="AJ64">
        <f t="shared" si="64"/>
        <v>0</v>
      </c>
      <c r="AL64">
        <f t="shared" si="65"/>
        <v>0</v>
      </c>
      <c r="AN64">
        <f t="shared" si="66"/>
        <v>0</v>
      </c>
      <c r="AP64">
        <f t="shared" si="67"/>
        <v>0</v>
      </c>
      <c r="AR64">
        <f t="shared" si="68"/>
        <v>206280.77499999999</v>
      </c>
    </row>
    <row r="65" spans="3:44">
      <c r="C65" t="s">
        <v>122</v>
      </c>
      <c r="E65">
        <v>2000</v>
      </c>
      <c r="F65">
        <v>7</v>
      </c>
      <c r="G65">
        <v>0</v>
      </c>
      <c r="I65" t="s">
        <v>78</v>
      </c>
      <c r="J65" t="s">
        <v>9</v>
      </c>
      <c r="K65">
        <f t="shared" si="47"/>
        <v>2010</v>
      </c>
      <c r="N65">
        <v>36913.86</v>
      </c>
      <c r="O65">
        <v>0</v>
      </c>
      <c r="P65">
        <f t="shared" si="48"/>
        <v>36913.86</v>
      </c>
      <c r="Q65">
        <f t="shared" si="49"/>
        <v>307.6155</v>
      </c>
      <c r="R65">
        <f t="shared" si="50"/>
        <v>0</v>
      </c>
      <c r="S65">
        <f t="shared" si="51"/>
        <v>0</v>
      </c>
      <c r="T65">
        <f t="shared" si="52"/>
        <v>0</v>
      </c>
      <c r="U65">
        <v>1</v>
      </c>
      <c r="V65">
        <f t="shared" si="53"/>
        <v>0</v>
      </c>
      <c r="X65">
        <f t="shared" si="54"/>
        <v>0</v>
      </c>
      <c r="Y65">
        <f t="shared" si="55"/>
        <v>0</v>
      </c>
      <c r="Z65">
        <v>1</v>
      </c>
      <c r="AA65">
        <f t="shared" si="56"/>
        <v>0</v>
      </c>
      <c r="AB65">
        <f t="shared" si="57"/>
        <v>0</v>
      </c>
      <c r="AC65">
        <f t="shared" si="58"/>
        <v>18456.93</v>
      </c>
      <c r="AD65">
        <f t="shared" si="59"/>
        <v>2000.5</v>
      </c>
      <c r="AE65">
        <f t="shared" si="60"/>
        <v>1</v>
      </c>
      <c r="AF65">
        <f t="shared" si="61"/>
        <v>2010.5</v>
      </c>
      <c r="AG65">
        <f t="shared" si="62"/>
        <v>0</v>
      </c>
      <c r="AH65">
        <f t="shared" si="63"/>
        <v>-8.3333333333333329E-2</v>
      </c>
      <c r="AJ65">
        <f t="shared" si="64"/>
        <v>0</v>
      </c>
      <c r="AL65">
        <f t="shared" si="65"/>
        <v>0</v>
      </c>
      <c r="AN65">
        <f t="shared" si="66"/>
        <v>0</v>
      </c>
      <c r="AP65">
        <f t="shared" si="67"/>
        <v>0</v>
      </c>
      <c r="AR65">
        <f t="shared" si="68"/>
        <v>18456.93</v>
      </c>
    </row>
    <row r="66" spans="3:44">
      <c r="C66" t="s">
        <v>123</v>
      </c>
      <c r="E66">
        <v>2000</v>
      </c>
      <c r="F66">
        <v>7</v>
      </c>
      <c r="G66">
        <v>0</v>
      </c>
      <c r="I66" t="s">
        <v>78</v>
      </c>
      <c r="J66" t="s">
        <v>9</v>
      </c>
      <c r="K66">
        <f t="shared" si="47"/>
        <v>2010</v>
      </c>
      <c r="N66">
        <v>92093.69</v>
      </c>
      <c r="O66">
        <v>0</v>
      </c>
      <c r="P66">
        <f t="shared" si="48"/>
        <v>92093.69</v>
      </c>
      <c r="Q66">
        <f t="shared" si="49"/>
        <v>767.44741666666675</v>
      </c>
      <c r="R66">
        <f t="shared" si="50"/>
        <v>0</v>
      </c>
      <c r="S66">
        <f t="shared" si="51"/>
        <v>0</v>
      </c>
      <c r="T66">
        <f t="shared" si="52"/>
        <v>0</v>
      </c>
      <c r="U66">
        <v>1</v>
      </c>
      <c r="V66">
        <f t="shared" si="53"/>
        <v>0</v>
      </c>
      <c r="X66">
        <f t="shared" si="54"/>
        <v>0</v>
      </c>
      <c r="Y66">
        <f t="shared" si="55"/>
        <v>0</v>
      </c>
      <c r="Z66">
        <v>1</v>
      </c>
      <c r="AA66">
        <f t="shared" si="56"/>
        <v>0</v>
      </c>
      <c r="AB66">
        <f t="shared" si="57"/>
        <v>0</v>
      </c>
      <c r="AC66">
        <f t="shared" si="58"/>
        <v>46046.845000000001</v>
      </c>
      <c r="AD66">
        <f t="shared" si="59"/>
        <v>2000.5</v>
      </c>
      <c r="AE66">
        <f t="shared" si="60"/>
        <v>1</v>
      </c>
      <c r="AF66">
        <f t="shared" si="61"/>
        <v>2010.5</v>
      </c>
      <c r="AG66">
        <f t="shared" si="62"/>
        <v>0</v>
      </c>
      <c r="AH66">
        <f t="shared" si="63"/>
        <v>-8.3333333333333329E-2</v>
      </c>
      <c r="AJ66">
        <f t="shared" si="64"/>
        <v>0</v>
      </c>
      <c r="AL66">
        <f t="shared" si="65"/>
        <v>0</v>
      </c>
      <c r="AN66">
        <f t="shared" si="66"/>
        <v>0</v>
      </c>
      <c r="AP66">
        <f t="shared" si="67"/>
        <v>0</v>
      </c>
      <c r="AR66">
        <f t="shared" si="68"/>
        <v>46046.845000000001</v>
      </c>
    </row>
    <row r="67" spans="3:44">
      <c r="C67" t="s">
        <v>219</v>
      </c>
      <c r="E67">
        <v>2000</v>
      </c>
      <c r="F67">
        <v>11</v>
      </c>
      <c r="G67">
        <v>0</v>
      </c>
      <c r="I67" t="s">
        <v>78</v>
      </c>
      <c r="J67">
        <v>5</v>
      </c>
      <c r="K67">
        <f t="shared" si="47"/>
        <v>2005</v>
      </c>
      <c r="N67">
        <v>2246.06</v>
      </c>
      <c r="O67">
        <v>0</v>
      </c>
      <c r="P67">
        <f t="shared" si="48"/>
        <v>2246.06</v>
      </c>
      <c r="Q67">
        <f t="shared" si="49"/>
        <v>37.434333333333335</v>
      </c>
      <c r="R67">
        <f t="shared" si="50"/>
        <v>0</v>
      </c>
      <c r="S67">
        <f t="shared" si="51"/>
        <v>0</v>
      </c>
      <c r="T67">
        <f t="shared" si="52"/>
        <v>0</v>
      </c>
      <c r="U67">
        <v>1</v>
      </c>
      <c r="V67">
        <f t="shared" si="53"/>
        <v>0</v>
      </c>
      <c r="X67">
        <f t="shared" si="54"/>
        <v>0</v>
      </c>
      <c r="Y67">
        <f t="shared" si="55"/>
        <v>0</v>
      </c>
      <c r="Z67">
        <v>1</v>
      </c>
      <c r="AA67">
        <f t="shared" si="56"/>
        <v>0</v>
      </c>
      <c r="AB67">
        <f t="shared" si="57"/>
        <v>0</v>
      </c>
      <c r="AC67">
        <f t="shared" si="58"/>
        <v>1123.03</v>
      </c>
      <c r="AD67">
        <f t="shared" si="59"/>
        <v>2000.8333333333333</v>
      </c>
      <c r="AE67">
        <f t="shared" si="60"/>
        <v>1</v>
      </c>
      <c r="AF67">
        <f t="shared" si="61"/>
        <v>2005.8333333333333</v>
      </c>
      <c r="AG67">
        <f t="shared" si="62"/>
        <v>0</v>
      </c>
      <c r="AH67">
        <f t="shared" si="63"/>
        <v>-8.3333333333333329E-2</v>
      </c>
      <c r="AJ67">
        <f t="shared" si="64"/>
        <v>0</v>
      </c>
      <c r="AL67">
        <f t="shared" si="65"/>
        <v>0</v>
      </c>
      <c r="AN67">
        <f t="shared" si="66"/>
        <v>0</v>
      </c>
      <c r="AP67">
        <f t="shared" si="67"/>
        <v>0</v>
      </c>
      <c r="AR67">
        <f t="shared" si="68"/>
        <v>1123.03</v>
      </c>
    </row>
    <row r="68" spans="3:44">
      <c r="C68" t="s">
        <v>192</v>
      </c>
      <c r="E68">
        <v>2000</v>
      </c>
      <c r="F68">
        <v>10</v>
      </c>
      <c r="G68">
        <v>0</v>
      </c>
      <c r="I68" t="s">
        <v>78</v>
      </c>
      <c r="J68">
        <v>5</v>
      </c>
      <c r="K68">
        <f t="shared" si="47"/>
        <v>2005</v>
      </c>
      <c r="N68">
        <v>2332.64</v>
      </c>
      <c r="O68">
        <v>0</v>
      </c>
      <c r="P68">
        <f t="shared" si="48"/>
        <v>2332.64</v>
      </c>
      <c r="Q68">
        <f t="shared" si="49"/>
        <v>38.877333333333333</v>
      </c>
      <c r="R68">
        <f t="shared" si="50"/>
        <v>0</v>
      </c>
      <c r="S68">
        <f t="shared" si="51"/>
        <v>0</v>
      </c>
      <c r="T68">
        <f t="shared" si="52"/>
        <v>0</v>
      </c>
      <c r="U68">
        <v>1</v>
      </c>
      <c r="V68">
        <f t="shared" si="53"/>
        <v>0</v>
      </c>
      <c r="X68">
        <f t="shared" si="54"/>
        <v>0</v>
      </c>
      <c r="Y68">
        <f t="shared" si="55"/>
        <v>0</v>
      </c>
      <c r="Z68">
        <v>1</v>
      </c>
      <c r="AA68">
        <f t="shared" si="56"/>
        <v>0</v>
      </c>
      <c r="AB68">
        <f t="shared" si="57"/>
        <v>0</v>
      </c>
      <c r="AC68">
        <f t="shared" si="58"/>
        <v>1166.32</v>
      </c>
      <c r="AD68">
        <f t="shared" si="59"/>
        <v>2000.75</v>
      </c>
      <c r="AE68">
        <f t="shared" si="60"/>
        <v>1</v>
      </c>
      <c r="AF68">
        <f t="shared" si="61"/>
        <v>2005.75</v>
      </c>
      <c r="AG68">
        <f t="shared" si="62"/>
        <v>0</v>
      </c>
      <c r="AH68">
        <f t="shared" si="63"/>
        <v>-8.3333333333333329E-2</v>
      </c>
      <c r="AJ68">
        <f t="shared" si="64"/>
        <v>0</v>
      </c>
      <c r="AL68">
        <f t="shared" si="65"/>
        <v>0</v>
      </c>
      <c r="AN68">
        <f t="shared" si="66"/>
        <v>0</v>
      </c>
      <c r="AP68">
        <f t="shared" si="67"/>
        <v>0</v>
      </c>
      <c r="AR68">
        <f t="shared" si="68"/>
        <v>1166.32</v>
      </c>
    </row>
    <row r="69" spans="3:44">
      <c r="C69" t="s">
        <v>112</v>
      </c>
      <c r="E69">
        <v>2000</v>
      </c>
      <c r="F69">
        <v>8</v>
      </c>
      <c r="G69">
        <v>0</v>
      </c>
      <c r="I69" t="s">
        <v>78</v>
      </c>
      <c r="J69">
        <v>5</v>
      </c>
      <c r="K69">
        <f t="shared" si="47"/>
        <v>2005</v>
      </c>
      <c r="N69">
        <v>8228.75</v>
      </c>
      <c r="O69">
        <v>0</v>
      </c>
      <c r="P69">
        <f t="shared" si="48"/>
        <v>8228.75</v>
      </c>
      <c r="Q69">
        <f t="shared" si="49"/>
        <v>137.14583333333334</v>
      </c>
      <c r="R69">
        <f t="shared" si="50"/>
        <v>0</v>
      </c>
      <c r="S69">
        <f t="shared" si="51"/>
        <v>0</v>
      </c>
      <c r="T69">
        <f t="shared" si="52"/>
        <v>0</v>
      </c>
      <c r="U69">
        <v>1</v>
      </c>
      <c r="V69">
        <f t="shared" si="53"/>
        <v>0</v>
      </c>
      <c r="X69">
        <f t="shared" si="54"/>
        <v>0</v>
      </c>
      <c r="Y69">
        <f t="shared" si="55"/>
        <v>0</v>
      </c>
      <c r="Z69">
        <v>1</v>
      </c>
      <c r="AA69">
        <f t="shared" si="56"/>
        <v>0</v>
      </c>
      <c r="AB69">
        <f t="shared" si="57"/>
        <v>0</v>
      </c>
      <c r="AC69">
        <f t="shared" si="58"/>
        <v>4114.375</v>
      </c>
      <c r="AD69">
        <f t="shared" si="59"/>
        <v>2000.5833333333333</v>
      </c>
      <c r="AE69">
        <f t="shared" si="60"/>
        <v>1</v>
      </c>
      <c r="AF69">
        <f t="shared" si="61"/>
        <v>2005.5833333333333</v>
      </c>
      <c r="AG69">
        <f t="shared" si="62"/>
        <v>0</v>
      </c>
      <c r="AH69">
        <f t="shared" si="63"/>
        <v>-8.3333333333333329E-2</v>
      </c>
      <c r="AJ69">
        <f t="shared" si="64"/>
        <v>0</v>
      </c>
      <c r="AL69">
        <f t="shared" si="65"/>
        <v>0</v>
      </c>
      <c r="AN69">
        <f t="shared" si="66"/>
        <v>0</v>
      </c>
      <c r="AP69">
        <f t="shared" si="67"/>
        <v>0</v>
      </c>
      <c r="AR69">
        <f t="shared" si="68"/>
        <v>4114.375</v>
      </c>
    </row>
    <row r="70" spans="3:44">
      <c r="C70" t="s">
        <v>125</v>
      </c>
      <c r="E70">
        <v>2001</v>
      </c>
      <c r="F70">
        <v>2</v>
      </c>
      <c r="G70">
        <v>0</v>
      </c>
      <c r="I70" t="s">
        <v>78</v>
      </c>
      <c r="J70" t="s">
        <v>11</v>
      </c>
      <c r="K70">
        <f t="shared" si="47"/>
        <v>2008</v>
      </c>
      <c r="N70">
        <v>152358.79999999999</v>
      </c>
      <c r="O70">
        <v>0</v>
      </c>
      <c r="P70">
        <f t="shared" si="48"/>
        <v>152358.79999999999</v>
      </c>
      <c r="Q70">
        <f t="shared" si="49"/>
        <v>1813.7952380952381</v>
      </c>
      <c r="R70">
        <f t="shared" si="50"/>
        <v>0</v>
      </c>
      <c r="S70">
        <f t="shared" si="51"/>
        <v>0</v>
      </c>
      <c r="T70">
        <f t="shared" si="52"/>
        <v>0</v>
      </c>
      <c r="U70">
        <v>1</v>
      </c>
      <c r="V70">
        <f t="shared" si="53"/>
        <v>0</v>
      </c>
      <c r="X70">
        <f t="shared" si="54"/>
        <v>0</v>
      </c>
      <c r="Y70">
        <f t="shared" si="55"/>
        <v>0</v>
      </c>
      <c r="Z70">
        <v>1</v>
      </c>
      <c r="AA70">
        <f t="shared" si="56"/>
        <v>0</v>
      </c>
      <c r="AB70">
        <f t="shared" si="57"/>
        <v>0</v>
      </c>
      <c r="AC70">
        <f t="shared" si="58"/>
        <v>76179.399999999994</v>
      </c>
      <c r="AD70">
        <f t="shared" si="59"/>
        <v>2001.0833333333333</v>
      </c>
      <c r="AE70">
        <f t="shared" si="60"/>
        <v>1</v>
      </c>
      <c r="AF70">
        <f t="shared" si="61"/>
        <v>2008.0833333333333</v>
      </c>
      <c r="AG70">
        <f t="shared" si="62"/>
        <v>0</v>
      </c>
      <c r="AH70">
        <f t="shared" si="63"/>
        <v>-8.3333333333333329E-2</v>
      </c>
      <c r="AJ70">
        <f t="shared" si="64"/>
        <v>0</v>
      </c>
      <c r="AL70">
        <f t="shared" si="65"/>
        <v>0</v>
      </c>
      <c r="AN70">
        <f t="shared" si="66"/>
        <v>0</v>
      </c>
      <c r="AP70">
        <f t="shared" si="67"/>
        <v>0</v>
      </c>
      <c r="AR70">
        <f t="shared" si="68"/>
        <v>76179.399999999994</v>
      </c>
    </row>
    <row r="71" spans="3:44">
      <c r="C71" t="s">
        <v>127</v>
      </c>
      <c r="E71">
        <v>2001</v>
      </c>
      <c r="F71">
        <v>12</v>
      </c>
      <c r="G71">
        <v>0</v>
      </c>
      <c r="I71" t="s">
        <v>78</v>
      </c>
      <c r="J71">
        <v>5</v>
      </c>
      <c r="K71">
        <f t="shared" si="47"/>
        <v>2006</v>
      </c>
      <c r="N71">
        <v>2246.4</v>
      </c>
      <c r="O71">
        <v>0</v>
      </c>
      <c r="P71">
        <f t="shared" si="48"/>
        <v>2246.4</v>
      </c>
      <c r="Q71">
        <f t="shared" si="49"/>
        <v>37.440000000000005</v>
      </c>
      <c r="R71">
        <f t="shared" si="50"/>
        <v>0</v>
      </c>
      <c r="S71">
        <f t="shared" si="51"/>
        <v>0</v>
      </c>
      <c r="T71">
        <f t="shared" si="52"/>
        <v>0</v>
      </c>
      <c r="U71">
        <v>1</v>
      </c>
      <c r="V71">
        <f t="shared" si="53"/>
        <v>0</v>
      </c>
      <c r="X71">
        <f t="shared" si="54"/>
        <v>0</v>
      </c>
      <c r="Y71">
        <f t="shared" si="55"/>
        <v>0</v>
      </c>
      <c r="Z71">
        <v>1</v>
      </c>
      <c r="AA71">
        <f t="shared" si="56"/>
        <v>0</v>
      </c>
      <c r="AB71">
        <f t="shared" si="57"/>
        <v>0</v>
      </c>
      <c r="AC71">
        <f t="shared" si="58"/>
        <v>1123.2</v>
      </c>
      <c r="AD71">
        <f t="shared" si="59"/>
        <v>2001.9166666666667</v>
      </c>
      <c r="AE71">
        <f t="shared" si="60"/>
        <v>1</v>
      </c>
      <c r="AF71">
        <f t="shared" si="61"/>
        <v>2006.9166666666667</v>
      </c>
      <c r="AG71">
        <f t="shared" si="62"/>
        <v>0</v>
      </c>
      <c r="AH71">
        <f t="shared" si="63"/>
        <v>-8.3333333333333329E-2</v>
      </c>
      <c r="AJ71">
        <f t="shared" si="64"/>
        <v>0</v>
      </c>
      <c r="AL71">
        <f t="shared" si="65"/>
        <v>0</v>
      </c>
      <c r="AN71">
        <f t="shared" si="66"/>
        <v>0</v>
      </c>
      <c r="AP71">
        <f t="shared" si="67"/>
        <v>0</v>
      </c>
      <c r="AR71">
        <f t="shared" si="68"/>
        <v>1123.2</v>
      </c>
    </row>
    <row r="72" spans="3:44">
      <c r="C72" t="s">
        <v>126</v>
      </c>
      <c r="E72">
        <v>2001</v>
      </c>
      <c r="F72">
        <v>12</v>
      </c>
      <c r="G72">
        <v>0</v>
      </c>
      <c r="I72" t="s">
        <v>78</v>
      </c>
      <c r="J72">
        <v>5</v>
      </c>
      <c r="K72">
        <f t="shared" si="47"/>
        <v>2006</v>
      </c>
      <c r="N72">
        <v>1938.6</v>
      </c>
      <c r="O72">
        <v>0</v>
      </c>
      <c r="P72">
        <f t="shared" si="48"/>
        <v>1938.6</v>
      </c>
      <c r="Q72">
        <f t="shared" si="49"/>
        <v>32.309999999999995</v>
      </c>
      <c r="R72">
        <f t="shared" si="50"/>
        <v>0</v>
      </c>
      <c r="S72">
        <f t="shared" si="51"/>
        <v>0</v>
      </c>
      <c r="T72">
        <f t="shared" si="52"/>
        <v>0</v>
      </c>
      <c r="U72">
        <v>1</v>
      </c>
      <c r="V72">
        <f t="shared" si="53"/>
        <v>0</v>
      </c>
      <c r="X72">
        <f t="shared" si="54"/>
        <v>0</v>
      </c>
      <c r="Y72">
        <f t="shared" si="55"/>
        <v>0</v>
      </c>
      <c r="Z72">
        <v>1</v>
      </c>
      <c r="AA72">
        <f t="shared" si="56"/>
        <v>0</v>
      </c>
      <c r="AB72">
        <f t="shared" si="57"/>
        <v>0</v>
      </c>
      <c r="AC72">
        <f t="shared" si="58"/>
        <v>969.3</v>
      </c>
      <c r="AD72">
        <f t="shared" si="59"/>
        <v>2001.9166666666667</v>
      </c>
      <c r="AE72">
        <f t="shared" si="60"/>
        <v>1</v>
      </c>
      <c r="AF72">
        <f t="shared" si="61"/>
        <v>2006.9166666666667</v>
      </c>
      <c r="AG72">
        <f t="shared" si="62"/>
        <v>0</v>
      </c>
      <c r="AH72">
        <f t="shared" si="63"/>
        <v>-8.3333333333333329E-2</v>
      </c>
      <c r="AJ72">
        <f t="shared" si="64"/>
        <v>0</v>
      </c>
      <c r="AL72">
        <f t="shared" si="65"/>
        <v>0</v>
      </c>
      <c r="AN72">
        <f t="shared" si="66"/>
        <v>0</v>
      </c>
      <c r="AP72">
        <f t="shared" si="67"/>
        <v>0</v>
      </c>
      <c r="AR72">
        <f t="shared" si="68"/>
        <v>969.3</v>
      </c>
    </row>
    <row r="73" spans="3:44">
      <c r="C73" t="s">
        <v>106</v>
      </c>
      <c r="E73">
        <v>2001</v>
      </c>
      <c r="F73">
        <v>11</v>
      </c>
      <c r="G73">
        <v>0</v>
      </c>
      <c r="I73" t="s">
        <v>78</v>
      </c>
      <c r="J73">
        <v>5</v>
      </c>
      <c r="K73">
        <f t="shared" si="47"/>
        <v>2006</v>
      </c>
      <c r="N73">
        <v>2079</v>
      </c>
      <c r="O73">
        <v>0</v>
      </c>
      <c r="P73">
        <f t="shared" si="48"/>
        <v>2079</v>
      </c>
      <c r="Q73">
        <f t="shared" si="49"/>
        <v>34.65</v>
      </c>
      <c r="R73">
        <f t="shared" si="50"/>
        <v>0</v>
      </c>
      <c r="S73">
        <f t="shared" si="51"/>
        <v>0</v>
      </c>
      <c r="T73">
        <f t="shared" si="52"/>
        <v>0</v>
      </c>
      <c r="U73">
        <v>1</v>
      </c>
      <c r="V73">
        <f t="shared" si="53"/>
        <v>0</v>
      </c>
      <c r="X73">
        <f t="shared" si="54"/>
        <v>0</v>
      </c>
      <c r="Y73">
        <f t="shared" si="55"/>
        <v>0</v>
      </c>
      <c r="Z73">
        <v>1</v>
      </c>
      <c r="AA73">
        <f t="shared" si="56"/>
        <v>0</v>
      </c>
      <c r="AB73">
        <f t="shared" si="57"/>
        <v>0</v>
      </c>
      <c r="AC73">
        <f t="shared" si="58"/>
        <v>1039.5</v>
      </c>
      <c r="AD73">
        <f t="shared" si="59"/>
        <v>2001.8333333333333</v>
      </c>
      <c r="AE73">
        <f t="shared" si="60"/>
        <v>1</v>
      </c>
      <c r="AF73">
        <f t="shared" si="61"/>
        <v>2006.8333333333333</v>
      </c>
      <c r="AG73">
        <f t="shared" si="62"/>
        <v>0</v>
      </c>
      <c r="AH73">
        <f t="shared" si="63"/>
        <v>-8.3333333333333329E-2</v>
      </c>
      <c r="AJ73">
        <f t="shared" si="64"/>
        <v>0</v>
      </c>
      <c r="AL73">
        <f t="shared" si="65"/>
        <v>0</v>
      </c>
      <c r="AN73">
        <f t="shared" si="66"/>
        <v>0</v>
      </c>
      <c r="AP73">
        <f t="shared" si="67"/>
        <v>0</v>
      </c>
      <c r="AR73">
        <f t="shared" si="68"/>
        <v>1039.5</v>
      </c>
    </row>
    <row r="74" spans="3:44">
      <c r="C74" t="s">
        <v>124</v>
      </c>
      <c r="E74">
        <v>2001</v>
      </c>
      <c r="F74">
        <v>2</v>
      </c>
      <c r="G74">
        <v>0</v>
      </c>
      <c r="I74" t="s">
        <v>78</v>
      </c>
      <c r="J74">
        <v>5</v>
      </c>
      <c r="K74">
        <f t="shared" si="47"/>
        <v>2006</v>
      </c>
      <c r="N74">
        <v>4266</v>
      </c>
      <c r="O74">
        <v>0</v>
      </c>
      <c r="P74">
        <f t="shared" si="48"/>
        <v>4266</v>
      </c>
      <c r="Q74">
        <f t="shared" si="49"/>
        <v>71.100000000000009</v>
      </c>
      <c r="R74">
        <f t="shared" si="50"/>
        <v>0</v>
      </c>
      <c r="S74">
        <f t="shared" si="51"/>
        <v>0</v>
      </c>
      <c r="T74">
        <f t="shared" si="52"/>
        <v>0</v>
      </c>
      <c r="U74">
        <v>1</v>
      </c>
      <c r="V74">
        <f t="shared" si="53"/>
        <v>0</v>
      </c>
      <c r="X74">
        <f t="shared" si="54"/>
        <v>0</v>
      </c>
      <c r="Y74">
        <f t="shared" si="55"/>
        <v>0</v>
      </c>
      <c r="Z74">
        <v>1</v>
      </c>
      <c r="AA74">
        <f t="shared" si="56"/>
        <v>0</v>
      </c>
      <c r="AB74">
        <f t="shared" si="57"/>
        <v>0</v>
      </c>
      <c r="AC74">
        <f t="shared" si="58"/>
        <v>2133</v>
      </c>
      <c r="AD74">
        <f t="shared" si="59"/>
        <v>2001.0833333333333</v>
      </c>
      <c r="AE74">
        <f t="shared" si="60"/>
        <v>1</v>
      </c>
      <c r="AF74">
        <f t="shared" si="61"/>
        <v>2006.0833333333333</v>
      </c>
      <c r="AG74">
        <f t="shared" si="62"/>
        <v>0</v>
      </c>
      <c r="AH74">
        <f t="shared" si="63"/>
        <v>-8.3333333333333329E-2</v>
      </c>
      <c r="AJ74">
        <f t="shared" si="64"/>
        <v>0</v>
      </c>
      <c r="AL74">
        <f t="shared" si="65"/>
        <v>0</v>
      </c>
      <c r="AN74">
        <f t="shared" si="66"/>
        <v>0</v>
      </c>
      <c r="AP74">
        <f t="shared" si="67"/>
        <v>0</v>
      </c>
      <c r="AR74">
        <f t="shared" si="68"/>
        <v>2133</v>
      </c>
    </row>
    <row r="75" spans="3:44">
      <c r="C75" t="s">
        <v>128</v>
      </c>
      <c r="E75">
        <v>2003</v>
      </c>
      <c r="F75">
        <v>1</v>
      </c>
      <c r="G75">
        <v>0</v>
      </c>
      <c r="I75" t="s">
        <v>78</v>
      </c>
      <c r="J75" t="s">
        <v>9</v>
      </c>
      <c r="K75">
        <f t="shared" si="47"/>
        <v>2013</v>
      </c>
      <c r="N75">
        <v>96517.97</v>
      </c>
      <c r="O75">
        <v>0</v>
      </c>
      <c r="P75">
        <f t="shared" si="48"/>
        <v>96517.97</v>
      </c>
      <c r="Q75">
        <f t="shared" si="49"/>
        <v>804.31641666666667</v>
      </c>
      <c r="R75">
        <f t="shared" si="50"/>
        <v>0</v>
      </c>
      <c r="S75">
        <f t="shared" si="51"/>
        <v>0</v>
      </c>
      <c r="T75">
        <f t="shared" si="52"/>
        <v>0</v>
      </c>
      <c r="U75">
        <v>1</v>
      </c>
      <c r="V75">
        <f t="shared" si="53"/>
        <v>0</v>
      </c>
      <c r="X75">
        <f t="shared" si="54"/>
        <v>0</v>
      </c>
      <c r="Y75">
        <f t="shared" si="55"/>
        <v>0</v>
      </c>
      <c r="Z75">
        <v>1</v>
      </c>
      <c r="AA75">
        <f t="shared" si="56"/>
        <v>0</v>
      </c>
      <c r="AB75">
        <f t="shared" si="57"/>
        <v>0</v>
      </c>
      <c r="AC75">
        <f t="shared" si="58"/>
        <v>48258.985000000001</v>
      </c>
      <c r="AD75">
        <f t="shared" si="59"/>
        <v>2003</v>
      </c>
      <c r="AE75">
        <f t="shared" si="60"/>
        <v>1</v>
      </c>
      <c r="AF75">
        <f t="shared" si="61"/>
        <v>2013</v>
      </c>
      <c r="AG75">
        <f t="shared" si="62"/>
        <v>0</v>
      </c>
      <c r="AH75">
        <f t="shared" si="63"/>
        <v>-8.3333333333333329E-2</v>
      </c>
      <c r="AJ75">
        <f t="shared" si="64"/>
        <v>0</v>
      </c>
      <c r="AL75">
        <f t="shared" si="65"/>
        <v>0</v>
      </c>
      <c r="AN75">
        <f t="shared" si="66"/>
        <v>0</v>
      </c>
      <c r="AP75">
        <f t="shared" si="67"/>
        <v>0</v>
      </c>
      <c r="AR75">
        <f t="shared" si="68"/>
        <v>48258.985000000001</v>
      </c>
    </row>
    <row r="76" spans="3:44">
      <c r="C76" t="s">
        <v>130</v>
      </c>
      <c r="E76">
        <v>2003</v>
      </c>
      <c r="F76">
        <v>4</v>
      </c>
      <c r="G76">
        <v>0</v>
      </c>
      <c r="I76" t="s">
        <v>78</v>
      </c>
      <c r="J76">
        <v>5</v>
      </c>
      <c r="K76">
        <f t="shared" si="47"/>
        <v>2008</v>
      </c>
      <c r="N76">
        <v>1513.26</v>
      </c>
      <c r="O76">
        <v>0</v>
      </c>
      <c r="P76">
        <f t="shared" si="48"/>
        <v>1513.26</v>
      </c>
      <c r="Q76">
        <f t="shared" si="49"/>
        <v>25.221</v>
      </c>
      <c r="R76">
        <f t="shared" si="50"/>
        <v>0</v>
      </c>
      <c r="S76">
        <f t="shared" si="51"/>
        <v>0</v>
      </c>
      <c r="T76">
        <f t="shared" si="52"/>
        <v>0</v>
      </c>
      <c r="U76">
        <v>1</v>
      </c>
      <c r="V76">
        <f t="shared" si="53"/>
        <v>0</v>
      </c>
      <c r="X76">
        <f t="shared" si="54"/>
        <v>0</v>
      </c>
      <c r="Y76">
        <f t="shared" si="55"/>
        <v>0</v>
      </c>
      <c r="Z76">
        <v>1</v>
      </c>
      <c r="AA76">
        <f t="shared" si="56"/>
        <v>0</v>
      </c>
      <c r="AB76">
        <f t="shared" si="57"/>
        <v>0</v>
      </c>
      <c r="AC76">
        <f t="shared" si="58"/>
        <v>756.63</v>
      </c>
      <c r="AD76">
        <f t="shared" si="59"/>
        <v>2003.25</v>
      </c>
      <c r="AE76">
        <f t="shared" si="60"/>
        <v>1</v>
      </c>
      <c r="AF76">
        <f t="shared" si="61"/>
        <v>2008.25</v>
      </c>
      <c r="AG76">
        <f t="shared" si="62"/>
        <v>0</v>
      </c>
      <c r="AH76">
        <f t="shared" si="63"/>
        <v>-8.3333333333333329E-2</v>
      </c>
      <c r="AJ76">
        <f t="shared" si="64"/>
        <v>0</v>
      </c>
      <c r="AL76">
        <f t="shared" si="65"/>
        <v>0</v>
      </c>
      <c r="AN76">
        <f t="shared" si="66"/>
        <v>0</v>
      </c>
      <c r="AP76">
        <f t="shared" si="67"/>
        <v>0</v>
      </c>
      <c r="AR76">
        <f t="shared" si="68"/>
        <v>756.63</v>
      </c>
    </row>
    <row r="77" spans="3:44">
      <c r="C77" t="s">
        <v>129</v>
      </c>
      <c r="E77">
        <v>2003</v>
      </c>
      <c r="F77">
        <v>2</v>
      </c>
      <c r="G77">
        <v>0</v>
      </c>
      <c r="I77" t="s">
        <v>78</v>
      </c>
      <c r="J77">
        <v>5</v>
      </c>
      <c r="K77">
        <f t="shared" si="47"/>
        <v>2008</v>
      </c>
      <c r="N77">
        <v>3468.8</v>
      </c>
      <c r="O77">
        <v>0</v>
      </c>
      <c r="P77">
        <f t="shared" si="48"/>
        <v>3468.8</v>
      </c>
      <c r="Q77">
        <f t="shared" si="49"/>
        <v>57.813333333333333</v>
      </c>
      <c r="R77">
        <f t="shared" si="50"/>
        <v>0</v>
      </c>
      <c r="S77">
        <f t="shared" si="51"/>
        <v>0</v>
      </c>
      <c r="T77">
        <f t="shared" si="52"/>
        <v>0</v>
      </c>
      <c r="U77">
        <v>1</v>
      </c>
      <c r="V77">
        <f t="shared" si="53"/>
        <v>0</v>
      </c>
      <c r="X77">
        <f t="shared" si="54"/>
        <v>0</v>
      </c>
      <c r="Y77">
        <f t="shared" si="55"/>
        <v>0</v>
      </c>
      <c r="Z77">
        <v>1</v>
      </c>
      <c r="AA77">
        <f t="shared" si="56"/>
        <v>0</v>
      </c>
      <c r="AB77">
        <f t="shared" si="57"/>
        <v>0</v>
      </c>
      <c r="AC77">
        <f t="shared" si="58"/>
        <v>1734.4</v>
      </c>
      <c r="AD77">
        <f t="shared" si="59"/>
        <v>2003.0833333333333</v>
      </c>
      <c r="AE77">
        <f t="shared" si="60"/>
        <v>1</v>
      </c>
      <c r="AF77">
        <f t="shared" si="61"/>
        <v>2008.0833333333333</v>
      </c>
      <c r="AG77">
        <f t="shared" si="62"/>
        <v>0</v>
      </c>
      <c r="AH77">
        <f t="shared" si="63"/>
        <v>-8.3333333333333329E-2</v>
      </c>
      <c r="AJ77">
        <f t="shared" si="64"/>
        <v>0</v>
      </c>
      <c r="AL77">
        <f t="shared" si="65"/>
        <v>0</v>
      </c>
      <c r="AN77">
        <f t="shared" si="66"/>
        <v>0</v>
      </c>
      <c r="AP77">
        <f t="shared" si="67"/>
        <v>0</v>
      </c>
      <c r="AR77">
        <f t="shared" si="68"/>
        <v>1734.4</v>
      </c>
    </row>
    <row r="78" spans="3:44">
      <c r="C78" t="s">
        <v>20</v>
      </c>
      <c r="E78">
        <v>2004</v>
      </c>
      <c r="F78">
        <v>5</v>
      </c>
      <c r="G78">
        <v>0</v>
      </c>
      <c r="I78" t="s">
        <v>78</v>
      </c>
      <c r="J78">
        <v>5</v>
      </c>
      <c r="K78">
        <f t="shared" si="47"/>
        <v>2009</v>
      </c>
      <c r="N78">
        <v>2174.9</v>
      </c>
      <c r="O78">
        <v>0</v>
      </c>
      <c r="P78">
        <f t="shared" si="48"/>
        <v>2174.9</v>
      </c>
      <c r="Q78">
        <f t="shared" si="49"/>
        <v>36.248333333333335</v>
      </c>
      <c r="R78">
        <f t="shared" si="50"/>
        <v>0</v>
      </c>
      <c r="S78">
        <f t="shared" si="51"/>
        <v>0</v>
      </c>
      <c r="T78">
        <f t="shared" si="52"/>
        <v>0</v>
      </c>
      <c r="U78">
        <v>1</v>
      </c>
      <c r="V78">
        <f t="shared" si="53"/>
        <v>0</v>
      </c>
      <c r="X78">
        <f t="shared" si="54"/>
        <v>0</v>
      </c>
      <c r="Y78">
        <f t="shared" si="55"/>
        <v>0</v>
      </c>
      <c r="Z78">
        <v>1</v>
      </c>
      <c r="AA78">
        <f t="shared" si="56"/>
        <v>0</v>
      </c>
      <c r="AB78">
        <f t="shared" si="57"/>
        <v>0</v>
      </c>
      <c r="AC78">
        <f t="shared" si="58"/>
        <v>1087.45</v>
      </c>
      <c r="AD78">
        <f t="shared" si="59"/>
        <v>2004.3333333333333</v>
      </c>
      <c r="AE78">
        <f t="shared" si="60"/>
        <v>1</v>
      </c>
      <c r="AF78">
        <f t="shared" si="61"/>
        <v>2009.3333333333333</v>
      </c>
      <c r="AG78">
        <f t="shared" si="62"/>
        <v>0</v>
      </c>
      <c r="AH78">
        <f t="shared" si="63"/>
        <v>-8.3333333333333329E-2</v>
      </c>
      <c r="AJ78">
        <f t="shared" si="64"/>
        <v>0</v>
      </c>
      <c r="AL78">
        <f t="shared" si="65"/>
        <v>0</v>
      </c>
      <c r="AN78">
        <f t="shared" si="66"/>
        <v>0</v>
      </c>
      <c r="AP78">
        <f t="shared" si="67"/>
        <v>0</v>
      </c>
      <c r="AR78">
        <f t="shared" si="68"/>
        <v>1087.45</v>
      </c>
    </row>
    <row r="79" spans="3:44">
      <c r="C79" t="s">
        <v>131</v>
      </c>
      <c r="E79">
        <v>2004</v>
      </c>
      <c r="F79">
        <v>3</v>
      </c>
      <c r="G79">
        <v>0</v>
      </c>
      <c r="I79" t="s">
        <v>78</v>
      </c>
      <c r="J79">
        <v>5</v>
      </c>
      <c r="K79">
        <f t="shared" si="47"/>
        <v>2009</v>
      </c>
      <c r="N79">
        <v>7050.34</v>
      </c>
      <c r="O79">
        <v>0</v>
      </c>
      <c r="P79">
        <f t="shared" si="48"/>
        <v>7050.34</v>
      </c>
      <c r="Q79">
        <f t="shared" si="49"/>
        <v>117.50566666666667</v>
      </c>
      <c r="R79">
        <f t="shared" si="50"/>
        <v>0</v>
      </c>
      <c r="S79">
        <f t="shared" si="51"/>
        <v>0</v>
      </c>
      <c r="T79">
        <f t="shared" si="52"/>
        <v>0</v>
      </c>
      <c r="U79">
        <v>1</v>
      </c>
      <c r="V79">
        <f t="shared" si="53"/>
        <v>0</v>
      </c>
      <c r="X79">
        <f t="shared" si="54"/>
        <v>0</v>
      </c>
      <c r="Y79">
        <f t="shared" si="55"/>
        <v>0</v>
      </c>
      <c r="Z79">
        <v>1</v>
      </c>
      <c r="AA79">
        <f t="shared" si="56"/>
        <v>0</v>
      </c>
      <c r="AB79">
        <f t="shared" si="57"/>
        <v>0</v>
      </c>
      <c r="AC79">
        <f t="shared" si="58"/>
        <v>3525.17</v>
      </c>
      <c r="AD79">
        <f t="shared" si="59"/>
        <v>2004.1666666666667</v>
      </c>
      <c r="AE79">
        <f t="shared" si="60"/>
        <v>1</v>
      </c>
      <c r="AF79">
        <f t="shared" si="61"/>
        <v>2009.1666666666667</v>
      </c>
      <c r="AG79">
        <f t="shared" si="62"/>
        <v>0</v>
      </c>
      <c r="AH79">
        <f t="shared" si="63"/>
        <v>-8.3333333333333329E-2</v>
      </c>
      <c r="AJ79">
        <f t="shared" si="64"/>
        <v>0</v>
      </c>
      <c r="AL79">
        <f t="shared" si="65"/>
        <v>0</v>
      </c>
      <c r="AN79">
        <f t="shared" si="66"/>
        <v>0</v>
      </c>
      <c r="AP79">
        <f t="shared" si="67"/>
        <v>0</v>
      </c>
      <c r="AR79">
        <f t="shared" si="68"/>
        <v>3525.17</v>
      </c>
    </row>
    <row r="80" spans="3:44">
      <c r="C80" t="s">
        <v>131</v>
      </c>
      <c r="E80">
        <v>2004</v>
      </c>
      <c r="F80">
        <v>2</v>
      </c>
      <c r="G80">
        <v>0</v>
      </c>
      <c r="I80" t="s">
        <v>78</v>
      </c>
      <c r="J80">
        <v>5</v>
      </c>
      <c r="K80">
        <f t="shared" si="47"/>
        <v>2009</v>
      </c>
      <c r="N80">
        <v>2541.98</v>
      </c>
      <c r="O80">
        <v>0</v>
      </c>
      <c r="P80">
        <f t="shared" si="48"/>
        <v>2541.98</v>
      </c>
      <c r="Q80">
        <f t="shared" si="49"/>
        <v>42.366333333333337</v>
      </c>
      <c r="R80">
        <f t="shared" si="50"/>
        <v>0</v>
      </c>
      <c r="S80">
        <f t="shared" si="51"/>
        <v>0</v>
      </c>
      <c r="T80">
        <f t="shared" si="52"/>
        <v>0</v>
      </c>
      <c r="U80">
        <v>1</v>
      </c>
      <c r="V80">
        <f t="shared" si="53"/>
        <v>0</v>
      </c>
      <c r="X80">
        <f t="shared" si="54"/>
        <v>0</v>
      </c>
      <c r="Y80">
        <f t="shared" si="55"/>
        <v>0</v>
      </c>
      <c r="Z80">
        <v>1</v>
      </c>
      <c r="AA80">
        <f t="shared" si="56"/>
        <v>0</v>
      </c>
      <c r="AB80">
        <f t="shared" si="57"/>
        <v>0</v>
      </c>
      <c r="AC80">
        <f t="shared" si="58"/>
        <v>1270.99</v>
      </c>
      <c r="AD80">
        <f t="shared" si="59"/>
        <v>2004.0833333333333</v>
      </c>
      <c r="AE80">
        <f t="shared" si="60"/>
        <v>1</v>
      </c>
      <c r="AF80">
        <f t="shared" si="61"/>
        <v>2009.0833333333333</v>
      </c>
      <c r="AG80">
        <f t="shared" si="62"/>
        <v>0</v>
      </c>
      <c r="AH80">
        <f t="shared" si="63"/>
        <v>-8.3333333333333329E-2</v>
      </c>
      <c r="AJ80">
        <f t="shared" si="64"/>
        <v>0</v>
      </c>
      <c r="AL80">
        <f t="shared" si="65"/>
        <v>0</v>
      </c>
      <c r="AN80">
        <f t="shared" si="66"/>
        <v>0</v>
      </c>
      <c r="AP80">
        <f t="shared" si="67"/>
        <v>0</v>
      </c>
      <c r="AR80">
        <f t="shared" si="68"/>
        <v>1270.99</v>
      </c>
    </row>
    <row r="81" spans="1:44">
      <c r="C81" t="s">
        <v>356</v>
      </c>
      <c r="E81">
        <v>2006</v>
      </c>
      <c r="F81">
        <v>11</v>
      </c>
      <c r="G81">
        <v>0</v>
      </c>
      <c r="I81" t="s">
        <v>78</v>
      </c>
      <c r="J81">
        <v>5</v>
      </c>
      <c r="K81">
        <f t="shared" si="47"/>
        <v>2011</v>
      </c>
      <c r="N81">
        <v>1955.81</v>
      </c>
      <c r="O81">
        <v>0</v>
      </c>
      <c r="P81">
        <f t="shared" si="48"/>
        <v>1955.81</v>
      </c>
      <c r="Q81">
        <f t="shared" si="49"/>
        <v>32.596833333333329</v>
      </c>
      <c r="R81">
        <f t="shared" si="50"/>
        <v>0</v>
      </c>
      <c r="S81">
        <f t="shared" si="51"/>
        <v>0</v>
      </c>
      <c r="T81">
        <f t="shared" si="52"/>
        <v>0</v>
      </c>
      <c r="U81">
        <v>1</v>
      </c>
      <c r="V81">
        <f t="shared" si="53"/>
        <v>0</v>
      </c>
      <c r="X81">
        <f t="shared" si="54"/>
        <v>0</v>
      </c>
      <c r="Y81">
        <f t="shared" si="55"/>
        <v>0</v>
      </c>
      <c r="Z81">
        <v>1</v>
      </c>
      <c r="AA81">
        <f t="shared" si="56"/>
        <v>0</v>
      </c>
      <c r="AB81">
        <f t="shared" si="57"/>
        <v>0</v>
      </c>
      <c r="AC81">
        <f t="shared" si="58"/>
        <v>977.90499999999997</v>
      </c>
      <c r="AD81">
        <f t="shared" si="59"/>
        <v>2006.8333333333333</v>
      </c>
      <c r="AE81">
        <f t="shared" si="60"/>
        <v>1</v>
      </c>
      <c r="AF81">
        <f t="shared" si="61"/>
        <v>2011.8333333333333</v>
      </c>
      <c r="AG81">
        <f t="shared" si="62"/>
        <v>0</v>
      </c>
      <c r="AH81">
        <f t="shared" si="63"/>
        <v>-8.3333333333333329E-2</v>
      </c>
      <c r="AJ81">
        <f t="shared" si="64"/>
        <v>0</v>
      </c>
      <c r="AL81">
        <f t="shared" si="65"/>
        <v>0</v>
      </c>
      <c r="AN81">
        <f t="shared" si="66"/>
        <v>0</v>
      </c>
      <c r="AP81">
        <f t="shared" si="67"/>
        <v>0</v>
      </c>
      <c r="AR81">
        <f t="shared" si="68"/>
        <v>977.90499999999997</v>
      </c>
    </row>
    <row r="82" spans="1:44">
      <c r="C82" t="s">
        <v>105</v>
      </c>
      <c r="E82">
        <v>2006</v>
      </c>
      <c r="F82">
        <v>6</v>
      </c>
      <c r="G82">
        <v>0</v>
      </c>
      <c r="I82" t="s">
        <v>78</v>
      </c>
      <c r="J82">
        <v>5</v>
      </c>
      <c r="K82">
        <f t="shared" si="47"/>
        <v>2011</v>
      </c>
      <c r="N82">
        <v>3059.68</v>
      </c>
      <c r="O82">
        <v>0</v>
      </c>
      <c r="P82">
        <f t="shared" si="48"/>
        <v>3059.68</v>
      </c>
      <c r="Q82">
        <f t="shared" si="49"/>
        <v>50.99466666666666</v>
      </c>
      <c r="R82">
        <f t="shared" si="50"/>
        <v>0</v>
      </c>
      <c r="S82">
        <f t="shared" si="51"/>
        <v>0</v>
      </c>
      <c r="T82">
        <f t="shared" si="52"/>
        <v>0</v>
      </c>
      <c r="U82">
        <v>1</v>
      </c>
      <c r="V82">
        <f t="shared" si="53"/>
        <v>0</v>
      </c>
      <c r="X82">
        <f t="shared" si="54"/>
        <v>0</v>
      </c>
      <c r="Y82">
        <f t="shared" si="55"/>
        <v>0</v>
      </c>
      <c r="Z82">
        <v>1</v>
      </c>
      <c r="AA82">
        <f t="shared" si="56"/>
        <v>0</v>
      </c>
      <c r="AB82">
        <f t="shared" si="57"/>
        <v>0</v>
      </c>
      <c r="AC82">
        <f t="shared" si="58"/>
        <v>1529.84</v>
      </c>
      <c r="AD82">
        <f t="shared" si="59"/>
        <v>2006.4166666666667</v>
      </c>
      <c r="AE82">
        <f t="shared" si="60"/>
        <v>1</v>
      </c>
      <c r="AF82">
        <f t="shared" si="61"/>
        <v>2011.4166666666667</v>
      </c>
      <c r="AG82">
        <f t="shared" si="62"/>
        <v>0</v>
      </c>
      <c r="AH82">
        <f t="shared" si="63"/>
        <v>-8.3333333333333329E-2</v>
      </c>
      <c r="AJ82">
        <f t="shared" si="64"/>
        <v>0</v>
      </c>
      <c r="AL82">
        <f t="shared" si="65"/>
        <v>0</v>
      </c>
      <c r="AN82">
        <f t="shared" si="66"/>
        <v>0</v>
      </c>
      <c r="AP82">
        <f t="shared" si="67"/>
        <v>0</v>
      </c>
      <c r="AR82">
        <f t="shared" si="68"/>
        <v>1529.84</v>
      </c>
    </row>
    <row r="83" spans="1:44">
      <c r="C83" t="s">
        <v>352</v>
      </c>
      <c r="E83">
        <v>2007</v>
      </c>
      <c r="F83">
        <v>10</v>
      </c>
      <c r="G83">
        <v>0</v>
      </c>
      <c r="I83" t="s">
        <v>78</v>
      </c>
      <c r="J83">
        <v>5</v>
      </c>
      <c r="K83">
        <f t="shared" si="47"/>
        <v>2012</v>
      </c>
      <c r="N83">
        <v>1867.45</v>
      </c>
      <c r="O83">
        <v>0</v>
      </c>
      <c r="P83">
        <f t="shared" si="48"/>
        <v>1867.45</v>
      </c>
      <c r="Q83">
        <f t="shared" si="49"/>
        <v>31.124166666666667</v>
      </c>
      <c r="R83">
        <f t="shared" si="50"/>
        <v>0</v>
      </c>
      <c r="S83">
        <f t="shared" si="51"/>
        <v>0</v>
      </c>
      <c r="T83">
        <f t="shared" si="52"/>
        <v>0</v>
      </c>
      <c r="U83">
        <v>1</v>
      </c>
      <c r="V83">
        <f t="shared" si="53"/>
        <v>0</v>
      </c>
      <c r="X83">
        <f t="shared" si="54"/>
        <v>0</v>
      </c>
      <c r="Y83">
        <f t="shared" si="55"/>
        <v>0</v>
      </c>
      <c r="Z83">
        <v>1</v>
      </c>
      <c r="AA83">
        <f t="shared" si="56"/>
        <v>0</v>
      </c>
      <c r="AB83">
        <f t="shared" si="57"/>
        <v>0</v>
      </c>
      <c r="AC83">
        <f t="shared" si="58"/>
        <v>933.72500000000002</v>
      </c>
      <c r="AD83">
        <f t="shared" si="59"/>
        <v>2007.75</v>
      </c>
      <c r="AE83">
        <f t="shared" si="60"/>
        <v>1</v>
      </c>
      <c r="AF83">
        <f t="shared" si="61"/>
        <v>2012.75</v>
      </c>
      <c r="AG83">
        <f t="shared" si="62"/>
        <v>0</v>
      </c>
      <c r="AH83">
        <f t="shared" si="63"/>
        <v>-8.3333333333333329E-2</v>
      </c>
      <c r="AJ83">
        <f t="shared" si="64"/>
        <v>0</v>
      </c>
      <c r="AL83">
        <f t="shared" si="65"/>
        <v>0</v>
      </c>
      <c r="AN83">
        <f t="shared" si="66"/>
        <v>0</v>
      </c>
      <c r="AP83">
        <f t="shared" si="67"/>
        <v>0</v>
      </c>
      <c r="AR83">
        <f t="shared" si="68"/>
        <v>933.72500000000002</v>
      </c>
    </row>
    <row r="84" spans="1:44">
      <c r="C84" t="s">
        <v>353</v>
      </c>
      <c r="E84">
        <v>2007</v>
      </c>
      <c r="F84">
        <v>9</v>
      </c>
      <c r="G84">
        <v>0</v>
      </c>
      <c r="I84" t="s">
        <v>78</v>
      </c>
      <c r="J84">
        <v>5</v>
      </c>
      <c r="K84">
        <f t="shared" si="47"/>
        <v>2012</v>
      </c>
      <c r="N84">
        <v>1447.14</v>
      </c>
      <c r="O84">
        <v>0</v>
      </c>
      <c r="P84">
        <f t="shared" si="48"/>
        <v>1447.14</v>
      </c>
      <c r="Q84">
        <f t="shared" si="49"/>
        <v>24.119</v>
      </c>
      <c r="R84">
        <f t="shared" si="50"/>
        <v>0</v>
      </c>
      <c r="S84">
        <f t="shared" si="51"/>
        <v>0</v>
      </c>
      <c r="T84">
        <f t="shared" si="52"/>
        <v>0</v>
      </c>
      <c r="U84">
        <v>1</v>
      </c>
      <c r="V84">
        <f t="shared" si="53"/>
        <v>0</v>
      </c>
      <c r="X84">
        <f t="shared" si="54"/>
        <v>0</v>
      </c>
      <c r="Y84">
        <f t="shared" si="55"/>
        <v>0</v>
      </c>
      <c r="Z84">
        <v>1</v>
      </c>
      <c r="AA84">
        <f t="shared" si="56"/>
        <v>0</v>
      </c>
      <c r="AB84">
        <f t="shared" si="57"/>
        <v>0</v>
      </c>
      <c r="AC84">
        <f t="shared" si="58"/>
        <v>723.57</v>
      </c>
      <c r="AD84">
        <f t="shared" si="59"/>
        <v>2007.6666666666667</v>
      </c>
      <c r="AE84">
        <f t="shared" si="60"/>
        <v>1</v>
      </c>
      <c r="AF84">
        <f t="shared" si="61"/>
        <v>2012.6666666666667</v>
      </c>
      <c r="AG84">
        <f t="shared" si="62"/>
        <v>0</v>
      </c>
      <c r="AH84">
        <f t="shared" si="63"/>
        <v>-8.3333333333333329E-2</v>
      </c>
      <c r="AJ84">
        <f t="shared" si="64"/>
        <v>0</v>
      </c>
      <c r="AL84">
        <f t="shared" si="65"/>
        <v>0</v>
      </c>
      <c r="AN84">
        <f t="shared" si="66"/>
        <v>0</v>
      </c>
      <c r="AP84">
        <f t="shared" si="67"/>
        <v>0</v>
      </c>
      <c r="AR84">
        <f t="shared" si="68"/>
        <v>723.57</v>
      </c>
    </row>
    <row r="85" spans="1:44">
      <c r="C85" t="s">
        <v>354</v>
      </c>
      <c r="E85">
        <v>2007</v>
      </c>
      <c r="F85">
        <v>8</v>
      </c>
      <c r="G85">
        <v>0</v>
      </c>
      <c r="I85" t="s">
        <v>78</v>
      </c>
      <c r="J85">
        <v>5</v>
      </c>
      <c r="K85">
        <f t="shared" si="47"/>
        <v>2012</v>
      </c>
      <c r="N85">
        <v>1863.93</v>
      </c>
      <c r="O85">
        <v>0</v>
      </c>
      <c r="P85">
        <f t="shared" si="48"/>
        <v>1863.93</v>
      </c>
      <c r="Q85">
        <f t="shared" si="49"/>
        <v>31.0655</v>
      </c>
      <c r="R85">
        <f t="shared" si="50"/>
        <v>0</v>
      </c>
      <c r="S85">
        <f t="shared" si="51"/>
        <v>0</v>
      </c>
      <c r="T85">
        <f t="shared" si="52"/>
        <v>0</v>
      </c>
      <c r="U85">
        <v>1</v>
      </c>
      <c r="V85">
        <f t="shared" si="53"/>
        <v>0</v>
      </c>
      <c r="X85">
        <f t="shared" si="54"/>
        <v>0</v>
      </c>
      <c r="Y85">
        <f t="shared" si="55"/>
        <v>0</v>
      </c>
      <c r="Z85">
        <v>1</v>
      </c>
      <c r="AA85">
        <f t="shared" si="56"/>
        <v>0</v>
      </c>
      <c r="AB85">
        <f t="shared" si="57"/>
        <v>0</v>
      </c>
      <c r="AC85">
        <f t="shared" si="58"/>
        <v>931.96500000000003</v>
      </c>
      <c r="AD85">
        <f t="shared" si="59"/>
        <v>2007.5833333333333</v>
      </c>
      <c r="AE85">
        <f t="shared" si="60"/>
        <v>1</v>
      </c>
      <c r="AF85">
        <f t="shared" si="61"/>
        <v>2012.5833333333333</v>
      </c>
      <c r="AG85">
        <f t="shared" si="62"/>
        <v>0</v>
      </c>
      <c r="AH85">
        <f t="shared" si="63"/>
        <v>-8.3333333333333329E-2</v>
      </c>
      <c r="AJ85">
        <f t="shared" si="64"/>
        <v>0</v>
      </c>
      <c r="AL85">
        <f t="shared" si="65"/>
        <v>0</v>
      </c>
      <c r="AN85">
        <f t="shared" si="66"/>
        <v>0</v>
      </c>
      <c r="AP85">
        <f t="shared" si="67"/>
        <v>0</v>
      </c>
      <c r="AR85">
        <f t="shared" si="68"/>
        <v>931.96500000000003</v>
      </c>
    </row>
    <row r="86" spans="1:44">
      <c r="C86" t="s">
        <v>355</v>
      </c>
      <c r="E86">
        <v>2007</v>
      </c>
      <c r="F86">
        <v>5</v>
      </c>
      <c r="G86">
        <v>0</v>
      </c>
      <c r="I86" t="s">
        <v>78</v>
      </c>
      <c r="J86">
        <v>5</v>
      </c>
      <c r="K86">
        <f t="shared" si="47"/>
        <v>2012</v>
      </c>
      <c r="N86">
        <v>1702.15</v>
      </c>
      <c r="O86">
        <v>0</v>
      </c>
      <c r="P86">
        <f t="shared" si="48"/>
        <v>1702.15</v>
      </c>
      <c r="Q86">
        <f t="shared" si="49"/>
        <v>28.369166666666668</v>
      </c>
      <c r="R86">
        <f t="shared" si="50"/>
        <v>0</v>
      </c>
      <c r="S86">
        <f t="shared" si="51"/>
        <v>0</v>
      </c>
      <c r="T86">
        <f t="shared" si="52"/>
        <v>0</v>
      </c>
      <c r="U86">
        <v>1</v>
      </c>
      <c r="V86">
        <f t="shared" si="53"/>
        <v>0</v>
      </c>
      <c r="X86">
        <f t="shared" si="54"/>
        <v>0</v>
      </c>
      <c r="Y86">
        <f t="shared" si="55"/>
        <v>0</v>
      </c>
      <c r="Z86">
        <v>1</v>
      </c>
      <c r="AA86">
        <f t="shared" si="56"/>
        <v>0</v>
      </c>
      <c r="AB86">
        <f t="shared" si="57"/>
        <v>0</v>
      </c>
      <c r="AC86">
        <f t="shared" si="58"/>
        <v>851.07500000000005</v>
      </c>
      <c r="AD86">
        <f t="shared" si="59"/>
        <v>2007.3333333333333</v>
      </c>
      <c r="AE86">
        <f t="shared" si="60"/>
        <v>1</v>
      </c>
      <c r="AF86">
        <f t="shared" si="61"/>
        <v>2012.3333333333333</v>
      </c>
      <c r="AG86">
        <f t="shared" si="62"/>
        <v>0</v>
      </c>
      <c r="AH86">
        <f t="shared" si="63"/>
        <v>-8.3333333333333329E-2</v>
      </c>
      <c r="AJ86">
        <f t="shared" si="64"/>
        <v>0</v>
      </c>
      <c r="AL86">
        <f t="shared" si="65"/>
        <v>0</v>
      </c>
      <c r="AN86">
        <f t="shared" si="66"/>
        <v>0</v>
      </c>
      <c r="AP86">
        <f t="shared" si="67"/>
        <v>0</v>
      </c>
      <c r="AR86">
        <f t="shared" si="68"/>
        <v>851.07500000000005</v>
      </c>
    </row>
    <row r="87" spans="1:44">
      <c r="C87" t="s">
        <v>104</v>
      </c>
      <c r="E87">
        <v>2007</v>
      </c>
      <c r="F87">
        <v>5</v>
      </c>
      <c r="G87">
        <v>0</v>
      </c>
      <c r="I87" t="s">
        <v>78</v>
      </c>
      <c r="J87">
        <v>5</v>
      </c>
      <c r="K87">
        <f t="shared" si="47"/>
        <v>2012</v>
      </c>
      <c r="N87">
        <v>9925.1</v>
      </c>
      <c r="O87">
        <v>0</v>
      </c>
      <c r="P87">
        <f t="shared" si="48"/>
        <v>9925.1</v>
      </c>
      <c r="Q87">
        <f t="shared" si="49"/>
        <v>165.41833333333332</v>
      </c>
      <c r="R87">
        <f t="shared" si="50"/>
        <v>0</v>
      </c>
      <c r="S87">
        <f t="shared" si="51"/>
        <v>0</v>
      </c>
      <c r="T87">
        <f t="shared" si="52"/>
        <v>0</v>
      </c>
      <c r="U87">
        <v>1</v>
      </c>
      <c r="V87">
        <f t="shared" si="53"/>
        <v>0</v>
      </c>
      <c r="X87">
        <f t="shared" si="54"/>
        <v>0</v>
      </c>
      <c r="Y87">
        <f t="shared" si="55"/>
        <v>0</v>
      </c>
      <c r="Z87">
        <v>1</v>
      </c>
      <c r="AA87">
        <f t="shared" si="56"/>
        <v>0</v>
      </c>
      <c r="AB87">
        <f t="shared" si="57"/>
        <v>0</v>
      </c>
      <c r="AC87">
        <f t="shared" si="58"/>
        <v>4962.55</v>
      </c>
      <c r="AD87">
        <f t="shared" si="59"/>
        <v>2007.3333333333333</v>
      </c>
      <c r="AE87">
        <f t="shared" si="60"/>
        <v>1</v>
      </c>
      <c r="AF87">
        <f t="shared" si="61"/>
        <v>2012.3333333333333</v>
      </c>
      <c r="AG87">
        <f t="shared" si="62"/>
        <v>0</v>
      </c>
      <c r="AH87">
        <f t="shared" si="63"/>
        <v>-8.3333333333333329E-2</v>
      </c>
      <c r="AJ87">
        <f t="shared" si="64"/>
        <v>0</v>
      </c>
      <c r="AL87">
        <f t="shared" si="65"/>
        <v>0</v>
      </c>
      <c r="AN87">
        <f t="shared" si="66"/>
        <v>0</v>
      </c>
      <c r="AP87">
        <f t="shared" si="67"/>
        <v>0</v>
      </c>
      <c r="AR87">
        <f t="shared" si="68"/>
        <v>4962.55</v>
      </c>
    </row>
    <row r="88" spans="1:44">
      <c r="C88" t="s">
        <v>132</v>
      </c>
      <c r="E88">
        <v>2007</v>
      </c>
      <c r="F88">
        <v>4</v>
      </c>
      <c r="G88">
        <v>0</v>
      </c>
      <c r="I88" t="s">
        <v>78</v>
      </c>
      <c r="J88">
        <v>5</v>
      </c>
      <c r="K88">
        <f t="shared" si="47"/>
        <v>2012</v>
      </c>
      <c r="N88">
        <v>2346.86</v>
      </c>
      <c r="O88">
        <v>0</v>
      </c>
      <c r="P88">
        <f t="shared" si="48"/>
        <v>2346.86</v>
      </c>
      <c r="Q88">
        <f t="shared" si="49"/>
        <v>39.114333333333335</v>
      </c>
      <c r="R88">
        <f t="shared" si="50"/>
        <v>0</v>
      </c>
      <c r="S88">
        <f t="shared" si="51"/>
        <v>0</v>
      </c>
      <c r="T88">
        <f t="shared" si="52"/>
        <v>0</v>
      </c>
      <c r="U88">
        <v>1</v>
      </c>
      <c r="V88">
        <f t="shared" si="53"/>
        <v>0</v>
      </c>
      <c r="X88">
        <f t="shared" si="54"/>
        <v>0</v>
      </c>
      <c r="Y88">
        <f t="shared" si="55"/>
        <v>0</v>
      </c>
      <c r="Z88">
        <v>1</v>
      </c>
      <c r="AA88">
        <f t="shared" si="56"/>
        <v>0</v>
      </c>
      <c r="AB88">
        <f t="shared" si="57"/>
        <v>0</v>
      </c>
      <c r="AC88">
        <f t="shared" si="58"/>
        <v>1173.43</v>
      </c>
      <c r="AD88">
        <f t="shared" si="59"/>
        <v>2007.25</v>
      </c>
      <c r="AE88">
        <f t="shared" si="60"/>
        <v>1</v>
      </c>
      <c r="AF88">
        <f t="shared" si="61"/>
        <v>2012.25</v>
      </c>
      <c r="AG88">
        <f t="shared" si="62"/>
        <v>0</v>
      </c>
      <c r="AH88">
        <f t="shared" si="63"/>
        <v>-8.3333333333333329E-2</v>
      </c>
      <c r="AJ88">
        <f t="shared" si="64"/>
        <v>0</v>
      </c>
      <c r="AL88">
        <f t="shared" si="65"/>
        <v>0</v>
      </c>
      <c r="AN88">
        <f t="shared" si="66"/>
        <v>0</v>
      </c>
      <c r="AP88">
        <f t="shared" si="67"/>
        <v>0</v>
      </c>
      <c r="AR88">
        <f t="shared" si="68"/>
        <v>1173.43</v>
      </c>
    </row>
    <row r="89" spans="1:44">
      <c r="C89" t="s">
        <v>107</v>
      </c>
      <c r="E89">
        <v>2007</v>
      </c>
      <c r="F89">
        <v>4</v>
      </c>
      <c r="G89">
        <v>0</v>
      </c>
      <c r="I89" t="s">
        <v>78</v>
      </c>
      <c r="J89">
        <v>5</v>
      </c>
      <c r="K89">
        <f t="shared" si="47"/>
        <v>2012</v>
      </c>
      <c r="N89">
        <v>1699.29</v>
      </c>
      <c r="O89">
        <v>0</v>
      </c>
      <c r="P89">
        <f t="shared" si="48"/>
        <v>1699.29</v>
      </c>
      <c r="Q89">
        <f t="shared" si="49"/>
        <v>28.3215</v>
      </c>
      <c r="R89">
        <f t="shared" si="50"/>
        <v>0</v>
      </c>
      <c r="S89">
        <f t="shared" si="51"/>
        <v>0</v>
      </c>
      <c r="T89">
        <f t="shared" si="52"/>
        <v>0</v>
      </c>
      <c r="U89">
        <v>1</v>
      </c>
      <c r="V89">
        <f t="shared" si="53"/>
        <v>0</v>
      </c>
      <c r="X89">
        <f t="shared" si="54"/>
        <v>0</v>
      </c>
      <c r="Y89">
        <f t="shared" si="55"/>
        <v>0</v>
      </c>
      <c r="Z89">
        <v>1</v>
      </c>
      <c r="AA89">
        <f t="shared" si="56"/>
        <v>0</v>
      </c>
      <c r="AB89">
        <f t="shared" si="57"/>
        <v>0</v>
      </c>
      <c r="AC89">
        <f t="shared" si="58"/>
        <v>849.64499999999998</v>
      </c>
      <c r="AD89">
        <f t="shared" si="59"/>
        <v>2007.25</v>
      </c>
      <c r="AE89">
        <f t="shared" si="60"/>
        <v>1</v>
      </c>
      <c r="AF89">
        <f t="shared" si="61"/>
        <v>2012.25</v>
      </c>
      <c r="AG89">
        <f t="shared" si="62"/>
        <v>0</v>
      </c>
      <c r="AH89">
        <f t="shared" si="63"/>
        <v>-8.3333333333333329E-2</v>
      </c>
      <c r="AJ89">
        <f t="shared" si="64"/>
        <v>0</v>
      </c>
      <c r="AL89">
        <f t="shared" si="65"/>
        <v>0</v>
      </c>
      <c r="AN89">
        <f t="shared" si="66"/>
        <v>0</v>
      </c>
      <c r="AP89">
        <f t="shared" si="67"/>
        <v>0</v>
      </c>
      <c r="AR89">
        <f t="shared" si="68"/>
        <v>849.64499999999998</v>
      </c>
    </row>
    <row r="90" spans="1:44">
      <c r="C90" t="s">
        <v>108</v>
      </c>
      <c r="E90">
        <v>2007</v>
      </c>
      <c r="F90">
        <v>3</v>
      </c>
      <c r="G90">
        <v>0</v>
      </c>
      <c r="I90" t="s">
        <v>78</v>
      </c>
      <c r="J90">
        <v>5</v>
      </c>
      <c r="K90">
        <f t="shared" si="47"/>
        <v>2012</v>
      </c>
      <c r="N90">
        <v>1078</v>
      </c>
      <c r="O90">
        <v>0</v>
      </c>
      <c r="P90">
        <f t="shared" si="48"/>
        <v>1078</v>
      </c>
      <c r="Q90">
        <f t="shared" si="49"/>
        <v>17.966666666666665</v>
      </c>
      <c r="R90">
        <f t="shared" si="50"/>
        <v>0</v>
      </c>
      <c r="S90">
        <f t="shared" si="51"/>
        <v>0</v>
      </c>
      <c r="T90">
        <f t="shared" si="52"/>
        <v>0</v>
      </c>
      <c r="U90">
        <v>1</v>
      </c>
      <c r="V90">
        <f t="shared" si="53"/>
        <v>0</v>
      </c>
      <c r="X90">
        <f t="shared" si="54"/>
        <v>0</v>
      </c>
      <c r="Y90">
        <f t="shared" si="55"/>
        <v>0</v>
      </c>
      <c r="Z90">
        <v>1</v>
      </c>
      <c r="AA90">
        <f t="shared" si="56"/>
        <v>0</v>
      </c>
      <c r="AB90">
        <f t="shared" si="57"/>
        <v>0</v>
      </c>
      <c r="AC90">
        <f t="shared" si="58"/>
        <v>539</v>
      </c>
      <c r="AD90">
        <f t="shared" si="59"/>
        <v>2007.1666666666667</v>
      </c>
      <c r="AE90">
        <f t="shared" si="60"/>
        <v>1</v>
      </c>
      <c r="AF90">
        <f t="shared" si="61"/>
        <v>2012.1666666666667</v>
      </c>
      <c r="AG90">
        <f t="shared" si="62"/>
        <v>0</v>
      </c>
      <c r="AH90">
        <f t="shared" si="63"/>
        <v>-8.3333333333333329E-2</v>
      </c>
      <c r="AJ90">
        <f t="shared" si="64"/>
        <v>0</v>
      </c>
      <c r="AL90">
        <f t="shared" si="65"/>
        <v>0</v>
      </c>
      <c r="AN90">
        <f t="shared" si="66"/>
        <v>0</v>
      </c>
      <c r="AP90">
        <f t="shared" si="67"/>
        <v>0</v>
      </c>
      <c r="AR90">
        <f t="shared" si="68"/>
        <v>539</v>
      </c>
    </row>
    <row r="91" spans="1:44">
      <c r="A91" t="s">
        <v>288</v>
      </c>
      <c r="B91">
        <v>6042</v>
      </c>
      <c r="C91" t="s">
        <v>449</v>
      </c>
      <c r="D91">
        <v>61091</v>
      </c>
      <c r="E91">
        <v>2008</v>
      </c>
      <c r="F91">
        <v>3</v>
      </c>
      <c r="G91">
        <v>0.33</v>
      </c>
      <c r="I91" t="s">
        <v>78</v>
      </c>
      <c r="J91">
        <v>5</v>
      </c>
      <c r="K91">
        <f>E91+J91</f>
        <v>2013</v>
      </c>
      <c r="N91">
        <v>15294.09</v>
      </c>
      <c r="O91">
        <v>0</v>
      </c>
      <c r="P91">
        <f>N91-N91*G91</f>
        <v>10247.040300000001</v>
      </c>
      <c r="Q91">
        <f>P91/J91/12</f>
        <v>170.78400500000001</v>
      </c>
      <c r="R91">
        <f>IF(O91&gt;0,0,IF(OR(AD91&gt;AE91,AF91&lt;AG91),0,IF(AND(AF91&gt;=AG91,AF91&lt;=AE91),Q91*((AF91-AG91)*12),IF(AND(AG91&lt;=AD91,AE91&gt;=AD91),((AE91-AD91)*12)*Q91,IF(AF91&gt;AE91,12*Q91,0)))))</f>
        <v>0</v>
      </c>
      <c r="S91">
        <f>IF(O91=0,0,IF(AND(AH91&gt;=AG91,AH91&lt;=AF91),((AH91-AG91)*12)*Q91,0))</f>
        <v>0</v>
      </c>
      <c r="T91">
        <f>IF(S91&gt;0,S91,R91)</f>
        <v>0</v>
      </c>
      <c r="U91">
        <v>1</v>
      </c>
      <c r="V91">
        <f>U91*SUM(R91:S91)</f>
        <v>0</v>
      </c>
      <c r="X91">
        <f>IF(AD91&gt;AE91,0,IF(AF91&lt;AG91,P91,IF(AND(AF91&gt;=AG91,AF91&lt;=AE91),(P91-T91),IF(AND(AG91&lt;=AD91,AE91&gt;=AD91),0,IF(AF91&gt;AE91,((AG91-AD91)*12)*Q91,0)))))</f>
        <v>0</v>
      </c>
      <c r="Y91">
        <f>X91*U91</f>
        <v>0</v>
      </c>
      <c r="Z91">
        <v>1</v>
      </c>
      <c r="AA91">
        <f>Y91*Z91</f>
        <v>0</v>
      </c>
      <c r="AB91">
        <f>IF(O91&gt;0,0,AA91+V91*Z91)*Z91</f>
        <v>0</v>
      </c>
      <c r="AC91">
        <f>IF(O91&gt;0,(N91-AA91)/2,IF(AD91&gt;=AG91,(((N91*U91)*Z91)-AB91)/2,((((N91*U91)*Z91)-AA91)+(((N91*U91)*Z91)-AB91))/2))</f>
        <v>7647.0450000000001</v>
      </c>
      <c r="AD91">
        <f>$E91+(($F91-1)/12)</f>
        <v>2008.1666666666667</v>
      </c>
      <c r="AE91">
        <f>('Trucks 2183'!$M$5+1)-('Trucks 2183'!$M$2/12)</f>
        <v>1</v>
      </c>
      <c r="AF91">
        <f>$K91+(($F91-1)/12)</f>
        <v>2013.1666666666667</v>
      </c>
      <c r="AG91">
        <f>'Trucks 2183'!$M$4+('Trucks 2183'!$M$3/12)</f>
        <v>0</v>
      </c>
      <c r="AH91">
        <f>$L91+(($M91-1)/12)</f>
        <v>-8.3333333333333329E-2</v>
      </c>
      <c r="AJ91">
        <f t="shared" si="64"/>
        <v>2.507020299693683</v>
      </c>
      <c r="AL91">
        <f t="shared" si="65"/>
        <v>2.507020299693683</v>
      </c>
      <c r="AN91">
        <f t="shared" si="66"/>
        <v>0</v>
      </c>
      <c r="AP91">
        <f t="shared" si="67"/>
        <v>7645.7914898501531</v>
      </c>
      <c r="AR91">
        <f t="shared" si="68"/>
        <v>7645.7914898501531</v>
      </c>
    </row>
    <row r="92" spans="1:44">
      <c r="B92">
        <v>6020</v>
      </c>
      <c r="C92" t="s">
        <v>433</v>
      </c>
      <c r="D92">
        <v>81814</v>
      </c>
      <c r="E92">
        <v>2008</v>
      </c>
      <c r="F92">
        <v>11</v>
      </c>
      <c r="G92">
        <v>0.33</v>
      </c>
      <c r="I92" t="s">
        <v>78</v>
      </c>
      <c r="J92">
        <v>5</v>
      </c>
      <c r="K92">
        <f>E92+J92</f>
        <v>2013</v>
      </c>
      <c r="N92">
        <v>2500</v>
      </c>
      <c r="P92">
        <f>N92-N92*G92</f>
        <v>1675</v>
      </c>
      <c r="Q92">
        <f>P92/J92/12</f>
        <v>27.916666666666668</v>
      </c>
      <c r="R92">
        <f>IF(O92&gt;0,0,IF(OR(AD92&gt;AE92,AF92&lt;AG92),0,IF(AND(AF92&gt;=AG92,AF92&lt;=AE92),Q92*((AF92-AG92)*12),IF(AND(AG92&lt;=AD92,AE92&gt;=AD92),((AE92-AD92)*12)*Q92,IF(AF92&gt;AE92,12*Q92,0)))))</f>
        <v>0</v>
      </c>
      <c r="S92">
        <f>IF(O92=0,0,IF(AND(AH92&gt;=AG92,AH92&lt;=AF92),((AH92-AG92)*12)*Q92,0))</f>
        <v>0</v>
      </c>
      <c r="T92">
        <f>IF(S92&gt;0,S92,R92)</f>
        <v>0</v>
      </c>
      <c r="U92">
        <v>1</v>
      </c>
      <c r="V92">
        <f>U92*SUM(R92:S92)</f>
        <v>0</v>
      </c>
      <c r="X92">
        <f>IF(AD92&gt;AE92,0,IF(AF92&lt;AG92,P92,IF(AND(AF92&gt;=AG92,AF92&lt;=AE92),(P92-T92),IF(AND(AG92&lt;=AD92,AE92&gt;=AD92),0,IF(AF92&gt;AE92,((AG92-AD92)*12)*Q92,0)))))</f>
        <v>0</v>
      </c>
      <c r="Y92">
        <f>X92*U92</f>
        <v>0</v>
      </c>
      <c r="Z92">
        <v>1</v>
      </c>
      <c r="AA92">
        <f>Y92*Z92</f>
        <v>0</v>
      </c>
      <c r="AB92">
        <f>IF(O92&gt;0,0,AA92+V92*Z92)*Z92</f>
        <v>0</v>
      </c>
      <c r="AC92">
        <f>IF(O92&gt;0,(N92-AA92)/2,IF(AD92&gt;=AG92,(((N92*U92)*Z92)-AB92)/2,((((N92*U92)*Z92)-AA92)+(((N92*U92)*Z92)-AB92))/2))</f>
        <v>1250</v>
      </c>
      <c r="AD92">
        <f>$E92+(($F92-1)/12)</f>
        <v>2008.8333333333333</v>
      </c>
      <c r="AE92">
        <f t="shared" si="60"/>
        <v>1</v>
      </c>
      <c r="AF92">
        <f>$K92+(($F92-1)/12)</f>
        <v>2013.8333333333333</v>
      </c>
      <c r="AG92">
        <f t="shared" si="62"/>
        <v>0</v>
      </c>
      <c r="AH92">
        <f>$L92+(($M92-1)/12)</f>
        <v>-8.3333333333333329E-2</v>
      </c>
      <c r="AJ92">
        <f t="shared" si="64"/>
        <v>0.40966647355789126</v>
      </c>
      <c r="AL92">
        <f t="shared" si="65"/>
        <v>0.40966647355789126</v>
      </c>
      <c r="AN92">
        <f t="shared" si="66"/>
        <v>0</v>
      </c>
      <c r="AP92">
        <f t="shared" si="67"/>
        <v>1249.795166763221</v>
      </c>
      <c r="AR92">
        <f t="shared" si="68"/>
        <v>1249.795166763221</v>
      </c>
    </row>
    <row r="93" spans="1:44">
      <c r="C93" t="s">
        <v>361</v>
      </c>
      <c r="E93">
        <v>2009</v>
      </c>
      <c r="F93">
        <v>7</v>
      </c>
      <c r="G93">
        <v>0</v>
      </c>
      <c r="I93" t="s">
        <v>78</v>
      </c>
      <c r="J93">
        <v>5</v>
      </c>
      <c r="K93">
        <f t="shared" si="47"/>
        <v>2014</v>
      </c>
      <c r="N93">
        <v>2347.9299999999998</v>
      </c>
      <c r="O93">
        <v>0</v>
      </c>
      <c r="P93">
        <f t="shared" si="48"/>
        <v>2347.9299999999998</v>
      </c>
      <c r="Q93">
        <f t="shared" si="49"/>
        <v>39.132166666666663</v>
      </c>
      <c r="R93">
        <f t="shared" si="50"/>
        <v>0</v>
      </c>
      <c r="S93">
        <f t="shared" si="51"/>
        <v>0</v>
      </c>
      <c r="T93">
        <f t="shared" si="52"/>
        <v>0</v>
      </c>
      <c r="U93">
        <v>1</v>
      </c>
      <c r="V93">
        <f t="shared" si="53"/>
        <v>0</v>
      </c>
      <c r="X93">
        <f t="shared" si="54"/>
        <v>0</v>
      </c>
      <c r="Y93">
        <f t="shared" si="55"/>
        <v>0</v>
      </c>
      <c r="Z93">
        <v>1</v>
      </c>
      <c r="AA93">
        <f t="shared" si="56"/>
        <v>0</v>
      </c>
      <c r="AB93">
        <f t="shared" si="57"/>
        <v>0</v>
      </c>
      <c r="AC93">
        <f t="shared" si="58"/>
        <v>1173.9649999999999</v>
      </c>
      <c r="AD93">
        <f t="shared" si="59"/>
        <v>2009.5</v>
      </c>
      <c r="AE93">
        <f t="shared" si="60"/>
        <v>1</v>
      </c>
      <c r="AF93">
        <f t="shared" si="61"/>
        <v>2014.5</v>
      </c>
      <c r="AG93">
        <f t="shared" si="62"/>
        <v>0</v>
      </c>
      <c r="AH93">
        <f t="shared" si="63"/>
        <v>-8.3333333333333329E-2</v>
      </c>
      <c r="AJ93">
        <f t="shared" si="64"/>
        <v>0</v>
      </c>
      <c r="AL93">
        <f t="shared" si="65"/>
        <v>0</v>
      </c>
      <c r="AN93">
        <f t="shared" si="66"/>
        <v>0</v>
      </c>
      <c r="AP93">
        <f t="shared" si="67"/>
        <v>0</v>
      </c>
      <c r="AR93">
        <f t="shared" si="68"/>
        <v>1173.9649999999999</v>
      </c>
    </row>
    <row r="94" spans="1:44">
      <c r="C94" t="s">
        <v>362</v>
      </c>
      <c r="E94">
        <v>2009</v>
      </c>
      <c r="F94">
        <v>6</v>
      </c>
      <c r="G94">
        <v>0</v>
      </c>
      <c r="I94" t="s">
        <v>78</v>
      </c>
      <c r="J94">
        <v>5</v>
      </c>
      <c r="K94">
        <f t="shared" si="47"/>
        <v>2014</v>
      </c>
      <c r="N94">
        <v>4147.3100000000004</v>
      </c>
      <c r="O94">
        <v>0</v>
      </c>
      <c r="P94">
        <f t="shared" si="48"/>
        <v>4147.3100000000004</v>
      </c>
      <c r="Q94">
        <f t="shared" si="49"/>
        <v>69.121833333333342</v>
      </c>
      <c r="R94">
        <f t="shared" si="50"/>
        <v>0</v>
      </c>
      <c r="S94">
        <f t="shared" si="51"/>
        <v>0</v>
      </c>
      <c r="T94">
        <f t="shared" si="52"/>
        <v>0</v>
      </c>
      <c r="U94">
        <v>1</v>
      </c>
      <c r="V94">
        <f t="shared" si="53"/>
        <v>0</v>
      </c>
      <c r="X94">
        <f t="shared" si="54"/>
        <v>0</v>
      </c>
      <c r="Y94">
        <f t="shared" si="55"/>
        <v>0</v>
      </c>
      <c r="Z94">
        <v>1</v>
      </c>
      <c r="AA94">
        <f t="shared" si="56"/>
        <v>0</v>
      </c>
      <c r="AB94">
        <f t="shared" si="57"/>
        <v>0</v>
      </c>
      <c r="AC94">
        <f t="shared" si="58"/>
        <v>2073.6550000000002</v>
      </c>
      <c r="AD94">
        <f t="shared" si="59"/>
        <v>2009.4166666666667</v>
      </c>
      <c r="AE94">
        <f t="shared" si="60"/>
        <v>1</v>
      </c>
      <c r="AF94">
        <f t="shared" si="61"/>
        <v>2014.4166666666667</v>
      </c>
      <c r="AG94">
        <f t="shared" si="62"/>
        <v>0</v>
      </c>
      <c r="AH94">
        <f t="shared" si="63"/>
        <v>-8.3333333333333329E-2</v>
      </c>
      <c r="AJ94">
        <f t="shared" si="64"/>
        <v>0</v>
      </c>
      <c r="AL94">
        <f t="shared" si="65"/>
        <v>0</v>
      </c>
      <c r="AN94">
        <f t="shared" si="66"/>
        <v>0</v>
      </c>
      <c r="AP94">
        <f t="shared" si="67"/>
        <v>0</v>
      </c>
      <c r="AR94">
        <f t="shared" si="68"/>
        <v>2073.6550000000002</v>
      </c>
    </row>
    <row r="95" spans="1:44">
      <c r="C95" t="s">
        <v>363</v>
      </c>
      <c r="E95">
        <v>2009</v>
      </c>
      <c r="F95">
        <v>1</v>
      </c>
      <c r="G95">
        <v>0</v>
      </c>
      <c r="I95" t="s">
        <v>78</v>
      </c>
      <c r="J95">
        <v>4.916666666666667</v>
      </c>
      <c r="K95">
        <f t="shared" si="47"/>
        <v>2013.9166666666667</v>
      </c>
      <c r="N95">
        <v>2847</v>
      </c>
      <c r="O95">
        <v>0</v>
      </c>
      <c r="P95">
        <f t="shared" si="48"/>
        <v>2847</v>
      </c>
      <c r="Q95">
        <f t="shared" si="49"/>
        <v>48.254237288135592</v>
      </c>
      <c r="R95">
        <f t="shared" si="50"/>
        <v>0</v>
      </c>
      <c r="S95">
        <f t="shared" si="51"/>
        <v>0</v>
      </c>
      <c r="T95">
        <f t="shared" si="52"/>
        <v>0</v>
      </c>
      <c r="U95">
        <v>1</v>
      </c>
      <c r="V95">
        <f t="shared" si="53"/>
        <v>0</v>
      </c>
      <c r="X95">
        <f t="shared" si="54"/>
        <v>0</v>
      </c>
      <c r="Y95">
        <f t="shared" si="55"/>
        <v>0</v>
      </c>
      <c r="Z95">
        <v>1</v>
      </c>
      <c r="AA95">
        <f t="shared" si="56"/>
        <v>0</v>
      </c>
      <c r="AB95">
        <f t="shared" si="57"/>
        <v>0</v>
      </c>
      <c r="AC95">
        <f t="shared" si="58"/>
        <v>1423.5</v>
      </c>
      <c r="AD95">
        <f t="shared" si="59"/>
        <v>2009</v>
      </c>
      <c r="AE95">
        <f t="shared" si="60"/>
        <v>1</v>
      </c>
      <c r="AF95">
        <f t="shared" si="61"/>
        <v>2013.9166666666667</v>
      </c>
      <c r="AG95">
        <f t="shared" si="62"/>
        <v>0</v>
      </c>
      <c r="AH95">
        <f t="shared" si="63"/>
        <v>-8.3333333333333329E-2</v>
      </c>
      <c r="AJ95">
        <f t="shared" si="64"/>
        <v>0</v>
      </c>
      <c r="AL95">
        <f t="shared" si="65"/>
        <v>0</v>
      </c>
      <c r="AN95">
        <f t="shared" si="66"/>
        <v>0</v>
      </c>
      <c r="AP95">
        <f t="shared" si="67"/>
        <v>0</v>
      </c>
      <c r="AR95">
        <f t="shared" si="68"/>
        <v>1423.5</v>
      </c>
    </row>
    <row r="96" spans="1:44">
      <c r="C96" t="s">
        <v>420</v>
      </c>
      <c r="D96">
        <v>78790</v>
      </c>
      <c r="E96">
        <v>2010</v>
      </c>
      <c r="F96">
        <v>12</v>
      </c>
      <c r="G96">
        <v>0</v>
      </c>
      <c r="I96" t="s">
        <v>78</v>
      </c>
      <c r="J96">
        <v>5</v>
      </c>
      <c r="K96">
        <f t="shared" si="47"/>
        <v>2015</v>
      </c>
      <c r="N96">
        <v>5900.24</v>
      </c>
      <c r="O96">
        <v>0</v>
      </c>
      <c r="P96">
        <f t="shared" si="48"/>
        <v>5900.24</v>
      </c>
      <c r="Q96">
        <f t="shared" si="49"/>
        <v>98.337333333333333</v>
      </c>
      <c r="R96">
        <f t="shared" si="50"/>
        <v>0</v>
      </c>
      <c r="S96">
        <f t="shared" si="51"/>
        <v>0</v>
      </c>
      <c r="T96">
        <f t="shared" si="52"/>
        <v>0</v>
      </c>
      <c r="U96">
        <v>1</v>
      </c>
      <c r="V96">
        <f t="shared" si="53"/>
        <v>0</v>
      </c>
      <c r="X96">
        <f t="shared" si="54"/>
        <v>0</v>
      </c>
      <c r="Y96">
        <f t="shared" si="55"/>
        <v>0</v>
      </c>
      <c r="Z96">
        <v>1</v>
      </c>
      <c r="AA96">
        <f t="shared" si="56"/>
        <v>0</v>
      </c>
      <c r="AB96">
        <f t="shared" si="57"/>
        <v>0</v>
      </c>
      <c r="AC96">
        <f t="shared" si="58"/>
        <v>2950.12</v>
      </c>
      <c r="AD96">
        <f t="shared" si="59"/>
        <v>2010.9166666666667</v>
      </c>
      <c r="AE96">
        <f t="shared" si="60"/>
        <v>1</v>
      </c>
      <c r="AF96">
        <f t="shared" si="61"/>
        <v>2015.9166666666667</v>
      </c>
      <c r="AG96">
        <f t="shared" si="62"/>
        <v>0</v>
      </c>
      <c r="AH96">
        <f t="shared" si="63"/>
        <v>-8.3333333333333329E-2</v>
      </c>
      <c r="AJ96">
        <f t="shared" si="64"/>
        <v>0</v>
      </c>
      <c r="AL96">
        <f t="shared" si="65"/>
        <v>0</v>
      </c>
      <c r="AN96">
        <f t="shared" si="66"/>
        <v>0</v>
      </c>
      <c r="AP96">
        <f t="shared" si="67"/>
        <v>0</v>
      </c>
      <c r="AR96">
        <f t="shared" si="68"/>
        <v>2950.12</v>
      </c>
    </row>
    <row r="97" spans="2:44">
      <c r="C97" t="s">
        <v>469</v>
      </c>
      <c r="D97" t="s">
        <v>478</v>
      </c>
      <c r="E97">
        <v>2012</v>
      </c>
      <c r="F97">
        <v>10</v>
      </c>
      <c r="G97">
        <v>0</v>
      </c>
      <c r="I97" t="s">
        <v>78</v>
      </c>
      <c r="J97">
        <v>10</v>
      </c>
      <c r="K97">
        <f t="shared" si="47"/>
        <v>2022</v>
      </c>
      <c r="N97">
        <f>9479+48345.38</f>
        <v>57824.38</v>
      </c>
      <c r="P97">
        <f t="shared" si="48"/>
        <v>57824.38</v>
      </c>
      <c r="Q97">
        <f t="shared" si="49"/>
        <v>481.86983333333336</v>
      </c>
      <c r="R97">
        <f t="shared" si="50"/>
        <v>0</v>
      </c>
      <c r="S97">
        <f t="shared" si="51"/>
        <v>0</v>
      </c>
      <c r="T97">
        <f t="shared" si="52"/>
        <v>0</v>
      </c>
      <c r="U97">
        <v>1</v>
      </c>
      <c r="V97">
        <f t="shared" si="53"/>
        <v>0</v>
      </c>
      <c r="X97">
        <f t="shared" si="54"/>
        <v>0</v>
      </c>
      <c r="Y97">
        <f t="shared" si="55"/>
        <v>0</v>
      </c>
      <c r="Z97">
        <v>1</v>
      </c>
      <c r="AA97">
        <f t="shared" si="56"/>
        <v>0</v>
      </c>
      <c r="AB97">
        <f t="shared" si="57"/>
        <v>0</v>
      </c>
      <c r="AC97">
        <f t="shared" si="58"/>
        <v>28912.19</v>
      </c>
      <c r="AD97">
        <f t="shared" si="59"/>
        <v>2012.75</v>
      </c>
      <c r="AE97">
        <f t="shared" si="60"/>
        <v>1</v>
      </c>
      <c r="AF97">
        <f t="shared" si="61"/>
        <v>2022.75</v>
      </c>
      <c r="AG97">
        <f t="shared" si="62"/>
        <v>0</v>
      </c>
      <c r="AH97">
        <f t="shared" si="63"/>
        <v>-8.3333333333333329E-2</v>
      </c>
      <c r="AJ97">
        <f t="shared" si="64"/>
        <v>0</v>
      </c>
      <c r="AL97">
        <f t="shared" si="65"/>
        <v>0</v>
      </c>
      <c r="AN97">
        <f t="shared" si="66"/>
        <v>0</v>
      </c>
      <c r="AP97">
        <f t="shared" si="67"/>
        <v>0</v>
      </c>
      <c r="AR97">
        <f t="shared" si="68"/>
        <v>28912.19</v>
      </c>
    </row>
    <row r="98" spans="2:44">
      <c r="C98" t="s">
        <v>481</v>
      </c>
      <c r="D98">
        <v>106016</v>
      </c>
      <c r="E98">
        <v>2013</v>
      </c>
      <c r="F98">
        <v>7</v>
      </c>
      <c r="G98">
        <v>0</v>
      </c>
      <c r="I98" t="s">
        <v>78</v>
      </c>
      <c r="J98">
        <v>5</v>
      </c>
      <c r="K98">
        <f t="shared" si="47"/>
        <v>2018</v>
      </c>
      <c r="N98">
        <v>14451.45</v>
      </c>
      <c r="P98">
        <f t="shared" si="48"/>
        <v>14451.45</v>
      </c>
      <c r="Q98">
        <f t="shared" si="49"/>
        <v>240.85749999999999</v>
      </c>
      <c r="R98">
        <f t="shared" si="50"/>
        <v>0</v>
      </c>
      <c r="S98">
        <f t="shared" si="51"/>
        <v>0</v>
      </c>
      <c r="T98">
        <f t="shared" si="52"/>
        <v>0</v>
      </c>
      <c r="U98">
        <v>1</v>
      </c>
      <c r="V98">
        <f t="shared" si="53"/>
        <v>0</v>
      </c>
      <c r="X98">
        <f t="shared" si="54"/>
        <v>0</v>
      </c>
      <c r="Y98">
        <f t="shared" si="55"/>
        <v>0</v>
      </c>
      <c r="Z98">
        <v>1</v>
      </c>
      <c r="AA98">
        <f t="shared" si="56"/>
        <v>0</v>
      </c>
      <c r="AB98">
        <f t="shared" si="57"/>
        <v>0</v>
      </c>
      <c r="AC98">
        <f t="shared" si="58"/>
        <v>7225.7250000000004</v>
      </c>
      <c r="AD98">
        <f t="shared" si="59"/>
        <v>2013.5</v>
      </c>
      <c r="AE98">
        <f t="shared" si="60"/>
        <v>1</v>
      </c>
      <c r="AF98">
        <f t="shared" si="61"/>
        <v>2018.5</v>
      </c>
      <c r="AG98">
        <f t="shared" si="62"/>
        <v>0</v>
      </c>
      <c r="AH98">
        <f t="shared" si="63"/>
        <v>-8.3333333333333329E-2</v>
      </c>
      <c r="AJ98">
        <f t="shared" si="64"/>
        <v>0</v>
      </c>
      <c r="AL98">
        <f t="shared" si="65"/>
        <v>0</v>
      </c>
      <c r="AN98">
        <f t="shared" si="66"/>
        <v>0</v>
      </c>
      <c r="AP98">
        <f t="shared" si="67"/>
        <v>0</v>
      </c>
      <c r="AR98">
        <f t="shared" si="68"/>
        <v>7225.7250000000004</v>
      </c>
    </row>
    <row r="99" spans="2:44">
      <c r="B99">
        <v>9226</v>
      </c>
      <c r="C99" t="s">
        <v>500</v>
      </c>
      <c r="D99">
        <v>110366</v>
      </c>
      <c r="E99">
        <v>2014</v>
      </c>
      <c r="F99">
        <v>1</v>
      </c>
      <c r="G99">
        <v>0.33</v>
      </c>
      <c r="I99" t="s">
        <v>78</v>
      </c>
      <c r="J99">
        <v>5</v>
      </c>
      <c r="K99">
        <f t="shared" si="47"/>
        <v>2019</v>
      </c>
      <c r="N99">
        <v>50193</v>
      </c>
      <c r="P99">
        <f t="shared" si="48"/>
        <v>33629.31</v>
      </c>
      <c r="Q99">
        <f t="shared" si="49"/>
        <v>560.48849999999993</v>
      </c>
      <c r="R99">
        <f t="shared" si="50"/>
        <v>0</v>
      </c>
      <c r="S99">
        <f t="shared" si="51"/>
        <v>0</v>
      </c>
      <c r="T99">
        <f t="shared" si="52"/>
        <v>0</v>
      </c>
      <c r="U99">
        <v>1</v>
      </c>
      <c r="V99">
        <f t="shared" si="53"/>
        <v>0</v>
      </c>
      <c r="X99">
        <f t="shared" si="54"/>
        <v>0</v>
      </c>
      <c r="Y99">
        <f t="shared" si="55"/>
        <v>0</v>
      </c>
      <c r="Z99">
        <v>1</v>
      </c>
      <c r="AA99">
        <f t="shared" si="56"/>
        <v>0</v>
      </c>
      <c r="AB99">
        <f t="shared" si="57"/>
        <v>0</v>
      </c>
      <c r="AC99">
        <f t="shared" si="58"/>
        <v>25096.5</v>
      </c>
      <c r="AD99">
        <f t="shared" si="59"/>
        <v>2014</v>
      </c>
      <c r="AE99">
        <f t="shared" si="60"/>
        <v>1</v>
      </c>
      <c r="AF99">
        <f t="shared" si="61"/>
        <v>2019</v>
      </c>
      <c r="AG99">
        <f t="shared" si="62"/>
        <v>0</v>
      </c>
      <c r="AH99">
        <f t="shared" si="63"/>
        <v>-8.3333333333333329E-2</v>
      </c>
      <c r="AJ99">
        <f t="shared" si="64"/>
        <v>8.2039078751857364</v>
      </c>
      <c r="AL99">
        <f t="shared" si="65"/>
        <v>8.2039078751857364</v>
      </c>
      <c r="AN99">
        <f t="shared" si="66"/>
        <v>0</v>
      </c>
      <c r="AP99">
        <f t="shared" si="67"/>
        <v>25092.398046062408</v>
      </c>
      <c r="AR99">
        <f t="shared" si="68"/>
        <v>25092.398046062408</v>
      </c>
    </row>
    <row r="100" spans="2:44">
      <c r="B100">
        <v>9228</v>
      </c>
      <c r="C100" t="s">
        <v>501</v>
      </c>
      <c r="D100">
        <v>110576</v>
      </c>
      <c r="E100">
        <v>2014</v>
      </c>
      <c r="F100">
        <v>1</v>
      </c>
      <c r="G100">
        <v>0.2</v>
      </c>
      <c r="I100" t="s">
        <v>78</v>
      </c>
      <c r="J100">
        <v>7</v>
      </c>
      <c r="K100">
        <f t="shared" si="47"/>
        <v>2021</v>
      </c>
      <c r="N100">
        <v>98824.34</v>
      </c>
      <c r="P100">
        <f t="shared" si="48"/>
        <v>79059.471999999994</v>
      </c>
      <c r="Q100">
        <f t="shared" si="49"/>
        <v>941.18419047619045</v>
      </c>
      <c r="R100">
        <f t="shared" si="50"/>
        <v>0</v>
      </c>
      <c r="S100">
        <f t="shared" si="51"/>
        <v>0</v>
      </c>
      <c r="T100">
        <f t="shared" si="52"/>
        <v>0</v>
      </c>
      <c r="U100">
        <v>1</v>
      </c>
      <c r="V100">
        <f t="shared" si="53"/>
        <v>0</v>
      </c>
      <c r="X100">
        <f t="shared" si="54"/>
        <v>0</v>
      </c>
      <c r="Y100">
        <f t="shared" si="55"/>
        <v>0</v>
      </c>
      <c r="Z100">
        <v>1</v>
      </c>
      <c r="AA100">
        <f t="shared" si="56"/>
        <v>0</v>
      </c>
      <c r="AB100">
        <f t="shared" si="57"/>
        <v>0</v>
      </c>
      <c r="AC100">
        <f t="shared" si="58"/>
        <v>49412.17</v>
      </c>
      <c r="AD100">
        <f t="shared" si="59"/>
        <v>2014</v>
      </c>
      <c r="AE100">
        <f t="shared" si="60"/>
        <v>1</v>
      </c>
      <c r="AF100">
        <f t="shared" si="61"/>
        <v>2021</v>
      </c>
      <c r="AG100">
        <f t="shared" si="62"/>
        <v>0</v>
      </c>
      <c r="AH100">
        <f t="shared" si="63"/>
        <v>-8.3333333333333329E-2</v>
      </c>
      <c r="AJ100">
        <f t="shared" si="64"/>
        <v>9.7797466600692733</v>
      </c>
      <c r="AL100">
        <f t="shared" si="65"/>
        <v>9.7797466600692733</v>
      </c>
      <c r="AN100">
        <f t="shared" si="66"/>
        <v>0</v>
      </c>
      <c r="AP100">
        <f t="shared" si="67"/>
        <v>49407.280126669961</v>
      </c>
      <c r="AR100">
        <f t="shared" si="68"/>
        <v>49407.280126669961</v>
      </c>
    </row>
    <row r="101" spans="2:44">
      <c r="C101" t="s">
        <v>518</v>
      </c>
      <c r="D101">
        <v>116108</v>
      </c>
      <c r="E101">
        <v>2014</v>
      </c>
      <c r="F101">
        <v>8</v>
      </c>
      <c r="G101">
        <v>0</v>
      </c>
      <c r="I101" t="s">
        <v>78</v>
      </c>
      <c r="J101">
        <v>3</v>
      </c>
      <c r="K101">
        <f t="shared" si="47"/>
        <v>2017</v>
      </c>
      <c r="N101">
        <v>1817.83</v>
      </c>
      <c r="P101">
        <f t="shared" si="48"/>
        <v>1817.83</v>
      </c>
      <c r="Q101">
        <f t="shared" si="49"/>
        <v>50.495277777777773</v>
      </c>
      <c r="R101">
        <f t="shared" si="50"/>
        <v>0</v>
      </c>
      <c r="S101">
        <f t="shared" si="51"/>
        <v>0</v>
      </c>
      <c r="T101">
        <f t="shared" si="52"/>
        <v>0</v>
      </c>
      <c r="U101">
        <v>1</v>
      </c>
      <c r="V101">
        <f t="shared" si="53"/>
        <v>0</v>
      </c>
      <c r="X101">
        <f t="shared" si="54"/>
        <v>0</v>
      </c>
      <c r="Y101">
        <f t="shared" si="55"/>
        <v>0</v>
      </c>
      <c r="Z101">
        <v>1</v>
      </c>
      <c r="AA101">
        <f t="shared" si="56"/>
        <v>0</v>
      </c>
      <c r="AB101">
        <f t="shared" si="57"/>
        <v>0</v>
      </c>
      <c r="AC101">
        <f t="shared" si="58"/>
        <v>908.91499999999996</v>
      </c>
      <c r="AD101">
        <f t="shared" si="59"/>
        <v>2014.5833333333333</v>
      </c>
      <c r="AE101">
        <f t="shared" si="60"/>
        <v>1</v>
      </c>
      <c r="AF101">
        <f t="shared" si="61"/>
        <v>2017.5833333333333</v>
      </c>
      <c r="AG101">
        <f t="shared" si="62"/>
        <v>0</v>
      </c>
      <c r="AH101">
        <f t="shared" si="63"/>
        <v>-8.3333333333333329E-2</v>
      </c>
      <c r="AJ101">
        <f t="shared" si="64"/>
        <v>0</v>
      </c>
      <c r="AL101">
        <f t="shared" si="65"/>
        <v>0</v>
      </c>
      <c r="AN101">
        <f t="shared" si="66"/>
        <v>0</v>
      </c>
      <c r="AP101">
        <f t="shared" si="67"/>
        <v>0</v>
      </c>
      <c r="AR101">
        <f t="shared" si="68"/>
        <v>908.91499999999996</v>
      </c>
    </row>
    <row r="102" spans="2:44">
      <c r="C102" t="s">
        <v>519</v>
      </c>
      <c r="D102">
        <v>115427</v>
      </c>
      <c r="E102">
        <v>2014</v>
      </c>
      <c r="F102">
        <v>8</v>
      </c>
      <c r="G102">
        <v>0</v>
      </c>
      <c r="I102" t="s">
        <v>78</v>
      </c>
      <c r="J102">
        <v>3</v>
      </c>
      <c r="K102">
        <f t="shared" si="47"/>
        <v>2017</v>
      </c>
      <c r="N102">
        <v>3198.54</v>
      </c>
      <c r="P102">
        <f t="shared" si="48"/>
        <v>3198.54</v>
      </c>
      <c r="Q102">
        <f t="shared" si="49"/>
        <v>88.848333333333343</v>
      </c>
      <c r="R102">
        <f t="shared" si="50"/>
        <v>0</v>
      </c>
      <c r="S102">
        <f t="shared" si="51"/>
        <v>0</v>
      </c>
      <c r="T102">
        <f t="shared" si="52"/>
        <v>0</v>
      </c>
      <c r="U102">
        <v>1</v>
      </c>
      <c r="V102">
        <f t="shared" si="53"/>
        <v>0</v>
      </c>
      <c r="X102">
        <f t="shared" si="54"/>
        <v>0</v>
      </c>
      <c r="Y102">
        <f t="shared" si="55"/>
        <v>0</v>
      </c>
      <c r="Z102">
        <v>1</v>
      </c>
      <c r="AA102">
        <f t="shared" si="56"/>
        <v>0</v>
      </c>
      <c r="AB102">
        <f t="shared" si="57"/>
        <v>0</v>
      </c>
      <c r="AC102">
        <f t="shared" si="58"/>
        <v>1599.27</v>
      </c>
      <c r="AD102">
        <f t="shared" si="59"/>
        <v>2014.5833333333333</v>
      </c>
      <c r="AE102">
        <f t="shared" si="60"/>
        <v>1</v>
      </c>
      <c r="AF102">
        <f t="shared" si="61"/>
        <v>2017.5833333333333</v>
      </c>
      <c r="AG102">
        <f t="shared" si="62"/>
        <v>0</v>
      </c>
      <c r="AH102">
        <f t="shared" si="63"/>
        <v>-8.3333333333333329E-2</v>
      </c>
      <c r="AJ102">
        <f t="shared" si="64"/>
        <v>0</v>
      </c>
      <c r="AL102">
        <f t="shared" si="65"/>
        <v>0</v>
      </c>
      <c r="AN102">
        <f t="shared" si="66"/>
        <v>0</v>
      </c>
      <c r="AP102">
        <f t="shared" si="67"/>
        <v>0</v>
      </c>
      <c r="AR102">
        <f t="shared" si="68"/>
        <v>1599.27</v>
      </c>
    </row>
    <row r="103" spans="2:44">
      <c r="C103" t="s">
        <v>523</v>
      </c>
      <c r="D103">
        <v>118278</v>
      </c>
      <c r="E103">
        <v>2014</v>
      </c>
      <c r="F103">
        <v>12</v>
      </c>
      <c r="G103">
        <v>0</v>
      </c>
      <c r="I103" t="s">
        <v>78</v>
      </c>
      <c r="J103">
        <v>5</v>
      </c>
      <c r="K103">
        <f t="shared" si="47"/>
        <v>2019</v>
      </c>
      <c r="N103">
        <f>7879.66+2760.98</f>
        <v>10640.64</v>
      </c>
      <c r="P103">
        <f>N103-N103*G103</f>
        <v>10640.64</v>
      </c>
      <c r="Q103">
        <f>P103/J103/12</f>
        <v>177.34399999999997</v>
      </c>
      <c r="R103">
        <f>IF(O103&gt;0,0,IF(OR(AD103&gt;AE103,AF103&lt;AG103),0,IF(AND(AF103&gt;=AG103,AF103&lt;=AE103),Q103*((AF103-AG103)*12),IF(AND(AG103&lt;=AD103,AE103&gt;=AD103),((AE103-AD103)*12)*Q103,IF(AF103&gt;AE103,12*Q103,0)))))</f>
        <v>0</v>
      </c>
      <c r="S103">
        <f>IF(O103=0,0,IF(AND(AH103&gt;=AG103,AH103&lt;=AF103),((AH103-AG103)*12)*Q103,0))</f>
        <v>0</v>
      </c>
      <c r="T103">
        <f>IF(S103&gt;0,S103,R103)</f>
        <v>0</v>
      </c>
      <c r="U103">
        <v>1</v>
      </c>
      <c r="V103">
        <f>U103*SUM(R103:S103)</f>
        <v>0</v>
      </c>
      <c r="X103">
        <f>IF(AD103&gt;AE103,0,IF(AF103&lt;AG103,P103,IF(AND(AF103&gt;=AG103,AF103&lt;=AE103),(P103-T103),IF(AND(AG103&lt;=AD103,AE103&gt;=AD103),0,IF(AF103&gt;AE103,((AG103-AD103)*12)*Q103,0)))))</f>
        <v>0</v>
      </c>
      <c r="Y103">
        <f>X103*U103</f>
        <v>0</v>
      </c>
      <c r="Z103">
        <v>1</v>
      </c>
      <c r="AA103">
        <f>Y103*Z103</f>
        <v>0</v>
      </c>
      <c r="AB103">
        <f>IF(O103&gt;0,0,AA103+V103*Z103)*Z103</f>
        <v>0</v>
      </c>
      <c r="AC103">
        <f>IF(O103&gt;0,(N103-AA103)/2,IF(AD103&gt;=AG103,(((N103*U103)*Z103)-AB103)/2,((((N103*U103)*Z103)-AA103)+(((N103*U103)*Z103)-AB103))/2))</f>
        <v>5320.32</v>
      </c>
      <c r="AD103">
        <f t="shared" si="59"/>
        <v>2014.9166666666667</v>
      </c>
      <c r="AE103">
        <f t="shared" si="60"/>
        <v>1</v>
      </c>
      <c r="AF103">
        <f t="shared" si="61"/>
        <v>2019.9166666666667</v>
      </c>
      <c r="AG103">
        <f t="shared" si="62"/>
        <v>0</v>
      </c>
      <c r="AH103">
        <f t="shared" si="63"/>
        <v>-8.3333333333333329E-2</v>
      </c>
      <c r="AJ103">
        <f t="shared" si="64"/>
        <v>0</v>
      </c>
      <c r="AL103">
        <f t="shared" si="65"/>
        <v>0</v>
      </c>
      <c r="AN103">
        <f t="shared" si="66"/>
        <v>0</v>
      </c>
      <c r="AP103">
        <f t="shared" si="67"/>
        <v>0</v>
      </c>
      <c r="AR103">
        <f t="shared" si="68"/>
        <v>5320.32</v>
      </c>
    </row>
    <row r="104" spans="2:44">
      <c r="C104" t="s">
        <v>578</v>
      </c>
      <c r="D104" t="s">
        <v>577</v>
      </c>
      <c r="E104">
        <v>2015</v>
      </c>
      <c r="F104">
        <v>9</v>
      </c>
      <c r="G104">
        <v>0</v>
      </c>
      <c r="I104" t="s">
        <v>78</v>
      </c>
      <c r="J104">
        <v>5</v>
      </c>
      <c r="K104">
        <f t="shared" si="47"/>
        <v>2020</v>
      </c>
      <c r="N104">
        <f>11499.37+1195.7</f>
        <v>12695.070000000002</v>
      </c>
      <c r="P104">
        <f>N104-N104*G104</f>
        <v>12695.070000000002</v>
      </c>
      <c r="Q104">
        <f>P104/J104/12</f>
        <v>211.58450000000002</v>
      </c>
      <c r="R104">
        <f>IF(O104&gt;0,0,IF(OR(AD104&gt;AE104,AF104&lt;AG104),0,IF(AND(AF104&gt;=AG104,AF104&lt;=AE104),Q104*((AF104-AG104)*12),IF(AND(AG104&lt;=AD104,AE104&gt;=AD104),((AE104-AD104)*12)*Q104,IF(AF104&gt;AE104,12*Q104,0)))))</f>
        <v>0</v>
      </c>
      <c r="S104">
        <f>IF(O104=0,0,IF(AND(AH104&gt;=AG104,AH104&lt;=AF104),((AH104-AG104)*12)*Q104,0))</f>
        <v>0</v>
      </c>
      <c r="T104">
        <f>IF(S104&gt;0,S104,R104)</f>
        <v>0</v>
      </c>
      <c r="U104">
        <v>1</v>
      </c>
      <c r="V104">
        <f>U104*SUM(R104:S104)</f>
        <v>0</v>
      </c>
      <c r="X104">
        <f>IF(AD104&gt;AE104,0,IF(AF104&lt;AG104,P104,IF(AND(AF104&gt;=AG104,AF104&lt;=AE104),(P104-T104),IF(AND(AG104&lt;=AD104,AE104&gt;=AD104),0,IF(AF104&gt;AE104,((AG104-AD104)*12)*Q104,0)))))</f>
        <v>0</v>
      </c>
      <c r="Y104">
        <f>X104*U104</f>
        <v>0</v>
      </c>
      <c r="Z104">
        <v>1</v>
      </c>
      <c r="AA104">
        <f>Y104*Z104</f>
        <v>0</v>
      </c>
      <c r="AB104">
        <f>IF(O104&gt;0,0,AA104+V104*Z104)*Z104</f>
        <v>0</v>
      </c>
      <c r="AC104">
        <f>IF(O104&gt;0,(N104-AA104)/2,IF(AD104&gt;=AG104,(((N104*U104)*Z104)-AB104)/2,((((N104*U104)*Z104)-AA104)+(((N104*U104)*Z104)-AB104))/2))</f>
        <v>6347.5350000000008</v>
      </c>
      <c r="AD104">
        <f t="shared" si="59"/>
        <v>2015.6666666666667</v>
      </c>
      <c r="AE104">
        <f t="shared" si="60"/>
        <v>1</v>
      </c>
      <c r="AF104">
        <f t="shared" si="61"/>
        <v>2020.6666666666667</v>
      </c>
      <c r="AG104">
        <f t="shared" si="62"/>
        <v>0</v>
      </c>
      <c r="AH104">
        <f t="shared" si="63"/>
        <v>-8.3333333333333329E-2</v>
      </c>
      <c r="AJ104">
        <f t="shared" si="64"/>
        <v>0</v>
      </c>
      <c r="AL104">
        <f t="shared" si="65"/>
        <v>0</v>
      </c>
      <c r="AN104">
        <f t="shared" si="66"/>
        <v>0</v>
      </c>
      <c r="AP104">
        <f t="shared" si="67"/>
        <v>0</v>
      </c>
      <c r="AR104">
        <f t="shared" si="68"/>
        <v>6347.5350000000008</v>
      </c>
    </row>
    <row r="105" spans="2:44">
      <c r="C105" t="s">
        <v>605</v>
      </c>
      <c r="D105">
        <v>170171</v>
      </c>
      <c r="E105">
        <v>2016</v>
      </c>
      <c r="F105">
        <v>11</v>
      </c>
      <c r="G105">
        <v>0</v>
      </c>
      <c r="I105" t="s">
        <v>78</v>
      </c>
      <c r="J105">
        <v>5</v>
      </c>
      <c r="K105">
        <f>E105+J105</f>
        <v>2021</v>
      </c>
      <c r="N105">
        <v>44611.57</v>
      </c>
      <c r="P105">
        <f>N105-N105*G105</f>
        <v>44611.57</v>
      </c>
      <c r="Q105">
        <f>P105/J105/12</f>
        <v>743.52616666666665</v>
      </c>
      <c r="R105">
        <f>IF(O105&gt;0,0,IF(OR(AD105&gt;AE105,AF105&lt;AG105),0,IF(AND(AF105&gt;=AG105,AF105&lt;=AE105),Q105*((AF105-AG105)*12),IF(AND(AG105&lt;=AD105,AE105&gt;=AD105),((AE105-AD105)*12)*Q105,IF(AF105&gt;AE105,12*Q105,0)))))</f>
        <v>0</v>
      </c>
      <c r="S105">
        <f>IF(O105=0,0,IF(AND(AH105&gt;=AG105,AH105&lt;=AF105),((AH105-AG105)*12)*Q105,0))</f>
        <v>0</v>
      </c>
      <c r="T105">
        <f>IF(S105&gt;0,S105,R105)</f>
        <v>0</v>
      </c>
      <c r="U105">
        <v>1</v>
      </c>
      <c r="V105">
        <f>U105*SUM(R105:S105)</f>
        <v>0</v>
      </c>
      <c r="X105">
        <f>IF(AD105&gt;AE105,0,IF(AF105&lt;AG105,P105,IF(AND(AF105&gt;=AG105,AF105&lt;=AE105),(P105-T105),IF(AND(AG105&lt;=AD105,AE105&gt;=AD105),0,IF(AF105&gt;AE105,((AG105-AD105)*12)*Q105,0)))))</f>
        <v>0</v>
      </c>
      <c r="Y105">
        <f>X105*U105</f>
        <v>0</v>
      </c>
      <c r="Z105">
        <v>1</v>
      </c>
      <c r="AA105">
        <f>Y105*Z105</f>
        <v>0</v>
      </c>
      <c r="AB105">
        <f>IF(O105&gt;0,0,AA105+V105*Z105)*Z105</f>
        <v>0</v>
      </c>
      <c r="AC105">
        <f>IF(O105&gt;0,(N105-AA105)/2,IF(AD105&gt;=AG105,(((N105*U105)*Z105)-AB105)/2,((((N105*U105)*Z105)-AA105)+(((N105*U105)*Z105)-AB105))/2))</f>
        <v>22305.785</v>
      </c>
      <c r="AD105">
        <f t="shared" si="59"/>
        <v>2016.8333333333333</v>
      </c>
      <c r="AE105">
        <f t="shared" si="60"/>
        <v>1</v>
      </c>
      <c r="AF105">
        <f t="shared" si="61"/>
        <v>2021.8333333333333</v>
      </c>
      <c r="AG105">
        <f t="shared" si="62"/>
        <v>0</v>
      </c>
      <c r="AH105">
        <f t="shared" si="63"/>
        <v>-8.3333333333333329E-2</v>
      </c>
      <c r="AJ105">
        <f t="shared" si="64"/>
        <v>0</v>
      </c>
      <c r="AL105">
        <f t="shared" si="65"/>
        <v>0</v>
      </c>
      <c r="AN105">
        <f t="shared" si="66"/>
        <v>0</v>
      </c>
      <c r="AP105">
        <f t="shared" si="67"/>
        <v>0</v>
      </c>
      <c r="AR105">
        <f t="shared" si="68"/>
        <v>22305.785</v>
      </c>
    </row>
    <row r="107" spans="2:44">
      <c r="C107" t="s">
        <v>266</v>
      </c>
      <c r="N107">
        <f>SUM(N53:N106)</f>
        <v>1661982.6400000001</v>
      </c>
      <c r="P107">
        <f>SUM(P53:P106)</f>
        <v>1614540.6322999999</v>
      </c>
      <c r="Q107">
        <f>SUM(Q53:Q106)</f>
        <v>19935.406698637336</v>
      </c>
      <c r="R107">
        <f>SUM(R53:R106)</f>
        <v>0</v>
      </c>
      <c r="T107">
        <f>SUM(T53:T106)</f>
        <v>0</v>
      </c>
      <c r="V107">
        <f>SUM(V53:V106)</f>
        <v>0</v>
      </c>
      <c r="X107">
        <f>SUM(X53:X106)</f>
        <v>0</v>
      </c>
      <c r="Y107">
        <f>SUM(Y53:Y106)</f>
        <v>0</v>
      </c>
      <c r="AA107">
        <f>SUM(AA53:AA106)</f>
        <v>0</v>
      </c>
      <c r="AB107">
        <f>SUM(AB53:AB106)</f>
        <v>0</v>
      </c>
      <c r="AC107">
        <f>SUM(AC53:AC106)</f>
        <v>830991.32000000007</v>
      </c>
      <c r="AJ107">
        <f t="shared" ref="AJ107:AR107" si="69">SUM(AJ53:AJ106)</f>
        <v>23.515900062040274</v>
      </c>
      <c r="AK107">
        <f t="shared" si="69"/>
        <v>0</v>
      </c>
      <c r="AL107">
        <f t="shared" si="69"/>
        <v>23.515900062040274</v>
      </c>
      <c r="AM107">
        <f t="shared" si="69"/>
        <v>0</v>
      </c>
      <c r="AN107">
        <f t="shared" si="69"/>
        <v>0</v>
      </c>
      <c r="AO107">
        <f t="shared" si="69"/>
        <v>0</v>
      </c>
      <c r="AP107">
        <f t="shared" si="69"/>
        <v>93513.957049968973</v>
      </c>
      <c r="AQ107">
        <f t="shared" si="69"/>
        <v>0</v>
      </c>
      <c r="AR107">
        <f t="shared" si="69"/>
        <v>830979.56204996887</v>
      </c>
    </row>
    <row r="108" spans="2:44">
      <c r="C108" t="s">
        <v>316</v>
      </c>
    </row>
    <row r="109" spans="2:44">
      <c r="C109" t="s">
        <v>316</v>
      </c>
    </row>
    <row r="110" spans="2:44">
      <c r="C110" t="s">
        <v>278</v>
      </c>
    </row>
    <row r="111" spans="2:44">
      <c r="C111" t="s">
        <v>316</v>
      </c>
    </row>
    <row r="112" spans="2:44">
      <c r="B112">
        <v>6029</v>
      </c>
      <c r="C112" t="s">
        <v>493</v>
      </c>
      <c r="D112">
        <v>105497</v>
      </c>
      <c r="E112">
        <v>2003</v>
      </c>
      <c r="F112">
        <v>3</v>
      </c>
      <c r="G112">
        <v>0.2</v>
      </c>
      <c r="I112" t="s">
        <v>78</v>
      </c>
      <c r="J112">
        <v>5</v>
      </c>
      <c r="K112">
        <f t="shared" ref="K112:K117" si="70">E112+J112</f>
        <v>2008</v>
      </c>
      <c r="N112">
        <v>16108.62</v>
      </c>
      <c r="P112">
        <f t="shared" ref="P112:P117" si="71">N112-N112*G112</f>
        <v>12886.896000000001</v>
      </c>
      <c r="Q112">
        <f t="shared" ref="Q112:Q117" si="72">P112/J112/12</f>
        <v>214.78160000000003</v>
      </c>
      <c r="R112">
        <f t="shared" ref="R112:R117" si="73">IF(O112&gt;0,0,IF(OR(AD112&gt;AE112,AF112&lt;AG112),0,IF(AND(AF112&gt;=AG112,AF112&lt;=AE112),Q112*((AF112-AG112)*12),IF(AND(AG112&lt;=AD112,AE112&gt;=AD112),((AE112-AD112)*12)*Q112,IF(AF112&gt;AE112,12*Q112,0)))))</f>
        <v>0</v>
      </c>
      <c r="S112">
        <f t="shared" ref="S112:S117" si="74">IF(O112=0,0,IF(AND(AH112&gt;=AG112,AH112&lt;=AF112),((AH112-AG112)*12)*Q112,0))</f>
        <v>0</v>
      </c>
      <c r="T112">
        <f t="shared" ref="T112:T117" si="75">IF(S112&gt;0,S112,R112)</f>
        <v>0</v>
      </c>
      <c r="U112">
        <v>1</v>
      </c>
      <c r="V112">
        <f t="shared" ref="V112:V117" si="76">U112*SUM(R112:S112)</f>
        <v>0</v>
      </c>
      <c r="X112">
        <f t="shared" ref="X112:X117" si="77">IF(AD112&gt;AE112,0,IF(AF112&lt;AG112,P112,IF(AND(AF112&gt;=AG112,AF112&lt;=AE112),(P112-T112),IF(AND(AG112&lt;=AD112,AE112&gt;=AD112),0,IF(AF112&gt;AE112,((AG112-AD112)*12)*Q112,0)))))</f>
        <v>0</v>
      </c>
      <c r="Y112">
        <f t="shared" ref="Y112:Y117" si="78">X112*U112</f>
        <v>0</v>
      </c>
      <c r="Z112">
        <v>1</v>
      </c>
      <c r="AA112">
        <f t="shared" ref="AA112:AA117" si="79">Y112*Z112</f>
        <v>0</v>
      </c>
      <c r="AB112">
        <f t="shared" ref="AB112:AB117" si="80">IF(O112&gt;0,0,AA112+V112*Z112)*Z112</f>
        <v>0</v>
      </c>
      <c r="AC112">
        <f t="shared" ref="AC112:AC117" si="81">IF(O112&gt;0,(N112-AA112)/2,IF(AD112&gt;=AG112,(((N112*U112)*Z112)-AB112)/2,((((N112*U112)*Z112)-AA112)+(((N112*U112)*Z112)-AB112))/2))</f>
        <v>8054.31</v>
      </c>
      <c r="AD112">
        <f t="shared" ref="AD112:AD117" si="82">$E112+(($F112-1)/12)</f>
        <v>2003.1666666666667</v>
      </c>
      <c r="AE112">
        <f t="shared" ref="AE112:AE117" si="83">($P$5+1)-($P$2/12)</f>
        <v>1</v>
      </c>
      <c r="AF112">
        <f t="shared" ref="AF112:AF117" si="84">$K112+(($F112-1)/12)</f>
        <v>2008.1666666666667</v>
      </c>
      <c r="AG112">
        <f>$P$4+($P$3/12)</f>
        <v>0</v>
      </c>
      <c r="AH112">
        <f t="shared" ref="AH112:AH117" si="85">$L112+(($M112-1)/12)</f>
        <v>-8.3333333333333329E-2</v>
      </c>
      <c r="AJ112">
        <f t="shared" ref="AJ112:AJ117" si="86">+IF((AF112-AG112)&gt;3,((N112-P112)/(AF112-AG112)),(N112-P112)/3)</f>
        <v>1.6043110631587685</v>
      </c>
      <c r="AL112">
        <f t="shared" ref="AL112:AL117" si="87">+AJ112+V112</f>
        <v>1.6043110631587685</v>
      </c>
      <c r="AN112">
        <f t="shared" ref="AN112:AN117" si="88">+IF(AF112&lt;AG112,-AC112,0)</f>
        <v>0</v>
      </c>
      <c r="AP112">
        <f t="shared" ref="AP112:AP117" si="89">IF(AF112&gt;AG112,IF(AJ112&gt;0,IF(O112&gt;0,(N112-AA112)/2,IF(AD112&gt;=AG112,(((N112*U112)*Z112)-(AB112+AJ112))/2,((((N112*U112)*Z112)-AA112)+(((N112*U112)*Z112)-(AB112+AJ112)))/2)),0),0)</f>
        <v>8053.5078444684214</v>
      </c>
      <c r="AR112">
        <f t="shared" ref="AR112:AR117" si="90">+AC112+AN112+(IF(AP112&gt;0,(AP112-AC112),0))</f>
        <v>8053.5078444684214</v>
      </c>
    </row>
    <row r="113" spans="1:44">
      <c r="B113">
        <v>6050</v>
      </c>
      <c r="C113" t="s">
        <v>454</v>
      </c>
      <c r="D113">
        <v>75671</v>
      </c>
      <c r="E113">
        <v>2010</v>
      </c>
      <c r="F113">
        <v>7</v>
      </c>
      <c r="G113">
        <v>0.33</v>
      </c>
      <c r="I113" t="s">
        <v>78</v>
      </c>
      <c r="J113">
        <v>5</v>
      </c>
      <c r="K113">
        <f t="shared" si="70"/>
        <v>2015</v>
      </c>
      <c r="N113">
        <v>15000</v>
      </c>
      <c r="O113">
        <v>0</v>
      </c>
      <c r="P113">
        <f t="shared" si="71"/>
        <v>10050</v>
      </c>
      <c r="Q113">
        <f t="shared" si="72"/>
        <v>167.5</v>
      </c>
      <c r="R113">
        <f t="shared" si="73"/>
        <v>0</v>
      </c>
      <c r="S113">
        <f t="shared" si="74"/>
        <v>0</v>
      </c>
      <c r="T113">
        <f t="shared" si="75"/>
        <v>0</v>
      </c>
      <c r="U113">
        <v>1</v>
      </c>
      <c r="V113">
        <f t="shared" si="76"/>
        <v>0</v>
      </c>
      <c r="X113">
        <f t="shared" si="77"/>
        <v>0</v>
      </c>
      <c r="Y113">
        <f t="shared" si="78"/>
        <v>0</v>
      </c>
      <c r="Z113">
        <v>1</v>
      </c>
      <c r="AA113">
        <f t="shared" si="79"/>
        <v>0</v>
      </c>
      <c r="AB113">
        <f t="shared" si="80"/>
        <v>0</v>
      </c>
      <c r="AC113">
        <f t="shared" si="81"/>
        <v>7500</v>
      </c>
      <c r="AD113">
        <f t="shared" si="82"/>
        <v>2010.5</v>
      </c>
      <c r="AE113">
        <f t="shared" si="83"/>
        <v>1</v>
      </c>
      <c r="AF113">
        <f t="shared" si="84"/>
        <v>2015.5</v>
      </c>
      <c r="AG113">
        <f>$P$4+($P$3/12)</f>
        <v>0</v>
      </c>
      <c r="AH113">
        <f t="shared" si="85"/>
        <v>-8.3333333333333329E-2</v>
      </c>
      <c r="AJ113">
        <f t="shared" si="86"/>
        <v>2.4559662614735798</v>
      </c>
      <c r="AL113">
        <f t="shared" si="87"/>
        <v>2.4559662614735798</v>
      </c>
      <c r="AN113">
        <f t="shared" si="88"/>
        <v>0</v>
      </c>
      <c r="AP113">
        <f t="shared" si="89"/>
        <v>7498.7720168692631</v>
      </c>
      <c r="AR113">
        <f t="shared" si="90"/>
        <v>7498.7720168692631</v>
      </c>
    </row>
    <row r="114" spans="1:44">
      <c r="C114" t="s">
        <v>421</v>
      </c>
      <c r="D114">
        <v>79336</v>
      </c>
      <c r="E114">
        <v>2010</v>
      </c>
      <c r="F114">
        <v>12</v>
      </c>
      <c r="G114">
        <v>0.33</v>
      </c>
      <c r="I114" t="s">
        <v>78</v>
      </c>
      <c r="J114">
        <v>5</v>
      </c>
      <c r="K114">
        <f t="shared" si="70"/>
        <v>2015</v>
      </c>
      <c r="N114">
        <v>39289.4</v>
      </c>
      <c r="O114">
        <v>0</v>
      </c>
      <c r="P114">
        <f t="shared" si="71"/>
        <v>26323.898000000001</v>
      </c>
      <c r="Q114">
        <f t="shared" si="72"/>
        <v>438.73163333333332</v>
      </c>
      <c r="R114">
        <f t="shared" si="73"/>
        <v>0</v>
      </c>
      <c r="S114">
        <f t="shared" si="74"/>
        <v>0</v>
      </c>
      <c r="T114">
        <f t="shared" si="75"/>
        <v>0</v>
      </c>
      <c r="U114">
        <v>1</v>
      </c>
      <c r="V114">
        <f t="shared" si="76"/>
        <v>0</v>
      </c>
      <c r="X114">
        <f t="shared" si="77"/>
        <v>0</v>
      </c>
      <c r="Y114">
        <f t="shared" si="78"/>
        <v>0</v>
      </c>
      <c r="Z114">
        <v>1</v>
      </c>
      <c r="AA114">
        <f t="shared" si="79"/>
        <v>0</v>
      </c>
      <c r="AB114">
        <f t="shared" si="80"/>
        <v>0</v>
      </c>
      <c r="AC114">
        <f t="shared" si="81"/>
        <v>19644.7</v>
      </c>
      <c r="AD114">
        <f t="shared" si="82"/>
        <v>2010.9166666666667</v>
      </c>
      <c r="AE114">
        <f t="shared" si="83"/>
        <v>1</v>
      </c>
      <c r="AF114">
        <f t="shared" si="84"/>
        <v>2015.9166666666667</v>
      </c>
      <c r="AG114">
        <f>$P$4+($P$3/12)</f>
        <v>0</v>
      </c>
      <c r="AH114">
        <f t="shared" si="85"/>
        <v>-8.3333333333333329E-2</v>
      </c>
      <c r="AJ114">
        <f t="shared" si="86"/>
        <v>6.4315664503327685</v>
      </c>
      <c r="AL114">
        <f t="shared" si="87"/>
        <v>6.4315664503327685</v>
      </c>
      <c r="AN114">
        <f t="shared" si="88"/>
        <v>0</v>
      </c>
      <c r="AP114">
        <f t="shared" si="89"/>
        <v>19641.484216774836</v>
      </c>
      <c r="AR114">
        <f t="shared" si="90"/>
        <v>19641.484216774836</v>
      </c>
    </row>
    <row r="115" spans="1:44">
      <c r="A115" t="s">
        <v>556</v>
      </c>
      <c r="B115">
        <v>6047</v>
      </c>
      <c r="C115" t="s">
        <v>555</v>
      </c>
      <c r="D115">
        <v>114290</v>
      </c>
      <c r="E115">
        <v>2011</v>
      </c>
      <c r="F115">
        <v>5</v>
      </c>
      <c r="G115">
        <v>0.33</v>
      </c>
      <c r="I115" t="s">
        <v>78</v>
      </c>
      <c r="J115">
        <v>5</v>
      </c>
      <c r="K115">
        <f t="shared" si="70"/>
        <v>2016</v>
      </c>
      <c r="N115">
        <v>22311.09</v>
      </c>
      <c r="P115">
        <f t="shared" si="71"/>
        <v>14948.4303</v>
      </c>
      <c r="Q115">
        <f t="shared" si="72"/>
        <v>249.14050499999999</v>
      </c>
      <c r="R115">
        <f t="shared" si="73"/>
        <v>0</v>
      </c>
      <c r="S115">
        <f t="shared" si="74"/>
        <v>0</v>
      </c>
      <c r="T115">
        <f t="shared" si="75"/>
        <v>0</v>
      </c>
      <c r="U115">
        <v>1</v>
      </c>
      <c r="V115">
        <f t="shared" si="76"/>
        <v>0</v>
      </c>
      <c r="X115">
        <f t="shared" si="77"/>
        <v>0</v>
      </c>
      <c r="Y115">
        <f t="shared" si="78"/>
        <v>0</v>
      </c>
      <c r="Z115">
        <v>1</v>
      </c>
      <c r="AA115">
        <f t="shared" si="79"/>
        <v>0</v>
      </c>
      <c r="AB115">
        <f t="shared" si="80"/>
        <v>0</v>
      </c>
      <c r="AC115">
        <f t="shared" si="81"/>
        <v>22311.09</v>
      </c>
      <c r="AD115">
        <f t="shared" si="82"/>
        <v>2011.3333333333333</v>
      </c>
      <c r="AE115">
        <f t="shared" si="83"/>
        <v>1</v>
      </c>
      <c r="AF115">
        <f t="shared" si="84"/>
        <v>2016.3333333333333</v>
      </c>
      <c r="AG115">
        <f>'[24]2184 Other Equipment'!$P$4+('[24]2184 Other Equipment'!$P$3/12)</f>
        <v>2014</v>
      </c>
      <c r="AH115">
        <f t="shared" si="85"/>
        <v>-8.3333333333333329E-2</v>
      </c>
      <c r="AJ115">
        <f t="shared" si="86"/>
        <v>2454.2199000000001</v>
      </c>
      <c r="AL115">
        <f t="shared" si="87"/>
        <v>2454.2199000000001</v>
      </c>
      <c r="AN115">
        <f t="shared" si="88"/>
        <v>0</v>
      </c>
      <c r="AP115">
        <f t="shared" si="89"/>
        <v>21083.980049999998</v>
      </c>
      <c r="AR115">
        <f t="shared" si="90"/>
        <v>21083.980049999998</v>
      </c>
    </row>
    <row r="116" spans="1:44">
      <c r="B116">
        <v>7699</v>
      </c>
      <c r="C116" t="s">
        <v>582</v>
      </c>
      <c r="D116">
        <v>128432</v>
      </c>
      <c r="E116">
        <v>2015</v>
      </c>
      <c r="F116">
        <v>12</v>
      </c>
      <c r="G116">
        <v>0.2</v>
      </c>
      <c r="I116" t="s">
        <v>78</v>
      </c>
      <c r="J116">
        <v>7</v>
      </c>
      <c r="K116">
        <f t="shared" si="70"/>
        <v>2022</v>
      </c>
      <c r="N116">
        <v>11848.3</v>
      </c>
      <c r="P116">
        <f t="shared" si="71"/>
        <v>9478.64</v>
      </c>
      <c r="Q116">
        <f t="shared" si="72"/>
        <v>112.84095238095237</v>
      </c>
      <c r="R116">
        <f t="shared" si="73"/>
        <v>0</v>
      </c>
      <c r="S116">
        <f t="shared" si="74"/>
        <v>0</v>
      </c>
      <c r="T116">
        <f t="shared" si="75"/>
        <v>0</v>
      </c>
      <c r="U116">
        <v>1</v>
      </c>
      <c r="V116">
        <f t="shared" si="76"/>
        <v>0</v>
      </c>
      <c r="X116">
        <f t="shared" si="77"/>
        <v>0</v>
      </c>
      <c r="Y116">
        <f t="shared" si="78"/>
        <v>0</v>
      </c>
      <c r="Z116">
        <v>1</v>
      </c>
      <c r="AA116">
        <f t="shared" si="79"/>
        <v>0</v>
      </c>
      <c r="AB116">
        <f t="shared" si="80"/>
        <v>0</v>
      </c>
      <c r="AC116">
        <f t="shared" si="81"/>
        <v>5924.15</v>
      </c>
      <c r="AD116">
        <f t="shared" si="82"/>
        <v>2015.9166666666667</v>
      </c>
      <c r="AE116">
        <f t="shared" si="83"/>
        <v>1</v>
      </c>
      <c r="AF116">
        <f t="shared" si="84"/>
        <v>2022.9166666666667</v>
      </c>
      <c r="AG116">
        <f>'[24]2184 Other Equipment'!$P$4+('[24]2184 Other Equipment'!$P$3/12)</f>
        <v>2014</v>
      </c>
      <c r="AH116">
        <f t="shared" si="85"/>
        <v>-8.3333333333333329E-2</v>
      </c>
      <c r="AJ116">
        <f t="shared" si="86"/>
        <v>265.75626168224073</v>
      </c>
      <c r="AL116">
        <f t="shared" si="87"/>
        <v>265.75626168224073</v>
      </c>
      <c r="AN116">
        <f t="shared" si="88"/>
        <v>0</v>
      </c>
      <c r="AP116">
        <f t="shared" si="89"/>
        <v>5791.2718691588789</v>
      </c>
      <c r="AR116">
        <f t="shared" si="90"/>
        <v>5791.2718691588789</v>
      </c>
    </row>
    <row r="117" spans="1:44">
      <c r="B117">
        <v>6056</v>
      </c>
      <c r="C117" t="s">
        <v>603</v>
      </c>
      <c r="D117" t="s">
        <v>604</v>
      </c>
      <c r="E117">
        <v>2016</v>
      </c>
      <c r="F117">
        <v>9</v>
      </c>
      <c r="G117">
        <v>0</v>
      </c>
      <c r="I117" t="s">
        <v>78</v>
      </c>
      <c r="J117">
        <v>4</v>
      </c>
      <c r="K117">
        <f t="shared" si="70"/>
        <v>2020</v>
      </c>
      <c r="N117">
        <f>29202.25+2673.24</f>
        <v>31875.489999999998</v>
      </c>
      <c r="P117">
        <f t="shared" si="71"/>
        <v>31875.489999999998</v>
      </c>
      <c r="Q117">
        <f t="shared" si="72"/>
        <v>664.07270833333325</v>
      </c>
      <c r="R117">
        <f t="shared" si="73"/>
        <v>0</v>
      </c>
      <c r="S117">
        <f t="shared" si="74"/>
        <v>0</v>
      </c>
      <c r="T117">
        <f t="shared" si="75"/>
        <v>0</v>
      </c>
      <c r="U117">
        <v>1</v>
      </c>
      <c r="V117">
        <f t="shared" si="76"/>
        <v>0</v>
      </c>
      <c r="X117">
        <f t="shared" si="77"/>
        <v>0</v>
      </c>
      <c r="Y117">
        <f t="shared" si="78"/>
        <v>0</v>
      </c>
      <c r="Z117">
        <v>1</v>
      </c>
      <c r="AA117">
        <f t="shared" si="79"/>
        <v>0</v>
      </c>
      <c r="AB117">
        <f t="shared" si="80"/>
        <v>0</v>
      </c>
      <c r="AC117">
        <f t="shared" si="81"/>
        <v>15937.744999999999</v>
      </c>
      <c r="AD117">
        <f t="shared" si="82"/>
        <v>2016.6666666666667</v>
      </c>
      <c r="AE117">
        <f t="shared" si="83"/>
        <v>1</v>
      </c>
      <c r="AF117">
        <f t="shared" si="84"/>
        <v>2020.6666666666667</v>
      </c>
      <c r="AG117">
        <f>'[24]2184 Other Equipment'!$P$4+('[24]2184 Other Equipment'!$P$3/12)</f>
        <v>2014</v>
      </c>
      <c r="AH117">
        <f t="shared" si="85"/>
        <v>-8.3333333333333329E-2</v>
      </c>
      <c r="AJ117">
        <f t="shared" si="86"/>
        <v>0</v>
      </c>
      <c r="AL117">
        <f t="shared" si="87"/>
        <v>0</v>
      </c>
      <c r="AN117">
        <f t="shared" si="88"/>
        <v>0</v>
      </c>
      <c r="AP117">
        <f t="shared" si="89"/>
        <v>0</v>
      </c>
      <c r="AR117">
        <f t="shared" si="90"/>
        <v>15937.744999999999</v>
      </c>
    </row>
    <row r="118" spans="1:44">
      <c r="C118" t="s">
        <v>316</v>
      </c>
    </row>
    <row r="119" spans="1:44">
      <c r="C119" t="s">
        <v>2</v>
      </c>
      <c r="N119">
        <f>SUM(N112:N118)</f>
        <v>136432.9</v>
      </c>
      <c r="P119">
        <f>SUM(P112:P118)</f>
        <v>105563.35430000001</v>
      </c>
      <c r="Q119">
        <f>SUM(Q112:Q118)</f>
        <v>1847.0673990476189</v>
      </c>
      <c r="R119">
        <f>SUM(R112:R118)</f>
        <v>0</v>
      </c>
      <c r="S119">
        <f>SUM(S55:S118)</f>
        <v>0</v>
      </c>
      <c r="T119">
        <f>SUM(T112:T118)</f>
        <v>0</v>
      </c>
      <c r="V119">
        <f>SUM(V112:V118)</f>
        <v>0</v>
      </c>
      <c r="X119">
        <f>SUM(X112:X118)</f>
        <v>0</v>
      </c>
      <c r="Y119">
        <f>SUM(Y112:Y118)</f>
        <v>0</v>
      </c>
      <c r="AA119">
        <f>SUM(AA112:AA118)</f>
        <v>0</v>
      </c>
      <c r="AB119">
        <f>SUM(AB112:AB118)</f>
        <v>0</v>
      </c>
      <c r="AC119">
        <f>SUM(AC112:AC118)</f>
        <v>79371.99500000001</v>
      </c>
      <c r="AJ119">
        <f t="shared" ref="AJ119:AR119" si="91">SUM(AJ112:AJ118)</f>
        <v>2730.4680054572059</v>
      </c>
      <c r="AK119">
        <f t="shared" si="91"/>
        <v>0</v>
      </c>
      <c r="AL119">
        <f t="shared" si="91"/>
        <v>2730.4680054572059</v>
      </c>
      <c r="AM119">
        <f t="shared" si="91"/>
        <v>0</v>
      </c>
      <c r="AN119">
        <f t="shared" si="91"/>
        <v>0</v>
      </c>
      <c r="AO119">
        <f t="shared" si="91"/>
        <v>0</v>
      </c>
      <c r="AP119">
        <f t="shared" si="91"/>
        <v>62069.015997271403</v>
      </c>
      <c r="AQ119">
        <f t="shared" si="91"/>
        <v>0</v>
      </c>
      <c r="AR119">
        <f t="shared" si="91"/>
        <v>78006.760997271398</v>
      </c>
    </row>
    <row r="120" spans="1:44">
      <c r="C120" t="s">
        <v>316</v>
      </c>
    </row>
    <row r="121" spans="1:44">
      <c r="C121" t="s">
        <v>316</v>
      </c>
    </row>
    <row r="122" spans="1:44">
      <c r="C122" t="s">
        <v>409</v>
      </c>
    </row>
    <row r="123" spans="1:44">
      <c r="C123" t="s">
        <v>316</v>
      </c>
    </row>
    <row r="124" spans="1:44">
      <c r="C124" t="s">
        <v>211</v>
      </c>
      <c r="E124">
        <v>2000</v>
      </c>
      <c r="F124">
        <v>6</v>
      </c>
      <c r="G124">
        <v>0</v>
      </c>
      <c r="I124" t="s">
        <v>78</v>
      </c>
      <c r="J124">
        <v>5</v>
      </c>
      <c r="K124">
        <f>E124+J124</f>
        <v>2005</v>
      </c>
      <c r="N124">
        <v>1538.86</v>
      </c>
      <c r="O124">
        <v>0</v>
      </c>
      <c r="P124">
        <f>N124-N124*G124</f>
        <v>1538.86</v>
      </c>
      <c r="Q124">
        <f>P124/J124/12</f>
        <v>25.647666666666666</v>
      </c>
      <c r="R124">
        <f>IF(O124&gt;0,0,IF(OR(AD124&gt;AE124,AF124&lt;AG124),0,IF(AND(AF124&gt;=AG124,AF124&lt;=AE124),Q124*((AF124-AG124)*12),IF(AND(AG124&lt;=AD124,AE124&gt;=AD124),((AE124-AD124)*12)*Q124,IF(AF124&gt;AE124,12*Q124,0)))))</f>
        <v>0</v>
      </c>
      <c r="S124">
        <f>IF(O124=0,0,IF(AND(AH124&gt;=AG124,AH124&lt;=AF124),((AH124-AG124)*12)*Q124,0))</f>
        <v>0</v>
      </c>
      <c r="T124">
        <f>IF(S124&gt;0,S124,R124)</f>
        <v>0</v>
      </c>
      <c r="U124">
        <v>1</v>
      </c>
      <c r="V124">
        <f>U124*SUM(R124:S124)</f>
        <v>0</v>
      </c>
      <c r="X124">
        <f>IF(AD124&gt;AE124,0,IF(AF124&lt;AG124,P124,IF(AND(AF124&gt;=AG124,AF124&lt;=AE124),(P124-T124),IF(AND(AG124&lt;=AD124,AE124&gt;=AD124),0,IF(AF124&gt;AE124,((AG124-AD124)*12)*Q124,0)))))</f>
        <v>0</v>
      </c>
      <c r="Y124">
        <f>X124*U124</f>
        <v>0</v>
      </c>
      <c r="Z124">
        <v>1</v>
      </c>
      <c r="AA124">
        <f>Y124*Z124</f>
        <v>0</v>
      </c>
      <c r="AB124">
        <f>IF(O124&gt;0,0,AA124+V124*Z124)*Z124</f>
        <v>0</v>
      </c>
      <c r="AC124">
        <f>IF(O124&gt;0,(N124-AA124)/2,IF(AD124&gt;=AG124,(((N124*U124)*Z124)-AB124)/2,((((N124*U124)*Z124)-AA124)+(((N124*U124)*Z124)-AB124))/2))</f>
        <v>769.43</v>
      </c>
      <c r="AD124">
        <f t="shared" ref="AD124:AD153" si="92">$E124+(($F124-1)/12)</f>
        <v>2000.4166666666667</v>
      </c>
      <c r="AE124">
        <f t="shared" ref="AE124:AE210" si="93">($P$5+1)-($P$2/12)</f>
        <v>1</v>
      </c>
      <c r="AF124">
        <f t="shared" ref="AF124:AF153" si="94">$K124+(($F124-1)/12)</f>
        <v>2005.4166666666667</v>
      </c>
      <c r="AG124">
        <f t="shared" ref="AG124:AG210" si="95">$P$4+($P$3/12)</f>
        <v>0</v>
      </c>
      <c r="AH124">
        <f t="shared" ref="AH124:AH153" si="96">$L124+(($M124-1)/12)</f>
        <v>-8.3333333333333329E-2</v>
      </c>
      <c r="AJ124">
        <f>+IF((AF124-AG124)&gt;3,((N124-P124)/(AF124-AG124)),(N124-P124)/3)</f>
        <v>0</v>
      </c>
      <c r="AL124">
        <f>+AJ124+V124</f>
        <v>0</v>
      </c>
      <c r="AN124">
        <f>+IF(AF124&lt;AG124,-AC124,0)</f>
        <v>0</v>
      </c>
      <c r="AP124">
        <f>IF(AF124&gt;AG124,IF(AJ124&gt;0,IF(O124&gt;0,(N124-AA124)/2,IF(AD124&gt;=AG124,(((N124*U124)*Z124)-(AB124+AJ124))/2,((((N124*U124)*Z124)-AA124)+(((N124*U124)*Z124)-(AB124+AJ124)))/2)),0),0)</f>
        <v>0</v>
      </c>
      <c r="AR124">
        <f>+AC124+AN124+(IF(AP124&gt;0,(AP124-AC124),0))</f>
        <v>769.43</v>
      </c>
    </row>
    <row r="125" spans="1:44">
      <c r="C125" t="s">
        <v>210</v>
      </c>
      <c r="E125">
        <v>2000</v>
      </c>
      <c r="F125">
        <v>6</v>
      </c>
      <c r="G125">
        <v>0</v>
      </c>
      <c r="I125" t="s">
        <v>78</v>
      </c>
      <c r="J125">
        <v>5</v>
      </c>
      <c r="K125">
        <f>E125+J125</f>
        <v>2005</v>
      </c>
      <c r="N125">
        <v>12191.81</v>
      </c>
      <c r="O125">
        <v>0</v>
      </c>
      <c r="P125">
        <f>N125-N125*G125</f>
        <v>12191.81</v>
      </c>
      <c r="Q125">
        <f>P125/J125/12</f>
        <v>203.19683333333333</v>
      </c>
      <c r="R125">
        <f>IF(O125&gt;0,0,IF(OR(AD125&gt;AE125,AF125&lt;AG125),0,IF(AND(AF125&gt;=AG125,AF125&lt;=AE125),Q125*((AF125-AG125)*12),IF(AND(AG125&lt;=AD125,AE125&gt;=AD125),((AE125-AD125)*12)*Q125,IF(AF125&gt;AE125,12*Q125,0)))))</f>
        <v>0</v>
      </c>
      <c r="S125">
        <f>IF(O125=0,0,IF(AND(AH125&gt;=AG125,AH125&lt;=AF125),((AH125-AG125)*12)*Q125,0))</f>
        <v>0</v>
      </c>
      <c r="T125">
        <f>IF(S125&gt;0,S125,R125)</f>
        <v>0</v>
      </c>
      <c r="U125">
        <v>1</v>
      </c>
      <c r="V125">
        <f>U125*SUM(R125:S125)</f>
        <v>0</v>
      </c>
      <c r="X125">
        <f>IF(AD125&gt;AE125,0,IF(AF125&lt;AG125,P125,IF(AND(AF125&gt;=AG125,AF125&lt;=AE125),(P125-T125),IF(AND(AG125&lt;=AD125,AE125&gt;=AD125),0,IF(AF125&gt;AE125,((AG125-AD125)*12)*Q125,0)))))</f>
        <v>0</v>
      </c>
      <c r="Y125">
        <f>X125*U125</f>
        <v>0</v>
      </c>
      <c r="Z125">
        <v>1</v>
      </c>
      <c r="AA125">
        <f>Y125*Z125</f>
        <v>0</v>
      </c>
      <c r="AB125">
        <f>IF(O125&gt;0,0,AA125+V125*Z125)*Z125</f>
        <v>0</v>
      </c>
      <c r="AC125">
        <f>IF(O125&gt;0,(N125-AA125)/2,IF(AD125&gt;=AG125,(((N125*U125)*Z125)-AB125)/2,((((N125*U125)*Z125)-AA125)+(((N125*U125)*Z125)-AB125))/2))</f>
        <v>6095.9049999999997</v>
      </c>
      <c r="AD125">
        <f t="shared" si="92"/>
        <v>2000.4166666666667</v>
      </c>
      <c r="AE125">
        <f t="shared" si="93"/>
        <v>1</v>
      </c>
      <c r="AF125">
        <f t="shared" si="94"/>
        <v>2005.4166666666667</v>
      </c>
      <c r="AG125">
        <f t="shared" si="95"/>
        <v>0</v>
      </c>
      <c r="AH125">
        <f t="shared" si="96"/>
        <v>-8.3333333333333329E-2</v>
      </c>
      <c r="AJ125">
        <f t="shared" ref="AJ125:AJ152" si="97">+IF((AF125-AG125)&gt;3,((N125-P125)/(AF125-AG125)),(N125-P125)/3)</f>
        <v>0</v>
      </c>
      <c r="AL125">
        <f t="shared" ref="AL125:AL152" si="98">+AJ125+V125</f>
        <v>0</v>
      </c>
      <c r="AN125">
        <f t="shared" ref="AN125:AN152" si="99">+IF(AF125&lt;AG125,-AC125,0)</f>
        <v>0</v>
      </c>
      <c r="AP125">
        <f t="shared" ref="AP125:AP152" si="100">IF(AF125&gt;AG125,IF(AJ125&gt;0,IF(O125&gt;0,(N125-AA125)/2,IF(AD125&gt;=AG125,(((N125*U125)*Z125)-(AB125+AJ125))/2,((((N125*U125)*Z125)-AA125)+(((N125*U125)*Z125)-(AB125+AJ125)))/2)),0),0)</f>
        <v>0</v>
      </c>
      <c r="AR125">
        <f t="shared" ref="AR125:AR152" si="101">+AC125+AN125+(IF(AP125&gt;0,(AP125-AC125),0))</f>
        <v>6095.9049999999997</v>
      </c>
    </row>
    <row r="126" spans="1:44">
      <c r="C126" t="s">
        <v>309</v>
      </c>
      <c r="E126">
        <v>2004</v>
      </c>
      <c r="F126">
        <v>6</v>
      </c>
      <c r="G126">
        <v>0</v>
      </c>
      <c r="I126" t="s">
        <v>78</v>
      </c>
      <c r="J126">
        <v>5</v>
      </c>
      <c r="K126">
        <f>E126+J126</f>
        <v>2009</v>
      </c>
      <c r="N126">
        <v>7911.04</v>
      </c>
      <c r="O126">
        <v>0</v>
      </c>
      <c r="P126">
        <f>N126-N126*G126</f>
        <v>7911.04</v>
      </c>
      <c r="Q126">
        <f>P126/J126/12</f>
        <v>131.85066666666668</v>
      </c>
      <c r="R126">
        <f>IF(O126&gt;0,0,IF(OR(AD126&gt;AE126,AF126&lt;AG126),0,IF(AND(AF126&gt;=AG126,AF126&lt;=AE126),Q126*((AF126-AG126)*12),IF(AND(AG126&lt;=AD126,AE126&gt;=AD126),((AE126-AD126)*12)*Q126,IF(AF126&gt;AE126,12*Q126,0)))))</f>
        <v>0</v>
      </c>
      <c r="S126">
        <f>IF(O126=0,0,IF(AND(AH126&gt;=AG126,AH126&lt;=AF126),((AH126-AG126)*12)*Q126,0))</f>
        <v>0</v>
      </c>
      <c r="T126">
        <f>IF(S126&gt;0,S126,R126)</f>
        <v>0</v>
      </c>
      <c r="U126">
        <v>1</v>
      </c>
      <c r="V126">
        <f>U126*SUM(R126:S126)</f>
        <v>0</v>
      </c>
      <c r="X126">
        <f>IF(AD126&gt;AE126,0,IF(AF126&lt;AG126,P126,IF(AND(AF126&gt;=AG126,AF126&lt;=AE126),(P126-T126),IF(AND(AG126&lt;=AD126,AE126&gt;=AD126),0,IF(AF126&gt;AE126,((AG126-AD126)*12)*Q126,0)))))</f>
        <v>0</v>
      </c>
      <c r="Y126">
        <f>X126*U126</f>
        <v>0</v>
      </c>
      <c r="Z126">
        <v>1</v>
      </c>
      <c r="AA126">
        <f>Y126*Z126</f>
        <v>0</v>
      </c>
      <c r="AB126">
        <f>IF(O126&gt;0,0,AA126+V126*Z126)*Z126</f>
        <v>0</v>
      </c>
      <c r="AC126">
        <f>IF(O126&gt;0,(N126-AA126)/2,IF(AD126&gt;=AG126,(((N126*U126)*Z126)-AB126)/2,((((N126*U126)*Z126)-AA126)+(((N126*U126)*Z126)-AB126))/2))</f>
        <v>3955.52</v>
      </c>
      <c r="AD126">
        <f t="shared" si="92"/>
        <v>2004.4166666666667</v>
      </c>
      <c r="AE126">
        <f t="shared" si="93"/>
        <v>1</v>
      </c>
      <c r="AF126">
        <f t="shared" si="94"/>
        <v>2009.4166666666667</v>
      </c>
      <c r="AG126">
        <f t="shared" si="95"/>
        <v>0</v>
      </c>
      <c r="AH126">
        <f t="shared" si="96"/>
        <v>-8.3333333333333329E-2</v>
      </c>
      <c r="AJ126">
        <f t="shared" si="97"/>
        <v>0</v>
      </c>
      <c r="AL126">
        <f t="shared" si="98"/>
        <v>0</v>
      </c>
      <c r="AN126">
        <f t="shared" si="99"/>
        <v>0</v>
      </c>
      <c r="AP126">
        <f t="shared" si="100"/>
        <v>0</v>
      </c>
      <c r="AR126">
        <f t="shared" si="101"/>
        <v>3955.52</v>
      </c>
    </row>
    <row r="127" spans="1:44">
      <c r="C127" t="s">
        <v>310</v>
      </c>
      <c r="E127">
        <v>2006</v>
      </c>
      <c r="F127">
        <v>3</v>
      </c>
      <c r="G127">
        <v>0</v>
      </c>
      <c r="I127" t="s">
        <v>78</v>
      </c>
      <c r="J127">
        <v>5</v>
      </c>
      <c r="K127">
        <f>E127+J127</f>
        <v>2011</v>
      </c>
      <c r="N127">
        <v>3359.32</v>
      </c>
      <c r="O127">
        <v>0</v>
      </c>
      <c r="P127">
        <f>N127-N127*G127</f>
        <v>3359.32</v>
      </c>
      <c r="Q127">
        <f>P127/J127/12</f>
        <v>55.988666666666667</v>
      </c>
      <c r="R127">
        <f>IF(O127&gt;0,0,IF(OR(AD127&gt;AE127,AF127&lt;AG127),0,IF(AND(AF127&gt;=AG127,AF127&lt;=AE127),Q127*((AF127-AG127)*12),IF(AND(AG127&lt;=AD127,AE127&gt;=AD127),((AE127-AD127)*12)*Q127,IF(AF127&gt;AE127,12*Q127,0)))))</f>
        <v>0</v>
      </c>
      <c r="S127">
        <f>IF(O127=0,0,IF(AND(AH127&gt;=AG127,AH127&lt;=AF127),((AH127-AG127)*12)*Q127,0))</f>
        <v>0</v>
      </c>
      <c r="T127">
        <f>IF(S127&gt;0,S127,R127)</f>
        <v>0</v>
      </c>
      <c r="U127">
        <v>1</v>
      </c>
      <c r="V127">
        <f>U127*SUM(R127:S127)</f>
        <v>0</v>
      </c>
      <c r="X127">
        <f>IF(AD127&gt;AE127,0,IF(AF127&lt;AG127,P127,IF(AND(AF127&gt;=AG127,AF127&lt;=AE127),(P127-T127),IF(AND(AG127&lt;=AD127,AE127&gt;=AD127),0,IF(AF127&gt;AE127,((AG127-AD127)*12)*Q127,0)))))</f>
        <v>0</v>
      </c>
      <c r="Y127">
        <f>X127*U127</f>
        <v>0</v>
      </c>
      <c r="Z127">
        <v>1</v>
      </c>
      <c r="AA127">
        <f>Y127*Z127</f>
        <v>0</v>
      </c>
      <c r="AB127">
        <f>IF(O127&gt;0,0,AA127+V127*Z127)*Z127</f>
        <v>0</v>
      </c>
      <c r="AC127">
        <f>IF(O127&gt;0,(N127-AA127)/2,IF(AD127&gt;=AG127,(((N127*U127)*Z127)-AB127)/2,((((N127*U127)*Z127)-AA127)+(((N127*U127)*Z127)-AB127))/2))</f>
        <v>1679.66</v>
      </c>
      <c r="AD127">
        <f t="shared" si="92"/>
        <v>2006.1666666666667</v>
      </c>
      <c r="AE127">
        <f t="shared" si="93"/>
        <v>1</v>
      </c>
      <c r="AF127">
        <f t="shared" si="94"/>
        <v>2011.1666666666667</v>
      </c>
      <c r="AG127">
        <f t="shared" si="95"/>
        <v>0</v>
      </c>
      <c r="AH127">
        <f t="shared" si="96"/>
        <v>-8.3333333333333329E-2</v>
      </c>
      <c r="AJ127">
        <f t="shared" si="97"/>
        <v>0</v>
      </c>
      <c r="AL127">
        <f t="shared" si="98"/>
        <v>0</v>
      </c>
      <c r="AN127">
        <f t="shared" si="99"/>
        <v>0</v>
      </c>
      <c r="AP127">
        <f t="shared" si="100"/>
        <v>0</v>
      </c>
      <c r="AR127">
        <f t="shared" si="101"/>
        <v>1679.66</v>
      </c>
    </row>
    <row r="128" spans="1:44">
      <c r="C128" t="s">
        <v>88</v>
      </c>
      <c r="E128">
        <v>2007</v>
      </c>
      <c r="F128">
        <v>4</v>
      </c>
      <c r="G128">
        <v>0</v>
      </c>
      <c r="I128" t="s">
        <v>78</v>
      </c>
      <c r="J128">
        <v>5</v>
      </c>
      <c r="K128">
        <f t="shared" ref="K128:K153" si="102">E128+J128</f>
        <v>2012</v>
      </c>
      <c r="N128">
        <v>8029.33</v>
      </c>
      <c r="O128">
        <v>0</v>
      </c>
      <c r="P128">
        <f>N128-N128*G128</f>
        <v>8029.33</v>
      </c>
      <c r="Q128">
        <f>P128/J128/12</f>
        <v>133.82216666666667</v>
      </c>
      <c r="R128">
        <f>IF(O128&gt;0,0,IF(OR(AD128&gt;AE128,AF128&lt;AG128),0,IF(AND(AF128&gt;=AG128,AF128&lt;=AE128),Q128*((AF128-AG128)*12),IF(AND(AG128&lt;=AD128,AE128&gt;=AD128),((AE128-AD128)*12)*Q128,IF(AF128&gt;AE128,12*Q128,0)))))</f>
        <v>0</v>
      </c>
      <c r="S128">
        <f>IF(O128=0,0,IF(AND(AH128&gt;=AG128,AH128&lt;=AF128),((AH128-AG128)*12)*Q128,0))</f>
        <v>0</v>
      </c>
      <c r="T128">
        <f>IF(S128&gt;0,S128,R128)</f>
        <v>0</v>
      </c>
      <c r="U128">
        <v>1</v>
      </c>
      <c r="V128">
        <f>U128*SUM(R128:S128)</f>
        <v>0</v>
      </c>
      <c r="X128">
        <f>IF(AD128&gt;AE128,0,IF(AF128&lt;AG128,P128,IF(AND(AF128&gt;=AG128,AF128&lt;=AE128),(P128-T128),IF(AND(AG128&lt;=AD128,AE128&gt;=AD128),0,IF(AF128&gt;AE128,((AG128-AD128)*12)*Q128,0)))))</f>
        <v>0</v>
      </c>
      <c r="Y128">
        <f>X128*U128</f>
        <v>0</v>
      </c>
      <c r="Z128">
        <v>1</v>
      </c>
      <c r="AA128">
        <f>Y128*Z128</f>
        <v>0</v>
      </c>
      <c r="AB128">
        <f>IF(O128&gt;0,0,AA128+V128*Z128)*Z128</f>
        <v>0</v>
      </c>
      <c r="AC128">
        <f>IF(O128&gt;0,(N128-AA128)/2,IF(AD128&gt;=AG128,(((N128*U128)*Z128)-AB128)/2,((((N128*U128)*Z128)-AA128)+(((N128*U128)*Z128)-AB128))/2))</f>
        <v>4014.665</v>
      </c>
      <c r="AD128">
        <f t="shared" si="92"/>
        <v>2007.25</v>
      </c>
      <c r="AE128">
        <f t="shared" si="93"/>
        <v>1</v>
      </c>
      <c r="AF128">
        <f t="shared" si="94"/>
        <v>2012.25</v>
      </c>
      <c r="AG128">
        <f t="shared" si="95"/>
        <v>0</v>
      </c>
      <c r="AH128">
        <f t="shared" si="96"/>
        <v>-8.3333333333333329E-2</v>
      </c>
      <c r="AJ128">
        <f t="shared" si="97"/>
        <v>0</v>
      </c>
      <c r="AL128">
        <f t="shared" si="98"/>
        <v>0</v>
      </c>
      <c r="AN128">
        <f t="shared" si="99"/>
        <v>0</v>
      </c>
      <c r="AP128">
        <f t="shared" si="100"/>
        <v>0</v>
      </c>
      <c r="AR128">
        <f t="shared" si="101"/>
        <v>4014.665</v>
      </c>
    </row>
    <row r="129" spans="2:44">
      <c r="B129">
        <v>7</v>
      </c>
      <c r="C129" t="s">
        <v>417</v>
      </c>
      <c r="D129">
        <v>76066</v>
      </c>
      <c r="E129">
        <v>2010</v>
      </c>
      <c r="F129">
        <v>7</v>
      </c>
      <c r="G129">
        <v>0</v>
      </c>
      <c r="I129" t="s">
        <v>78</v>
      </c>
      <c r="J129">
        <v>3</v>
      </c>
      <c r="K129">
        <f t="shared" si="102"/>
        <v>2013</v>
      </c>
      <c r="N129">
        <v>1808.47</v>
      </c>
      <c r="O129">
        <v>0</v>
      </c>
      <c r="P129">
        <f t="shared" ref="P129:P153" si="103">N129-N129*G129</f>
        <v>1808.47</v>
      </c>
      <c r="Q129">
        <f t="shared" ref="Q129:Q153" si="104">P129/J129/12</f>
        <v>50.235277777777782</v>
      </c>
      <c r="R129">
        <f t="shared" ref="R129:R150" si="105">IF(O129&gt;0,0,IF(OR(AD129&gt;AE129,AF129&lt;AG129),0,IF(AND(AF129&gt;=AG129,AF129&lt;=AE129),Q129*((AF129-AG129)*12),IF(AND(AG129&lt;=AD129,AE129&gt;=AD129),((AE129-AD129)*12)*Q129,IF(AF129&gt;AE129,12*Q129,0)))))</f>
        <v>0</v>
      </c>
      <c r="S129">
        <f t="shared" ref="S129:S150" si="106">IF(O129=0,0,IF(AND(AH129&gt;=AG129,AH129&lt;=AF129),((AH129-AG129)*12)*Q129,0))</f>
        <v>0</v>
      </c>
      <c r="T129">
        <f t="shared" ref="T129:T150" si="107">IF(S129&gt;0,S129,R129)</f>
        <v>0</v>
      </c>
      <c r="U129">
        <v>1</v>
      </c>
      <c r="V129">
        <f t="shared" ref="V129:V150" si="108">U129*SUM(R129:S129)</f>
        <v>0</v>
      </c>
      <c r="X129">
        <f t="shared" ref="X129:X150" si="109">IF(AD129&gt;AE129,0,IF(AF129&lt;AG129,P129,IF(AND(AF129&gt;=AG129,AF129&lt;=AE129),(P129-T129),IF(AND(AG129&lt;=AD129,AE129&gt;=AD129),0,IF(AF129&gt;AE129,((AG129-AD129)*12)*Q129,0)))))</f>
        <v>0</v>
      </c>
      <c r="Y129">
        <f t="shared" ref="Y129:Y150" si="110">X129*U129</f>
        <v>0</v>
      </c>
      <c r="Z129">
        <v>1</v>
      </c>
      <c r="AA129">
        <f t="shared" ref="AA129:AA150" si="111">Y129*Z129</f>
        <v>0</v>
      </c>
      <c r="AB129">
        <f t="shared" ref="AB129:AB150" si="112">IF(O129&gt;0,0,AA129+V129*Z129)*Z129</f>
        <v>0</v>
      </c>
      <c r="AC129">
        <f t="shared" ref="AC129:AC150" si="113">IF(O129&gt;0,(N129-AA129)/2,IF(AD129&gt;=AG129,(((N129*U129)*Z129)-AB129)/2,((((N129*U129)*Z129)-AA129)+(((N129*U129)*Z129)-AB129))/2))</f>
        <v>904.23500000000001</v>
      </c>
      <c r="AD129">
        <f t="shared" si="92"/>
        <v>2010.5</v>
      </c>
      <c r="AE129">
        <f t="shared" si="93"/>
        <v>1</v>
      </c>
      <c r="AF129">
        <f t="shared" si="94"/>
        <v>2013.5</v>
      </c>
      <c r="AG129">
        <f t="shared" si="95"/>
        <v>0</v>
      </c>
      <c r="AH129">
        <f t="shared" si="96"/>
        <v>-8.3333333333333329E-2</v>
      </c>
      <c r="AJ129">
        <f t="shared" si="97"/>
        <v>0</v>
      </c>
      <c r="AL129">
        <f t="shared" si="98"/>
        <v>0</v>
      </c>
      <c r="AN129">
        <f t="shared" si="99"/>
        <v>0</v>
      </c>
      <c r="AP129">
        <f t="shared" si="100"/>
        <v>0</v>
      </c>
      <c r="AR129">
        <f t="shared" si="101"/>
        <v>904.23500000000001</v>
      </c>
    </row>
    <row r="130" spans="2:44">
      <c r="C130" t="s">
        <v>418</v>
      </c>
      <c r="D130">
        <v>78978</v>
      </c>
      <c r="E130">
        <v>2010</v>
      </c>
      <c r="F130">
        <v>12</v>
      </c>
      <c r="G130">
        <v>0</v>
      </c>
      <c r="I130" t="s">
        <v>78</v>
      </c>
      <c r="J130">
        <v>5</v>
      </c>
      <c r="K130">
        <f t="shared" si="102"/>
        <v>2015</v>
      </c>
      <c r="N130">
        <v>92323.91</v>
      </c>
      <c r="O130">
        <v>0</v>
      </c>
      <c r="P130">
        <f t="shared" si="103"/>
        <v>92323.91</v>
      </c>
      <c r="Q130">
        <f t="shared" si="104"/>
        <v>1538.7318333333333</v>
      </c>
      <c r="R130">
        <f t="shared" si="105"/>
        <v>0</v>
      </c>
      <c r="S130">
        <f t="shared" si="106"/>
        <v>0</v>
      </c>
      <c r="T130">
        <f t="shared" si="107"/>
        <v>0</v>
      </c>
      <c r="U130">
        <v>1</v>
      </c>
      <c r="V130">
        <f t="shared" si="108"/>
        <v>0</v>
      </c>
      <c r="X130">
        <f t="shared" si="109"/>
        <v>0</v>
      </c>
      <c r="Y130">
        <f t="shared" si="110"/>
        <v>0</v>
      </c>
      <c r="Z130">
        <v>1</v>
      </c>
      <c r="AA130">
        <f t="shared" si="111"/>
        <v>0</v>
      </c>
      <c r="AB130">
        <f t="shared" si="112"/>
        <v>0</v>
      </c>
      <c r="AC130">
        <f t="shared" si="113"/>
        <v>46161.955000000002</v>
      </c>
      <c r="AD130">
        <f t="shared" si="92"/>
        <v>2010.9166666666667</v>
      </c>
      <c r="AE130">
        <f t="shared" si="93"/>
        <v>1</v>
      </c>
      <c r="AF130">
        <f t="shared" si="94"/>
        <v>2015.9166666666667</v>
      </c>
      <c r="AG130">
        <f t="shared" si="95"/>
        <v>0</v>
      </c>
      <c r="AH130">
        <f t="shared" si="96"/>
        <v>-8.3333333333333329E-2</v>
      </c>
      <c r="AJ130">
        <f t="shared" si="97"/>
        <v>0</v>
      </c>
      <c r="AL130">
        <f t="shared" si="98"/>
        <v>0</v>
      </c>
      <c r="AN130">
        <f t="shared" si="99"/>
        <v>0</v>
      </c>
      <c r="AP130">
        <f t="shared" si="100"/>
        <v>0</v>
      </c>
      <c r="AR130">
        <f t="shared" si="101"/>
        <v>46161.955000000002</v>
      </c>
    </row>
    <row r="131" spans="2:44">
      <c r="B131">
        <v>26</v>
      </c>
      <c r="C131" t="s">
        <v>419</v>
      </c>
      <c r="D131">
        <v>79676</v>
      </c>
      <c r="E131">
        <v>2010</v>
      </c>
      <c r="F131">
        <v>12</v>
      </c>
      <c r="G131">
        <v>0</v>
      </c>
      <c r="I131" t="s">
        <v>78</v>
      </c>
      <c r="J131">
        <v>5</v>
      </c>
      <c r="K131">
        <f t="shared" si="102"/>
        <v>2015</v>
      </c>
      <c r="N131">
        <v>6347.25</v>
      </c>
      <c r="O131">
        <v>0</v>
      </c>
      <c r="P131">
        <f t="shared" si="103"/>
        <v>6347.25</v>
      </c>
      <c r="Q131">
        <f t="shared" si="104"/>
        <v>105.78750000000001</v>
      </c>
      <c r="R131">
        <f t="shared" si="105"/>
        <v>0</v>
      </c>
      <c r="S131">
        <f t="shared" si="106"/>
        <v>0</v>
      </c>
      <c r="T131">
        <f t="shared" si="107"/>
        <v>0</v>
      </c>
      <c r="U131">
        <v>1</v>
      </c>
      <c r="V131">
        <f t="shared" si="108"/>
        <v>0</v>
      </c>
      <c r="X131">
        <f t="shared" si="109"/>
        <v>0</v>
      </c>
      <c r="Y131">
        <f t="shared" si="110"/>
        <v>0</v>
      </c>
      <c r="Z131">
        <v>1</v>
      </c>
      <c r="AA131">
        <f t="shared" si="111"/>
        <v>0</v>
      </c>
      <c r="AB131">
        <f t="shared" si="112"/>
        <v>0</v>
      </c>
      <c r="AC131">
        <f t="shared" si="113"/>
        <v>3173.625</v>
      </c>
      <c r="AD131">
        <f t="shared" si="92"/>
        <v>2010.9166666666667</v>
      </c>
      <c r="AE131">
        <f t="shared" si="93"/>
        <v>1</v>
      </c>
      <c r="AF131">
        <f t="shared" si="94"/>
        <v>2015.9166666666667</v>
      </c>
      <c r="AG131">
        <f t="shared" si="95"/>
        <v>0</v>
      </c>
      <c r="AH131">
        <f t="shared" si="96"/>
        <v>-8.3333333333333329E-2</v>
      </c>
      <c r="AJ131">
        <f t="shared" si="97"/>
        <v>0</v>
      </c>
      <c r="AL131">
        <f t="shared" si="98"/>
        <v>0</v>
      </c>
      <c r="AN131">
        <f t="shared" si="99"/>
        <v>0</v>
      </c>
      <c r="AP131">
        <f t="shared" si="100"/>
        <v>0</v>
      </c>
      <c r="AR131">
        <f t="shared" si="101"/>
        <v>3173.625</v>
      </c>
    </row>
    <row r="132" spans="2:44">
      <c r="C132" t="s">
        <v>422</v>
      </c>
      <c r="D132">
        <v>77561</v>
      </c>
      <c r="E132">
        <v>2010</v>
      </c>
      <c r="F132">
        <v>10</v>
      </c>
      <c r="G132">
        <v>0</v>
      </c>
      <c r="I132" t="s">
        <v>78</v>
      </c>
      <c r="J132">
        <v>5</v>
      </c>
      <c r="K132">
        <f t="shared" si="102"/>
        <v>2015</v>
      </c>
      <c r="N132">
        <v>20775</v>
      </c>
      <c r="O132">
        <v>0</v>
      </c>
      <c r="P132">
        <f t="shared" si="103"/>
        <v>20775</v>
      </c>
      <c r="Q132">
        <f t="shared" si="104"/>
        <v>346.25</v>
      </c>
      <c r="R132">
        <f t="shared" si="105"/>
        <v>0</v>
      </c>
      <c r="S132">
        <f t="shared" si="106"/>
        <v>0</v>
      </c>
      <c r="T132">
        <f t="shared" si="107"/>
        <v>0</v>
      </c>
      <c r="U132">
        <v>1</v>
      </c>
      <c r="V132">
        <f t="shared" si="108"/>
        <v>0</v>
      </c>
      <c r="X132">
        <f t="shared" si="109"/>
        <v>0</v>
      </c>
      <c r="Y132">
        <f t="shared" si="110"/>
        <v>0</v>
      </c>
      <c r="Z132">
        <v>1</v>
      </c>
      <c r="AA132">
        <f t="shared" si="111"/>
        <v>0</v>
      </c>
      <c r="AB132">
        <f t="shared" si="112"/>
        <v>0</v>
      </c>
      <c r="AC132">
        <f t="shared" si="113"/>
        <v>10387.5</v>
      </c>
      <c r="AD132">
        <f t="shared" si="92"/>
        <v>2010.75</v>
      </c>
      <c r="AE132">
        <f t="shared" si="93"/>
        <v>1</v>
      </c>
      <c r="AF132">
        <f t="shared" si="94"/>
        <v>2015.75</v>
      </c>
      <c r="AG132">
        <f t="shared" si="95"/>
        <v>0</v>
      </c>
      <c r="AH132">
        <f t="shared" si="96"/>
        <v>-8.3333333333333329E-2</v>
      </c>
      <c r="AJ132">
        <f t="shared" si="97"/>
        <v>0</v>
      </c>
      <c r="AL132">
        <f t="shared" si="98"/>
        <v>0</v>
      </c>
      <c r="AN132">
        <f t="shared" si="99"/>
        <v>0</v>
      </c>
      <c r="AP132">
        <f t="shared" si="100"/>
        <v>0</v>
      </c>
      <c r="AR132">
        <f t="shared" si="101"/>
        <v>10387.5</v>
      </c>
    </row>
    <row r="133" spans="2:44">
      <c r="B133">
        <v>3</v>
      </c>
      <c r="C133" t="s">
        <v>427</v>
      </c>
      <c r="D133">
        <v>80385</v>
      </c>
      <c r="E133">
        <v>2011</v>
      </c>
      <c r="F133">
        <v>3</v>
      </c>
      <c r="G133">
        <v>0</v>
      </c>
      <c r="I133" t="s">
        <v>78</v>
      </c>
      <c r="J133">
        <v>5</v>
      </c>
      <c r="K133">
        <f t="shared" si="102"/>
        <v>2016</v>
      </c>
      <c r="N133">
        <v>2625</v>
      </c>
      <c r="O133">
        <v>0</v>
      </c>
      <c r="P133">
        <f t="shared" si="103"/>
        <v>2625</v>
      </c>
      <c r="Q133">
        <f t="shared" si="104"/>
        <v>43.75</v>
      </c>
      <c r="R133">
        <f t="shared" si="105"/>
        <v>0</v>
      </c>
      <c r="S133">
        <f t="shared" si="106"/>
        <v>0</v>
      </c>
      <c r="T133">
        <f t="shared" si="107"/>
        <v>0</v>
      </c>
      <c r="U133">
        <v>1</v>
      </c>
      <c r="V133">
        <f t="shared" si="108"/>
        <v>0</v>
      </c>
      <c r="X133">
        <f t="shared" si="109"/>
        <v>0</v>
      </c>
      <c r="Y133">
        <f t="shared" si="110"/>
        <v>0</v>
      </c>
      <c r="Z133">
        <v>1</v>
      </c>
      <c r="AA133">
        <f t="shared" si="111"/>
        <v>0</v>
      </c>
      <c r="AB133">
        <f t="shared" si="112"/>
        <v>0</v>
      </c>
      <c r="AC133">
        <f t="shared" si="113"/>
        <v>1312.5</v>
      </c>
      <c r="AD133">
        <f t="shared" si="92"/>
        <v>2011.1666666666667</v>
      </c>
      <c r="AE133">
        <f t="shared" si="93"/>
        <v>1</v>
      </c>
      <c r="AF133">
        <f t="shared" si="94"/>
        <v>2016.1666666666667</v>
      </c>
      <c r="AG133">
        <f t="shared" si="95"/>
        <v>0</v>
      </c>
      <c r="AH133">
        <f t="shared" si="96"/>
        <v>-8.3333333333333329E-2</v>
      </c>
      <c r="AJ133">
        <f t="shared" si="97"/>
        <v>0</v>
      </c>
      <c r="AL133">
        <f t="shared" si="98"/>
        <v>0</v>
      </c>
      <c r="AN133">
        <f t="shared" si="99"/>
        <v>0</v>
      </c>
      <c r="AP133">
        <f t="shared" si="100"/>
        <v>0</v>
      </c>
      <c r="AR133">
        <f t="shared" si="101"/>
        <v>1312.5</v>
      </c>
    </row>
    <row r="134" spans="2:44">
      <c r="B134">
        <v>2</v>
      </c>
      <c r="C134" t="s">
        <v>427</v>
      </c>
      <c r="D134">
        <v>85655</v>
      </c>
      <c r="E134">
        <v>2011</v>
      </c>
      <c r="F134">
        <v>8</v>
      </c>
      <c r="G134">
        <v>0</v>
      </c>
      <c r="I134" t="s">
        <v>78</v>
      </c>
      <c r="J134">
        <v>5</v>
      </c>
      <c r="K134">
        <f t="shared" si="102"/>
        <v>2016</v>
      </c>
      <c r="N134">
        <v>1750</v>
      </c>
      <c r="O134">
        <v>0</v>
      </c>
      <c r="P134">
        <f t="shared" si="103"/>
        <v>1750</v>
      </c>
      <c r="Q134">
        <f t="shared" si="104"/>
        <v>29.166666666666668</v>
      </c>
      <c r="R134">
        <f t="shared" si="105"/>
        <v>0</v>
      </c>
      <c r="S134">
        <f t="shared" si="106"/>
        <v>0</v>
      </c>
      <c r="T134">
        <f t="shared" si="107"/>
        <v>0</v>
      </c>
      <c r="U134">
        <v>1</v>
      </c>
      <c r="V134">
        <f t="shared" si="108"/>
        <v>0</v>
      </c>
      <c r="X134">
        <f t="shared" si="109"/>
        <v>0</v>
      </c>
      <c r="Y134">
        <f t="shared" si="110"/>
        <v>0</v>
      </c>
      <c r="Z134">
        <v>1</v>
      </c>
      <c r="AA134">
        <f t="shared" si="111"/>
        <v>0</v>
      </c>
      <c r="AB134">
        <f t="shared" si="112"/>
        <v>0</v>
      </c>
      <c r="AC134">
        <f t="shared" si="113"/>
        <v>875</v>
      </c>
      <c r="AD134">
        <f t="shared" si="92"/>
        <v>2011.5833333333333</v>
      </c>
      <c r="AE134">
        <f t="shared" si="93"/>
        <v>1</v>
      </c>
      <c r="AF134">
        <f t="shared" si="94"/>
        <v>2016.5833333333333</v>
      </c>
      <c r="AG134">
        <f t="shared" si="95"/>
        <v>0</v>
      </c>
      <c r="AH134">
        <f t="shared" si="96"/>
        <v>-8.3333333333333329E-2</v>
      </c>
      <c r="AJ134">
        <f t="shared" si="97"/>
        <v>0</v>
      </c>
      <c r="AL134">
        <f t="shared" si="98"/>
        <v>0</v>
      </c>
      <c r="AN134">
        <f t="shared" si="99"/>
        <v>0</v>
      </c>
      <c r="AP134">
        <f t="shared" si="100"/>
        <v>0</v>
      </c>
      <c r="AR134">
        <f t="shared" si="101"/>
        <v>875</v>
      </c>
    </row>
    <row r="135" spans="2:44">
      <c r="B135">
        <v>3</v>
      </c>
      <c r="C135" t="s">
        <v>427</v>
      </c>
      <c r="D135">
        <v>88651</v>
      </c>
      <c r="E135">
        <v>2011</v>
      </c>
      <c r="F135">
        <v>12</v>
      </c>
      <c r="G135">
        <v>0</v>
      </c>
      <c r="I135" t="s">
        <v>78</v>
      </c>
      <c r="J135">
        <v>5</v>
      </c>
      <c r="K135">
        <f>E135+J135</f>
        <v>2016</v>
      </c>
      <c r="N135">
        <v>2625</v>
      </c>
      <c r="O135">
        <v>0</v>
      </c>
      <c r="P135">
        <f t="shared" si="103"/>
        <v>2625</v>
      </c>
      <c r="Q135">
        <f t="shared" si="104"/>
        <v>43.75</v>
      </c>
      <c r="R135">
        <f t="shared" si="105"/>
        <v>0</v>
      </c>
      <c r="S135">
        <f t="shared" si="106"/>
        <v>0</v>
      </c>
      <c r="T135">
        <f t="shared" si="107"/>
        <v>0</v>
      </c>
      <c r="U135">
        <v>1</v>
      </c>
      <c r="V135">
        <f t="shared" si="108"/>
        <v>0</v>
      </c>
      <c r="X135">
        <f t="shared" si="109"/>
        <v>0</v>
      </c>
      <c r="Y135">
        <f t="shared" si="110"/>
        <v>0</v>
      </c>
      <c r="Z135">
        <v>1</v>
      </c>
      <c r="AA135">
        <f t="shared" si="111"/>
        <v>0</v>
      </c>
      <c r="AB135">
        <f t="shared" si="112"/>
        <v>0</v>
      </c>
      <c r="AC135">
        <f t="shared" si="113"/>
        <v>1312.5</v>
      </c>
      <c r="AD135">
        <f t="shared" si="92"/>
        <v>2011.9166666666667</v>
      </c>
      <c r="AE135">
        <f t="shared" si="93"/>
        <v>1</v>
      </c>
      <c r="AF135">
        <f t="shared" si="94"/>
        <v>2016.9166666666667</v>
      </c>
      <c r="AG135">
        <f t="shared" si="95"/>
        <v>0</v>
      </c>
      <c r="AH135">
        <f t="shared" si="96"/>
        <v>-8.3333333333333329E-2</v>
      </c>
      <c r="AJ135">
        <f t="shared" si="97"/>
        <v>0</v>
      </c>
      <c r="AL135">
        <f t="shared" si="98"/>
        <v>0</v>
      </c>
      <c r="AN135">
        <f t="shared" si="99"/>
        <v>0</v>
      </c>
      <c r="AP135">
        <f t="shared" si="100"/>
        <v>0</v>
      </c>
      <c r="AR135">
        <f t="shared" si="101"/>
        <v>1312.5</v>
      </c>
    </row>
    <row r="136" spans="2:44">
      <c r="B136">
        <v>12</v>
      </c>
      <c r="C136" t="s">
        <v>434</v>
      </c>
      <c r="D136" t="s">
        <v>435</v>
      </c>
      <c r="E136">
        <v>2011</v>
      </c>
      <c r="F136">
        <v>12</v>
      </c>
      <c r="G136">
        <v>0</v>
      </c>
      <c r="I136" t="s">
        <v>78</v>
      </c>
      <c r="J136">
        <v>5</v>
      </c>
      <c r="K136">
        <f t="shared" si="102"/>
        <v>2016</v>
      </c>
      <c r="N136">
        <f>(487.65*12)+61493.04</f>
        <v>67344.84</v>
      </c>
      <c r="O136">
        <v>0</v>
      </c>
      <c r="P136">
        <f t="shared" si="103"/>
        <v>67344.84</v>
      </c>
      <c r="Q136">
        <f t="shared" si="104"/>
        <v>1122.414</v>
      </c>
      <c r="R136">
        <f t="shared" si="105"/>
        <v>0</v>
      </c>
      <c r="S136">
        <f t="shared" si="106"/>
        <v>0</v>
      </c>
      <c r="T136">
        <f t="shared" si="107"/>
        <v>0</v>
      </c>
      <c r="U136">
        <v>1</v>
      </c>
      <c r="V136">
        <f t="shared" si="108"/>
        <v>0</v>
      </c>
      <c r="X136">
        <f t="shared" si="109"/>
        <v>0</v>
      </c>
      <c r="Y136">
        <f t="shared" si="110"/>
        <v>0</v>
      </c>
      <c r="Z136">
        <v>1</v>
      </c>
      <c r="AA136">
        <f t="shared" si="111"/>
        <v>0</v>
      </c>
      <c r="AB136">
        <f t="shared" si="112"/>
        <v>0</v>
      </c>
      <c r="AC136">
        <f t="shared" si="113"/>
        <v>33672.42</v>
      </c>
      <c r="AD136">
        <f t="shared" si="92"/>
        <v>2011.9166666666667</v>
      </c>
      <c r="AE136">
        <f t="shared" si="93"/>
        <v>1</v>
      </c>
      <c r="AF136">
        <f t="shared" si="94"/>
        <v>2016.9166666666667</v>
      </c>
      <c r="AG136">
        <f t="shared" si="95"/>
        <v>0</v>
      </c>
      <c r="AH136">
        <f t="shared" si="96"/>
        <v>-8.3333333333333329E-2</v>
      </c>
      <c r="AJ136">
        <f t="shared" si="97"/>
        <v>0</v>
      </c>
      <c r="AL136">
        <f t="shared" si="98"/>
        <v>0</v>
      </c>
      <c r="AN136">
        <f t="shared" si="99"/>
        <v>0</v>
      </c>
      <c r="AP136">
        <f t="shared" si="100"/>
        <v>0</v>
      </c>
      <c r="AR136">
        <f t="shared" si="101"/>
        <v>33672.42</v>
      </c>
    </row>
    <row r="137" spans="2:44">
      <c r="C137" t="s">
        <v>442</v>
      </c>
      <c r="D137">
        <v>90470</v>
      </c>
      <c r="E137">
        <v>2012</v>
      </c>
      <c r="F137">
        <v>1</v>
      </c>
      <c r="G137">
        <v>0</v>
      </c>
      <c r="I137" t="s">
        <v>78</v>
      </c>
      <c r="J137">
        <v>5</v>
      </c>
      <c r="K137">
        <f t="shared" si="102"/>
        <v>2017</v>
      </c>
      <c r="N137">
        <v>561.34</v>
      </c>
      <c r="P137">
        <f t="shared" si="103"/>
        <v>561.34</v>
      </c>
      <c r="Q137">
        <f t="shared" si="104"/>
        <v>9.3556666666666661</v>
      </c>
      <c r="R137">
        <f t="shared" si="105"/>
        <v>0</v>
      </c>
      <c r="S137">
        <f t="shared" si="106"/>
        <v>0</v>
      </c>
      <c r="T137">
        <f t="shared" si="107"/>
        <v>0</v>
      </c>
      <c r="U137">
        <v>1</v>
      </c>
      <c r="V137">
        <f t="shared" si="108"/>
        <v>0</v>
      </c>
      <c r="X137">
        <f t="shared" si="109"/>
        <v>0</v>
      </c>
      <c r="Y137">
        <f t="shared" si="110"/>
        <v>0</v>
      </c>
      <c r="Z137">
        <v>1</v>
      </c>
      <c r="AA137">
        <f t="shared" si="111"/>
        <v>0</v>
      </c>
      <c r="AB137">
        <f t="shared" si="112"/>
        <v>0</v>
      </c>
      <c r="AC137">
        <f t="shared" si="113"/>
        <v>280.67</v>
      </c>
      <c r="AD137">
        <f t="shared" si="92"/>
        <v>2012</v>
      </c>
      <c r="AE137">
        <f t="shared" si="93"/>
        <v>1</v>
      </c>
      <c r="AF137">
        <f t="shared" si="94"/>
        <v>2017</v>
      </c>
      <c r="AG137">
        <f t="shared" si="95"/>
        <v>0</v>
      </c>
      <c r="AH137">
        <f t="shared" si="96"/>
        <v>-8.3333333333333329E-2</v>
      </c>
      <c r="AJ137">
        <f t="shared" si="97"/>
        <v>0</v>
      </c>
      <c r="AL137">
        <f t="shared" si="98"/>
        <v>0</v>
      </c>
      <c r="AN137">
        <f t="shared" si="99"/>
        <v>0</v>
      </c>
      <c r="AP137">
        <f t="shared" si="100"/>
        <v>0</v>
      </c>
      <c r="AR137">
        <f t="shared" si="101"/>
        <v>280.67</v>
      </c>
    </row>
    <row r="138" spans="2:44">
      <c r="C138" t="s">
        <v>445</v>
      </c>
      <c r="D138">
        <v>92581</v>
      </c>
      <c r="E138">
        <v>2012</v>
      </c>
      <c r="F138">
        <v>3</v>
      </c>
      <c r="G138">
        <v>0</v>
      </c>
      <c r="I138" t="s">
        <v>78</v>
      </c>
      <c r="J138">
        <v>3</v>
      </c>
      <c r="K138">
        <f t="shared" si="102"/>
        <v>2015</v>
      </c>
      <c r="N138">
        <v>947.94</v>
      </c>
      <c r="P138">
        <f t="shared" si="103"/>
        <v>947.94</v>
      </c>
      <c r="Q138">
        <f t="shared" si="104"/>
        <v>26.331666666666667</v>
      </c>
      <c r="R138">
        <f t="shared" si="105"/>
        <v>0</v>
      </c>
      <c r="S138">
        <f t="shared" si="106"/>
        <v>0</v>
      </c>
      <c r="T138">
        <f t="shared" si="107"/>
        <v>0</v>
      </c>
      <c r="U138">
        <v>1</v>
      </c>
      <c r="V138">
        <f t="shared" si="108"/>
        <v>0</v>
      </c>
      <c r="X138">
        <f t="shared" si="109"/>
        <v>0</v>
      </c>
      <c r="Y138">
        <f t="shared" si="110"/>
        <v>0</v>
      </c>
      <c r="Z138">
        <v>1</v>
      </c>
      <c r="AA138">
        <f t="shared" si="111"/>
        <v>0</v>
      </c>
      <c r="AB138">
        <f t="shared" si="112"/>
        <v>0</v>
      </c>
      <c r="AC138">
        <f t="shared" si="113"/>
        <v>473.97</v>
      </c>
      <c r="AD138">
        <f t="shared" si="92"/>
        <v>2012.1666666666667</v>
      </c>
      <c r="AE138">
        <f t="shared" si="93"/>
        <v>1</v>
      </c>
      <c r="AF138">
        <f t="shared" si="94"/>
        <v>2015.1666666666667</v>
      </c>
      <c r="AG138">
        <f t="shared" si="95"/>
        <v>0</v>
      </c>
      <c r="AH138">
        <f t="shared" si="96"/>
        <v>-8.3333333333333329E-2</v>
      </c>
      <c r="AJ138">
        <f t="shared" si="97"/>
        <v>0</v>
      </c>
      <c r="AL138">
        <f t="shared" si="98"/>
        <v>0</v>
      </c>
      <c r="AN138">
        <f t="shared" si="99"/>
        <v>0</v>
      </c>
      <c r="AP138">
        <f t="shared" si="100"/>
        <v>0</v>
      </c>
      <c r="AR138">
        <f t="shared" si="101"/>
        <v>473.97</v>
      </c>
    </row>
    <row r="139" spans="2:44">
      <c r="C139" t="s">
        <v>445</v>
      </c>
      <c r="D139">
        <v>93959</v>
      </c>
      <c r="E139">
        <v>2012</v>
      </c>
      <c r="F139">
        <v>5</v>
      </c>
      <c r="G139">
        <v>0</v>
      </c>
      <c r="I139" t="s">
        <v>78</v>
      </c>
      <c r="J139">
        <v>3</v>
      </c>
      <c r="K139">
        <f t="shared" si="102"/>
        <v>2015</v>
      </c>
      <c r="N139">
        <v>950</v>
      </c>
      <c r="P139">
        <f t="shared" si="103"/>
        <v>950</v>
      </c>
      <c r="Q139">
        <f t="shared" si="104"/>
        <v>26.388888888888889</v>
      </c>
      <c r="R139">
        <f t="shared" si="105"/>
        <v>0</v>
      </c>
      <c r="S139">
        <f t="shared" si="106"/>
        <v>0</v>
      </c>
      <c r="T139">
        <f t="shared" si="107"/>
        <v>0</v>
      </c>
      <c r="U139">
        <v>1</v>
      </c>
      <c r="V139">
        <f t="shared" si="108"/>
        <v>0</v>
      </c>
      <c r="X139">
        <f t="shared" si="109"/>
        <v>0</v>
      </c>
      <c r="Y139">
        <f t="shared" si="110"/>
        <v>0</v>
      </c>
      <c r="Z139">
        <v>1</v>
      </c>
      <c r="AA139">
        <f t="shared" si="111"/>
        <v>0</v>
      </c>
      <c r="AB139">
        <f t="shared" si="112"/>
        <v>0</v>
      </c>
      <c r="AC139">
        <f t="shared" si="113"/>
        <v>475</v>
      </c>
      <c r="AD139">
        <f t="shared" si="92"/>
        <v>2012.3333333333333</v>
      </c>
      <c r="AE139">
        <f t="shared" si="93"/>
        <v>1</v>
      </c>
      <c r="AF139">
        <f t="shared" si="94"/>
        <v>2015.3333333333333</v>
      </c>
      <c r="AG139">
        <f t="shared" si="95"/>
        <v>0</v>
      </c>
      <c r="AH139">
        <f t="shared" si="96"/>
        <v>-8.3333333333333329E-2</v>
      </c>
      <c r="AJ139">
        <f t="shared" si="97"/>
        <v>0</v>
      </c>
      <c r="AL139">
        <f t="shared" si="98"/>
        <v>0</v>
      </c>
      <c r="AN139">
        <f t="shared" si="99"/>
        <v>0</v>
      </c>
      <c r="AP139">
        <f t="shared" si="100"/>
        <v>0</v>
      </c>
      <c r="AR139">
        <f t="shared" si="101"/>
        <v>475</v>
      </c>
    </row>
    <row r="140" spans="2:44">
      <c r="C140" t="s">
        <v>445</v>
      </c>
      <c r="D140" t="s">
        <v>470</v>
      </c>
      <c r="E140">
        <v>2012</v>
      </c>
      <c r="F140">
        <v>10</v>
      </c>
      <c r="G140">
        <v>0</v>
      </c>
      <c r="I140" t="s">
        <v>78</v>
      </c>
      <c r="J140">
        <v>3</v>
      </c>
      <c r="K140">
        <f t="shared" si="102"/>
        <v>2015</v>
      </c>
      <c r="N140">
        <v>947</v>
      </c>
      <c r="P140">
        <f t="shared" si="103"/>
        <v>947</v>
      </c>
      <c r="Q140">
        <f t="shared" si="104"/>
        <v>26.305555555555557</v>
      </c>
      <c r="R140">
        <f t="shared" si="105"/>
        <v>0</v>
      </c>
      <c r="S140">
        <f t="shared" si="106"/>
        <v>0</v>
      </c>
      <c r="T140">
        <f t="shared" si="107"/>
        <v>0</v>
      </c>
      <c r="U140">
        <v>1</v>
      </c>
      <c r="V140">
        <f t="shared" si="108"/>
        <v>0</v>
      </c>
      <c r="X140">
        <f t="shared" si="109"/>
        <v>0</v>
      </c>
      <c r="Y140">
        <f t="shared" si="110"/>
        <v>0</v>
      </c>
      <c r="Z140">
        <v>1</v>
      </c>
      <c r="AA140">
        <f t="shared" si="111"/>
        <v>0</v>
      </c>
      <c r="AB140">
        <f t="shared" si="112"/>
        <v>0</v>
      </c>
      <c r="AC140">
        <f t="shared" si="113"/>
        <v>473.5</v>
      </c>
      <c r="AD140">
        <f t="shared" si="92"/>
        <v>2012.75</v>
      </c>
      <c r="AE140">
        <f t="shared" si="93"/>
        <v>1</v>
      </c>
      <c r="AF140">
        <f t="shared" si="94"/>
        <v>2015.75</v>
      </c>
      <c r="AG140">
        <f t="shared" si="95"/>
        <v>0</v>
      </c>
      <c r="AH140">
        <f t="shared" si="96"/>
        <v>-8.3333333333333329E-2</v>
      </c>
      <c r="AJ140">
        <f t="shared" si="97"/>
        <v>0</v>
      </c>
      <c r="AL140">
        <f t="shared" si="98"/>
        <v>0</v>
      </c>
      <c r="AN140">
        <f t="shared" si="99"/>
        <v>0</v>
      </c>
      <c r="AP140">
        <f t="shared" si="100"/>
        <v>0</v>
      </c>
      <c r="AR140">
        <f t="shared" si="101"/>
        <v>473.5</v>
      </c>
    </row>
    <row r="141" spans="2:44">
      <c r="B141">
        <v>3</v>
      </c>
      <c r="C141" t="s">
        <v>471</v>
      </c>
      <c r="D141">
        <v>98282</v>
      </c>
      <c r="E141">
        <v>2012</v>
      </c>
      <c r="F141">
        <v>10</v>
      </c>
      <c r="G141">
        <v>0</v>
      </c>
      <c r="I141" t="s">
        <v>78</v>
      </c>
      <c r="J141">
        <v>5</v>
      </c>
      <c r="K141">
        <f t="shared" si="102"/>
        <v>2017</v>
      </c>
      <c r="N141">
        <v>2625</v>
      </c>
      <c r="P141">
        <f t="shared" si="103"/>
        <v>2625</v>
      </c>
      <c r="Q141">
        <f t="shared" si="104"/>
        <v>43.75</v>
      </c>
      <c r="R141">
        <f t="shared" si="105"/>
        <v>0</v>
      </c>
      <c r="S141">
        <f t="shared" si="106"/>
        <v>0</v>
      </c>
      <c r="T141">
        <f t="shared" si="107"/>
        <v>0</v>
      </c>
      <c r="U141">
        <v>1</v>
      </c>
      <c r="V141">
        <f t="shared" si="108"/>
        <v>0</v>
      </c>
      <c r="X141">
        <f t="shared" si="109"/>
        <v>0</v>
      </c>
      <c r="Y141">
        <f t="shared" si="110"/>
        <v>0</v>
      </c>
      <c r="Z141">
        <v>1</v>
      </c>
      <c r="AA141">
        <f t="shared" si="111"/>
        <v>0</v>
      </c>
      <c r="AB141">
        <f t="shared" si="112"/>
        <v>0</v>
      </c>
      <c r="AC141">
        <f t="shared" si="113"/>
        <v>1312.5</v>
      </c>
      <c r="AD141">
        <f t="shared" si="92"/>
        <v>2012.75</v>
      </c>
      <c r="AE141">
        <f t="shared" si="93"/>
        <v>1</v>
      </c>
      <c r="AF141">
        <f t="shared" si="94"/>
        <v>2017.75</v>
      </c>
      <c r="AG141">
        <f t="shared" si="95"/>
        <v>0</v>
      </c>
      <c r="AH141">
        <f t="shared" si="96"/>
        <v>-8.3333333333333329E-2</v>
      </c>
      <c r="AJ141">
        <f t="shared" si="97"/>
        <v>0</v>
      </c>
      <c r="AL141">
        <f t="shared" si="98"/>
        <v>0</v>
      </c>
      <c r="AN141">
        <f t="shared" si="99"/>
        <v>0</v>
      </c>
      <c r="AP141">
        <f t="shared" si="100"/>
        <v>0</v>
      </c>
      <c r="AR141">
        <f t="shared" si="101"/>
        <v>1312.5</v>
      </c>
    </row>
    <row r="142" spans="2:44">
      <c r="C142" t="s">
        <v>472</v>
      </c>
      <c r="D142">
        <v>99673</v>
      </c>
      <c r="E142">
        <v>2012</v>
      </c>
      <c r="F142">
        <v>12</v>
      </c>
      <c r="G142">
        <v>0</v>
      </c>
      <c r="I142" t="s">
        <v>78</v>
      </c>
      <c r="J142">
        <v>5</v>
      </c>
      <c r="K142">
        <f t="shared" si="102"/>
        <v>2017</v>
      </c>
      <c r="N142">
        <v>9416</v>
      </c>
      <c r="P142">
        <f t="shared" si="103"/>
        <v>9416</v>
      </c>
      <c r="Q142">
        <f t="shared" si="104"/>
        <v>156.93333333333334</v>
      </c>
      <c r="R142">
        <f t="shared" si="105"/>
        <v>0</v>
      </c>
      <c r="S142">
        <f t="shared" si="106"/>
        <v>0</v>
      </c>
      <c r="T142">
        <f t="shared" si="107"/>
        <v>0</v>
      </c>
      <c r="U142">
        <v>1</v>
      </c>
      <c r="V142">
        <f t="shared" si="108"/>
        <v>0</v>
      </c>
      <c r="X142">
        <f t="shared" si="109"/>
        <v>0</v>
      </c>
      <c r="Y142">
        <f t="shared" si="110"/>
        <v>0</v>
      </c>
      <c r="Z142">
        <v>1</v>
      </c>
      <c r="AA142">
        <f t="shared" si="111"/>
        <v>0</v>
      </c>
      <c r="AB142">
        <f t="shared" si="112"/>
        <v>0</v>
      </c>
      <c r="AC142">
        <f t="shared" si="113"/>
        <v>4708</v>
      </c>
      <c r="AD142">
        <f t="shared" si="92"/>
        <v>2012.9166666666667</v>
      </c>
      <c r="AE142">
        <f t="shared" si="93"/>
        <v>1</v>
      </c>
      <c r="AF142">
        <f t="shared" si="94"/>
        <v>2017.9166666666667</v>
      </c>
      <c r="AG142">
        <f t="shared" si="95"/>
        <v>0</v>
      </c>
      <c r="AH142">
        <f t="shared" si="96"/>
        <v>-8.3333333333333329E-2</v>
      </c>
      <c r="AJ142">
        <f t="shared" si="97"/>
        <v>0</v>
      </c>
      <c r="AL142">
        <f t="shared" si="98"/>
        <v>0</v>
      </c>
      <c r="AN142">
        <f t="shared" si="99"/>
        <v>0</v>
      </c>
      <c r="AP142">
        <f t="shared" si="100"/>
        <v>0</v>
      </c>
      <c r="AR142">
        <f t="shared" si="101"/>
        <v>4708</v>
      </c>
    </row>
    <row r="143" spans="2:44">
      <c r="C143" t="s">
        <v>486</v>
      </c>
      <c r="D143">
        <v>108250</v>
      </c>
      <c r="E143">
        <v>2013</v>
      </c>
      <c r="F143">
        <v>10</v>
      </c>
      <c r="G143">
        <v>0</v>
      </c>
      <c r="I143" t="s">
        <v>78</v>
      </c>
      <c r="J143">
        <v>3</v>
      </c>
      <c r="K143">
        <f t="shared" si="102"/>
        <v>2016</v>
      </c>
      <c r="N143">
        <v>743.47</v>
      </c>
      <c r="P143">
        <f t="shared" si="103"/>
        <v>743.47</v>
      </c>
      <c r="Q143">
        <f t="shared" si="104"/>
        <v>20.651944444444446</v>
      </c>
      <c r="R143">
        <f t="shared" si="105"/>
        <v>0</v>
      </c>
      <c r="S143">
        <f t="shared" si="106"/>
        <v>0</v>
      </c>
      <c r="T143">
        <f t="shared" si="107"/>
        <v>0</v>
      </c>
      <c r="U143">
        <v>1</v>
      </c>
      <c r="V143">
        <f t="shared" si="108"/>
        <v>0</v>
      </c>
      <c r="X143">
        <f t="shared" si="109"/>
        <v>0</v>
      </c>
      <c r="Y143">
        <f t="shared" si="110"/>
        <v>0</v>
      </c>
      <c r="Z143">
        <v>1</v>
      </c>
      <c r="AA143">
        <f t="shared" si="111"/>
        <v>0</v>
      </c>
      <c r="AB143">
        <f t="shared" si="112"/>
        <v>0</v>
      </c>
      <c r="AC143">
        <f t="shared" si="113"/>
        <v>371.73500000000001</v>
      </c>
      <c r="AD143">
        <f t="shared" si="92"/>
        <v>2013.75</v>
      </c>
      <c r="AE143">
        <f t="shared" si="93"/>
        <v>1</v>
      </c>
      <c r="AF143">
        <f t="shared" si="94"/>
        <v>2016.75</v>
      </c>
      <c r="AG143">
        <f t="shared" si="95"/>
        <v>0</v>
      </c>
      <c r="AH143">
        <f t="shared" si="96"/>
        <v>-8.3333333333333329E-2</v>
      </c>
      <c r="AJ143">
        <f t="shared" si="97"/>
        <v>0</v>
      </c>
      <c r="AL143">
        <f t="shared" si="98"/>
        <v>0</v>
      </c>
      <c r="AN143">
        <f t="shared" si="99"/>
        <v>0</v>
      </c>
      <c r="AP143">
        <f t="shared" si="100"/>
        <v>0</v>
      </c>
      <c r="AR143">
        <f t="shared" si="101"/>
        <v>371.73500000000001</v>
      </c>
    </row>
    <row r="144" spans="2:44">
      <c r="B144">
        <v>3</v>
      </c>
      <c r="C144" t="s">
        <v>489</v>
      </c>
      <c r="D144">
        <v>109582</v>
      </c>
      <c r="E144">
        <v>2013</v>
      </c>
      <c r="F144">
        <v>12</v>
      </c>
      <c r="G144">
        <v>0</v>
      </c>
      <c r="I144" t="s">
        <v>78</v>
      </c>
      <c r="J144">
        <v>10</v>
      </c>
      <c r="K144">
        <f t="shared" si="102"/>
        <v>2023</v>
      </c>
      <c r="N144">
        <v>134875</v>
      </c>
      <c r="P144">
        <f t="shared" si="103"/>
        <v>134875</v>
      </c>
      <c r="Q144">
        <f t="shared" si="104"/>
        <v>1123.9583333333333</v>
      </c>
      <c r="R144">
        <f t="shared" si="105"/>
        <v>0</v>
      </c>
      <c r="S144">
        <f t="shared" si="106"/>
        <v>0</v>
      </c>
      <c r="T144">
        <f t="shared" si="107"/>
        <v>0</v>
      </c>
      <c r="U144">
        <v>1</v>
      </c>
      <c r="V144">
        <f t="shared" si="108"/>
        <v>0</v>
      </c>
      <c r="X144">
        <f t="shared" si="109"/>
        <v>0</v>
      </c>
      <c r="Y144">
        <f t="shared" si="110"/>
        <v>0</v>
      </c>
      <c r="Z144">
        <v>1</v>
      </c>
      <c r="AA144">
        <f t="shared" si="111"/>
        <v>0</v>
      </c>
      <c r="AB144">
        <f t="shared" si="112"/>
        <v>0</v>
      </c>
      <c r="AC144">
        <f t="shared" si="113"/>
        <v>67437.5</v>
      </c>
      <c r="AD144">
        <f t="shared" si="92"/>
        <v>2013.9166666666667</v>
      </c>
      <c r="AE144">
        <f t="shared" si="93"/>
        <v>1</v>
      </c>
      <c r="AF144">
        <f t="shared" si="94"/>
        <v>2023.9166666666667</v>
      </c>
      <c r="AG144">
        <f t="shared" si="95"/>
        <v>0</v>
      </c>
      <c r="AH144">
        <f t="shared" si="96"/>
        <v>-8.3333333333333329E-2</v>
      </c>
      <c r="AJ144">
        <f t="shared" si="97"/>
        <v>0</v>
      </c>
      <c r="AL144">
        <f t="shared" si="98"/>
        <v>0</v>
      </c>
      <c r="AN144">
        <f t="shared" si="99"/>
        <v>0</v>
      </c>
      <c r="AP144">
        <f t="shared" si="100"/>
        <v>0</v>
      </c>
      <c r="AR144">
        <f t="shared" si="101"/>
        <v>67437.5</v>
      </c>
    </row>
    <row r="145" spans="2:44">
      <c r="C145" t="s">
        <v>502</v>
      </c>
      <c r="D145">
        <v>113272</v>
      </c>
      <c r="E145">
        <v>2014</v>
      </c>
      <c r="F145">
        <v>4</v>
      </c>
      <c r="G145">
        <v>0</v>
      </c>
      <c r="I145" t="s">
        <v>78</v>
      </c>
      <c r="J145">
        <v>5</v>
      </c>
      <c r="K145">
        <f t="shared" si="102"/>
        <v>2019</v>
      </c>
      <c r="N145">
        <v>656.58</v>
      </c>
      <c r="P145">
        <f t="shared" si="103"/>
        <v>656.58</v>
      </c>
      <c r="Q145">
        <f t="shared" si="104"/>
        <v>10.943</v>
      </c>
      <c r="R145">
        <f t="shared" si="105"/>
        <v>0</v>
      </c>
      <c r="S145">
        <f t="shared" si="106"/>
        <v>0</v>
      </c>
      <c r="T145">
        <f t="shared" si="107"/>
        <v>0</v>
      </c>
      <c r="U145">
        <v>1</v>
      </c>
      <c r="V145">
        <f t="shared" si="108"/>
        <v>0</v>
      </c>
      <c r="X145">
        <f t="shared" si="109"/>
        <v>0</v>
      </c>
      <c r="Y145">
        <f t="shared" si="110"/>
        <v>0</v>
      </c>
      <c r="Z145">
        <v>1</v>
      </c>
      <c r="AA145">
        <f t="shared" si="111"/>
        <v>0</v>
      </c>
      <c r="AB145">
        <f t="shared" si="112"/>
        <v>0</v>
      </c>
      <c r="AC145">
        <f t="shared" si="113"/>
        <v>328.29</v>
      </c>
      <c r="AD145">
        <f t="shared" si="92"/>
        <v>2014.25</v>
      </c>
      <c r="AE145">
        <f t="shared" si="93"/>
        <v>1</v>
      </c>
      <c r="AF145">
        <f t="shared" si="94"/>
        <v>2019.25</v>
      </c>
      <c r="AG145">
        <f t="shared" si="95"/>
        <v>0</v>
      </c>
      <c r="AH145">
        <f t="shared" si="96"/>
        <v>-8.3333333333333329E-2</v>
      </c>
      <c r="AJ145">
        <f t="shared" si="97"/>
        <v>0</v>
      </c>
      <c r="AL145">
        <f t="shared" si="98"/>
        <v>0</v>
      </c>
      <c r="AN145">
        <f t="shared" si="99"/>
        <v>0</v>
      </c>
      <c r="AP145">
        <f t="shared" si="100"/>
        <v>0</v>
      </c>
      <c r="AR145">
        <f t="shared" si="101"/>
        <v>328.29</v>
      </c>
    </row>
    <row r="146" spans="2:44">
      <c r="C146" t="s">
        <v>572</v>
      </c>
      <c r="D146">
        <v>121103</v>
      </c>
      <c r="E146">
        <v>2015</v>
      </c>
      <c r="F146">
        <v>3</v>
      </c>
      <c r="G146">
        <v>0</v>
      </c>
      <c r="I146" t="s">
        <v>78</v>
      </c>
      <c r="J146">
        <v>3</v>
      </c>
      <c r="K146">
        <f t="shared" si="102"/>
        <v>2018</v>
      </c>
      <c r="N146">
        <v>1077.07</v>
      </c>
      <c r="P146">
        <f t="shared" si="103"/>
        <v>1077.07</v>
      </c>
      <c r="Q146">
        <f t="shared" si="104"/>
        <v>29.918611111111108</v>
      </c>
      <c r="R146">
        <f t="shared" si="105"/>
        <v>0</v>
      </c>
      <c r="S146">
        <f t="shared" si="106"/>
        <v>0</v>
      </c>
      <c r="T146">
        <f t="shared" si="107"/>
        <v>0</v>
      </c>
      <c r="U146">
        <v>1</v>
      </c>
      <c r="V146">
        <f t="shared" si="108"/>
        <v>0</v>
      </c>
      <c r="X146">
        <f t="shared" si="109"/>
        <v>0</v>
      </c>
      <c r="Y146">
        <f t="shared" si="110"/>
        <v>0</v>
      </c>
      <c r="Z146">
        <v>1</v>
      </c>
      <c r="AA146">
        <f t="shared" si="111"/>
        <v>0</v>
      </c>
      <c r="AB146">
        <f t="shared" si="112"/>
        <v>0</v>
      </c>
      <c r="AC146">
        <f t="shared" si="113"/>
        <v>538.53499999999997</v>
      </c>
      <c r="AD146">
        <f t="shared" si="92"/>
        <v>2015.1666666666667</v>
      </c>
      <c r="AE146">
        <f t="shared" si="93"/>
        <v>1</v>
      </c>
      <c r="AF146">
        <f t="shared" si="94"/>
        <v>2018.1666666666667</v>
      </c>
      <c r="AG146">
        <f t="shared" si="95"/>
        <v>0</v>
      </c>
      <c r="AH146">
        <f t="shared" si="96"/>
        <v>-8.3333333333333329E-2</v>
      </c>
      <c r="AJ146">
        <f t="shared" si="97"/>
        <v>0</v>
      </c>
      <c r="AL146">
        <f t="shared" si="98"/>
        <v>0</v>
      </c>
      <c r="AN146">
        <f t="shared" si="99"/>
        <v>0</v>
      </c>
      <c r="AP146">
        <f t="shared" si="100"/>
        <v>0</v>
      </c>
      <c r="AR146">
        <f t="shared" si="101"/>
        <v>538.53499999999997</v>
      </c>
    </row>
    <row r="147" spans="2:44">
      <c r="C147" t="s">
        <v>573</v>
      </c>
      <c r="D147">
        <v>121057</v>
      </c>
      <c r="E147">
        <v>2015</v>
      </c>
      <c r="F147">
        <v>3</v>
      </c>
      <c r="G147">
        <v>0</v>
      </c>
      <c r="I147" t="s">
        <v>78</v>
      </c>
      <c r="J147">
        <v>3</v>
      </c>
      <c r="K147">
        <f t="shared" si="102"/>
        <v>2018</v>
      </c>
      <c r="N147">
        <v>1088.46</v>
      </c>
      <c r="P147">
        <f t="shared" si="103"/>
        <v>1088.46</v>
      </c>
      <c r="Q147">
        <f t="shared" si="104"/>
        <v>30.234999999999999</v>
      </c>
      <c r="R147">
        <f t="shared" si="105"/>
        <v>0</v>
      </c>
      <c r="S147">
        <f t="shared" si="106"/>
        <v>0</v>
      </c>
      <c r="T147">
        <f t="shared" si="107"/>
        <v>0</v>
      </c>
      <c r="U147">
        <v>1</v>
      </c>
      <c r="V147">
        <f t="shared" si="108"/>
        <v>0</v>
      </c>
      <c r="X147">
        <f t="shared" si="109"/>
        <v>0</v>
      </c>
      <c r="Y147">
        <f t="shared" si="110"/>
        <v>0</v>
      </c>
      <c r="Z147">
        <v>1</v>
      </c>
      <c r="AA147">
        <f t="shared" si="111"/>
        <v>0</v>
      </c>
      <c r="AB147">
        <f t="shared" si="112"/>
        <v>0</v>
      </c>
      <c r="AC147">
        <f t="shared" si="113"/>
        <v>544.23</v>
      </c>
      <c r="AD147">
        <f t="shared" si="92"/>
        <v>2015.1666666666667</v>
      </c>
      <c r="AE147">
        <f t="shared" si="93"/>
        <v>1</v>
      </c>
      <c r="AF147">
        <f t="shared" si="94"/>
        <v>2018.1666666666667</v>
      </c>
      <c r="AG147">
        <f t="shared" si="95"/>
        <v>0</v>
      </c>
      <c r="AH147">
        <f t="shared" si="96"/>
        <v>-8.3333333333333329E-2</v>
      </c>
      <c r="AJ147">
        <f t="shared" si="97"/>
        <v>0</v>
      </c>
      <c r="AL147">
        <f t="shared" si="98"/>
        <v>0</v>
      </c>
      <c r="AN147">
        <f t="shared" si="99"/>
        <v>0</v>
      </c>
      <c r="AP147">
        <f t="shared" si="100"/>
        <v>0</v>
      </c>
      <c r="AR147">
        <f t="shared" si="101"/>
        <v>544.23</v>
      </c>
    </row>
    <row r="148" spans="2:44">
      <c r="C148" t="s">
        <v>574</v>
      </c>
      <c r="D148">
        <v>121056</v>
      </c>
      <c r="E148">
        <v>2015</v>
      </c>
      <c r="F148">
        <v>3</v>
      </c>
      <c r="G148">
        <v>0</v>
      </c>
      <c r="I148" t="s">
        <v>78</v>
      </c>
      <c r="J148">
        <v>3</v>
      </c>
      <c r="K148">
        <f t="shared" si="102"/>
        <v>2018</v>
      </c>
      <c r="N148">
        <v>2903.73</v>
      </c>
      <c r="P148">
        <f t="shared" si="103"/>
        <v>2903.73</v>
      </c>
      <c r="Q148">
        <f t="shared" si="104"/>
        <v>80.659166666666664</v>
      </c>
      <c r="R148">
        <f t="shared" si="105"/>
        <v>0</v>
      </c>
      <c r="S148">
        <f t="shared" si="106"/>
        <v>0</v>
      </c>
      <c r="T148">
        <f t="shared" si="107"/>
        <v>0</v>
      </c>
      <c r="U148">
        <v>1</v>
      </c>
      <c r="V148">
        <f t="shared" si="108"/>
        <v>0</v>
      </c>
      <c r="X148">
        <f t="shared" si="109"/>
        <v>0</v>
      </c>
      <c r="Y148">
        <f t="shared" si="110"/>
        <v>0</v>
      </c>
      <c r="Z148">
        <v>1</v>
      </c>
      <c r="AA148">
        <f t="shared" si="111"/>
        <v>0</v>
      </c>
      <c r="AB148">
        <f t="shared" si="112"/>
        <v>0</v>
      </c>
      <c r="AC148">
        <f t="shared" si="113"/>
        <v>1451.865</v>
      </c>
      <c r="AD148">
        <f t="shared" si="92"/>
        <v>2015.1666666666667</v>
      </c>
      <c r="AE148">
        <f t="shared" si="93"/>
        <v>1</v>
      </c>
      <c r="AF148">
        <f t="shared" si="94"/>
        <v>2018.1666666666667</v>
      </c>
      <c r="AG148">
        <f t="shared" si="95"/>
        <v>0</v>
      </c>
      <c r="AH148">
        <f t="shared" si="96"/>
        <v>-8.3333333333333329E-2</v>
      </c>
      <c r="AJ148">
        <f t="shared" si="97"/>
        <v>0</v>
      </c>
      <c r="AL148">
        <f t="shared" si="98"/>
        <v>0</v>
      </c>
      <c r="AN148">
        <f t="shared" si="99"/>
        <v>0</v>
      </c>
      <c r="AP148">
        <f t="shared" si="100"/>
        <v>0</v>
      </c>
      <c r="AR148">
        <f t="shared" si="101"/>
        <v>1451.865</v>
      </c>
    </row>
    <row r="149" spans="2:44">
      <c r="B149">
        <v>17</v>
      </c>
      <c r="C149" t="s">
        <v>575</v>
      </c>
      <c r="D149">
        <v>121055</v>
      </c>
      <c r="E149">
        <v>2015</v>
      </c>
      <c r="F149">
        <v>3</v>
      </c>
      <c r="G149">
        <v>0</v>
      </c>
      <c r="I149" t="s">
        <v>78</v>
      </c>
      <c r="J149">
        <v>5</v>
      </c>
      <c r="K149">
        <f t="shared" si="102"/>
        <v>2020</v>
      </c>
      <c r="N149">
        <v>6120.34</v>
      </c>
      <c r="P149">
        <f t="shared" si="103"/>
        <v>6120.34</v>
      </c>
      <c r="Q149">
        <f t="shared" si="104"/>
        <v>102.00566666666667</v>
      </c>
      <c r="R149">
        <f t="shared" si="105"/>
        <v>0</v>
      </c>
      <c r="S149">
        <f t="shared" si="106"/>
        <v>0</v>
      </c>
      <c r="T149">
        <f t="shared" si="107"/>
        <v>0</v>
      </c>
      <c r="U149">
        <v>1</v>
      </c>
      <c r="V149">
        <f t="shared" si="108"/>
        <v>0</v>
      </c>
      <c r="X149">
        <f t="shared" si="109"/>
        <v>0</v>
      </c>
      <c r="Y149">
        <f t="shared" si="110"/>
        <v>0</v>
      </c>
      <c r="Z149">
        <v>1</v>
      </c>
      <c r="AA149">
        <f t="shared" si="111"/>
        <v>0</v>
      </c>
      <c r="AB149">
        <f t="shared" si="112"/>
        <v>0</v>
      </c>
      <c r="AC149">
        <f t="shared" si="113"/>
        <v>3060.17</v>
      </c>
      <c r="AD149">
        <f t="shared" si="92"/>
        <v>2015.1666666666667</v>
      </c>
      <c r="AE149">
        <f t="shared" si="93"/>
        <v>1</v>
      </c>
      <c r="AF149">
        <f t="shared" si="94"/>
        <v>2020.1666666666667</v>
      </c>
      <c r="AG149">
        <f t="shared" si="95"/>
        <v>0</v>
      </c>
      <c r="AH149">
        <f t="shared" si="96"/>
        <v>-8.3333333333333329E-2</v>
      </c>
      <c r="AJ149">
        <f t="shared" si="97"/>
        <v>0</v>
      </c>
      <c r="AL149">
        <f t="shared" si="98"/>
        <v>0</v>
      </c>
      <c r="AN149">
        <f t="shared" si="99"/>
        <v>0</v>
      </c>
      <c r="AP149">
        <f t="shared" si="100"/>
        <v>0</v>
      </c>
      <c r="AR149">
        <f t="shared" si="101"/>
        <v>3060.17</v>
      </c>
    </row>
    <row r="150" spans="2:44">
      <c r="C150" t="s">
        <v>576</v>
      </c>
      <c r="D150">
        <v>120388</v>
      </c>
      <c r="E150">
        <v>2015</v>
      </c>
      <c r="F150">
        <v>2</v>
      </c>
      <c r="G150">
        <v>0</v>
      </c>
      <c r="I150" t="s">
        <v>78</v>
      </c>
      <c r="J150">
        <v>3</v>
      </c>
      <c r="K150">
        <f t="shared" si="102"/>
        <v>2018</v>
      </c>
      <c r="N150">
        <v>1090.0999999999999</v>
      </c>
      <c r="P150">
        <f t="shared" si="103"/>
        <v>1090.0999999999999</v>
      </c>
      <c r="Q150">
        <f t="shared" si="104"/>
        <v>30.280555555555551</v>
      </c>
      <c r="R150">
        <f t="shared" si="105"/>
        <v>0</v>
      </c>
      <c r="S150">
        <f t="shared" si="106"/>
        <v>0</v>
      </c>
      <c r="T150">
        <f t="shared" si="107"/>
        <v>0</v>
      </c>
      <c r="U150">
        <v>1</v>
      </c>
      <c r="V150">
        <f t="shared" si="108"/>
        <v>0</v>
      </c>
      <c r="X150">
        <f t="shared" si="109"/>
        <v>0</v>
      </c>
      <c r="Y150">
        <f t="shared" si="110"/>
        <v>0</v>
      </c>
      <c r="Z150">
        <v>1</v>
      </c>
      <c r="AA150">
        <f t="shared" si="111"/>
        <v>0</v>
      </c>
      <c r="AB150">
        <f t="shared" si="112"/>
        <v>0</v>
      </c>
      <c r="AC150">
        <f t="shared" si="113"/>
        <v>545.04999999999995</v>
      </c>
      <c r="AD150">
        <f t="shared" si="92"/>
        <v>2015.0833333333333</v>
      </c>
      <c r="AE150">
        <f t="shared" si="93"/>
        <v>1</v>
      </c>
      <c r="AF150">
        <f t="shared" si="94"/>
        <v>2018.0833333333333</v>
      </c>
      <c r="AG150">
        <f t="shared" si="95"/>
        <v>0</v>
      </c>
      <c r="AH150">
        <f t="shared" si="96"/>
        <v>-8.3333333333333329E-2</v>
      </c>
      <c r="AJ150">
        <f t="shared" si="97"/>
        <v>0</v>
      </c>
      <c r="AL150">
        <f t="shared" si="98"/>
        <v>0</v>
      </c>
      <c r="AN150">
        <f t="shared" si="99"/>
        <v>0</v>
      </c>
      <c r="AP150">
        <f t="shared" si="100"/>
        <v>0</v>
      </c>
      <c r="AR150">
        <f t="shared" si="101"/>
        <v>545.04999999999995</v>
      </c>
    </row>
    <row r="151" spans="2:44">
      <c r="C151" t="s">
        <v>585</v>
      </c>
      <c r="D151">
        <v>128910</v>
      </c>
      <c r="E151">
        <v>2015</v>
      </c>
      <c r="F151">
        <v>12</v>
      </c>
      <c r="G151">
        <v>0</v>
      </c>
      <c r="I151" t="s">
        <v>78</v>
      </c>
      <c r="J151">
        <v>3</v>
      </c>
      <c r="K151">
        <f t="shared" si="102"/>
        <v>2018</v>
      </c>
      <c r="N151">
        <v>1087.92</v>
      </c>
      <c r="P151">
        <f t="shared" si="103"/>
        <v>1087.92</v>
      </c>
      <c r="Q151">
        <f t="shared" si="104"/>
        <v>30.220000000000002</v>
      </c>
      <c r="R151">
        <f>IF(O151&gt;0,0,IF(OR(AD151&gt;AE151,AF151&lt;AG151),0,IF(AND(AF151&gt;=AG151,AF151&lt;=AE151),Q151*((AF151-AG151)*12),IF(AND(AG151&lt;=AD151,AE151&gt;=AD151),((AE151-AD151)*12)*Q151,IF(AF151&gt;AE151,12*Q151,0)))))</f>
        <v>0</v>
      </c>
      <c r="S151">
        <f>IF(O151=0,0,IF(AND(AH151&gt;=AG151,AH151&lt;=AF151),((AH151-AG151)*12)*Q151,0))</f>
        <v>0</v>
      </c>
      <c r="T151">
        <f>IF(S151&gt;0,S151,R151)</f>
        <v>0</v>
      </c>
      <c r="U151">
        <v>1</v>
      </c>
      <c r="V151">
        <f>U151*SUM(R151:S151)</f>
        <v>0</v>
      </c>
      <c r="X151">
        <f>IF(AD151&gt;AE151,0,IF(AF151&lt;AG151,P151,IF(AND(AF151&gt;=AG151,AF151&lt;=AE151),(P151-T151),IF(AND(AG151&lt;=AD151,AE151&gt;=AD151),0,IF(AF151&gt;AE151,((AG151-AD151)*12)*Q151,0)))))</f>
        <v>0</v>
      </c>
      <c r="Y151">
        <f>X151*U151</f>
        <v>0</v>
      </c>
      <c r="Z151">
        <v>1</v>
      </c>
      <c r="AA151">
        <f>Y151*Z151</f>
        <v>0</v>
      </c>
      <c r="AB151">
        <f>IF(O151&gt;0,0,AA151+V151*Z151)*Z151</f>
        <v>0</v>
      </c>
      <c r="AC151">
        <f>IF(O151&gt;0,(N151-AA151)/2,IF(AD151&gt;=AG151,(((N151*U151)*Z151)-AB151)/2,((((N151*U151)*Z151)-AA151)+(((N151*U151)*Z151)-AB151))/2))</f>
        <v>543.96</v>
      </c>
      <c r="AD151">
        <f t="shared" si="92"/>
        <v>2015.9166666666667</v>
      </c>
      <c r="AE151">
        <f t="shared" si="93"/>
        <v>1</v>
      </c>
      <c r="AF151">
        <f t="shared" si="94"/>
        <v>2018.9166666666667</v>
      </c>
      <c r="AG151">
        <f t="shared" si="95"/>
        <v>0</v>
      </c>
      <c r="AH151">
        <f t="shared" si="96"/>
        <v>-8.3333333333333329E-2</v>
      </c>
      <c r="AJ151">
        <f t="shared" si="97"/>
        <v>0</v>
      </c>
      <c r="AL151">
        <f t="shared" si="98"/>
        <v>0</v>
      </c>
      <c r="AN151">
        <f t="shared" si="99"/>
        <v>0</v>
      </c>
      <c r="AP151">
        <f t="shared" si="100"/>
        <v>0</v>
      </c>
      <c r="AR151">
        <f t="shared" si="101"/>
        <v>543.96</v>
      </c>
    </row>
    <row r="152" spans="2:44">
      <c r="C152" t="s">
        <v>594</v>
      </c>
      <c r="D152">
        <v>133138</v>
      </c>
      <c r="E152">
        <v>2016</v>
      </c>
      <c r="F152">
        <v>2</v>
      </c>
      <c r="G152">
        <v>0</v>
      </c>
      <c r="I152" t="s">
        <v>78</v>
      </c>
      <c r="J152">
        <v>3</v>
      </c>
      <c r="K152">
        <f t="shared" si="102"/>
        <v>2019</v>
      </c>
      <c r="N152">
        <v>1045.18</v>
      </c>
      <c r="P152">
        <f t="shared" si="103"/>
        <v>1045.18</v>
      </c>
      <c r="Q152">
        <f t="shared" si="104"/>
        <v>29.032777777777781</v>
      </c>
      <c r="R152">
        <f>IF(O152&gt;0,0,IF(OR(AD152&gt;AE152,AF152&lt;AG152),0,IF(AND(AF152&gt;=AG152,AF152&lt;=AE152),Q152*((AF152-AG152)*12),IF(AND(AG152&lt;=AD152,AE152&gt;=AD152),((AE152-AD152)*12)*Q152,IF(AF152&gt;AE152,12*Q152,0)))))</f>
        <v>0</v>
      </c>
      <c r="S152">
        <f>IF(O152=0,0,IF(AND(AH152&gt;=AG152,AH152&lt;=AF152),((AH152-AG152)*12)*Q152,0))</f>
        <v>0</v>
      </c>
      <c r="T152">
        <f>IF(S152&gt;0,S152,R152)</f>
        <v>0</v>
      </c>
      <c r="U152">
        <v>1</v>
      </c>
      <c r="V152">
        <f>U152*SUM(R152:S152)</f>
        <v>0</v>
      </c>
      <c r="X152">
        <f>IF(AD152&gt;AE152,0,IF(AF152&lt;AG152,P152,IF(AND(AF152&gt;=AG152,AF152&lt;=AE152),(P152-T152),IF(AND(AG152&lt;=AD152,AE152&gt;=AD152),0,IF(AF152&gt;AE152,((AG152-AD152)*12)*Q152,0)))))</f>
        <v>0</v>
      </c>
      <c r="Y152">
        <f>X152*U152</f>
        <v>0</v>
      </c>
      <c r="Z152">
        <v>1</v>
      </c>
      <c r="AA152">
        <f>Y152*Z152</f>
        <v>0</v>
      </c>
      <c r="AB152">
        <f>IF(O152&gt;0,0,AA152+V152*Z152)*Z152</f>
        <v>0</v>
      </c>
      <c r="AC152">
        <f>IF(O152&gt;0,(N152-AA152)/2,IF(AD152&gt;=AG152,(((N152*U152)*Z152)-AB152)/2,((((N152*U152)*Z152)-AA152)+(((N152*U152)*Z152)-AB152))/2))</f>
        <v>522.59</v>
      </c>
      <c r="AD152">
        <f t="shared" si="92"/>
        <v>2016.0833333333333</v>
      </c>
      <c r="AE152">
        <f t="shared" si="93"/>
        <v>1</v>
      </c>
      <c r="AF152">
        <f t="shared" si="94"/>
        <v>2019.0833333333333</v>
      </c>
      <c r="AG152">
        <f t="shared" si="95"/>
        <v>0</v>
      </c>
      <c r="AH152">
        <f t="shared" si="96"/>
        <v>-8.3333333333333329E-2</v>
      </c>
      <c r="AJ152">
        <f t="shared" si="97"/>
        <v>0</v>
      </c>
      <c r="AL152">
        <f t="shared" si="98"/>
        <v>0</v>
      </c>
      <c r="AN152">
        <f t="shared" si="99"/>
        <v>0</v>
      </c>
      <c r="AP152">
        <f t="shared" si="100"/>
        <v>0</v>
      </c>
      <c r="AR152">
        <f t="shared" si="101"/>
        <v>522.59</v>
      </c>
    </row>
    <row r="153" spans="2:44">
      <c r="B153">
        <v>1</v>
      </c>
      <c r="C153" t="s">
        <v>646</v>
      </c>
      <c r="D153">
        <v>191901</v>
      </c>
      <c r="E153">
        <v>2018</v>
      </c>
      <c r="F153">
        <v>1</v>
      </c>
      <c r="G153">
        <v>0</v>
      </c>
      <c r="I153" t="s">
        <v>78</v>
      </c>
      <c r="J153">
        <v>3</v>
      </c>
      <c r="K153">
        <f t="shared" si="102"/>
        <v>2021</v>
      </c>
      <c r="N153">
        <v>1306.96</v>
      </c>
      <c r="P153">
        <f t="shared" si="103"/>
        <v>1306.96</v>
      </c>
      <c r="Q153">
        <f t="shared" si="104"/>
        <v>36.304444444444449</v>
      </c>
      <c r="R153">
        <f>IF(O153&gt;0,0,IF(OR(AD153&gt;AE153,AF153&lt;AG153),0,IF(AND(AF153&gt;=AG153,AF153&lt;=AE153),Q153*((AF153-AG153)*12),IF(AND(AG153&lt;=AD153,AE153&gt;=AD153),((AE153-AD153)*12)*Q153,IF(AF153&gt;AE153,12*Q153,0)))))</f>
        <v>0</v>
      </c>
      <c r="S153">
        <f>IF(O153=0,0,IF(AND(AH153&gt;=AG153,AH153&lt;=AF153),((AH153-AG153)*12)*Q153,0))</f>
        <v>0</v>
      </c>
      <c r="T153">
        <f>IF(S153&gt;0,S153,R153)</f>
        <v>0</v>
      </c>
      <c r="U153">
        <v>1</v>
      </c>
      <c r="V153">
        <f>U153*SUM(R153:S153)</f>
        <v>0</v>
      </c>
      <c r="X153">
        <f>IF(AD153&gt;AE153,0,IF(AF153&lt;AG153,P153,IF(AND(AF153&gt;=AG153,AF153&lt;=AE153),(P153-T153),IF(AND(AG153&lt;=AD153,AE153&gt;=AD153),0,IF(AF153&gt;AE153,((AG153-AD153)*12)*Q153,0)))))</f>
        <v>0</v>
      </c>
      <c r="Y153">
        <f>X153*U153</f>
        <v>0</v>
      </c>
      <c r="Z153">
        <v>1</v>
      </c>
      <c r="AA153">
        <f>Y153*Z153</f>
        <v>0</v>
      </c>
      <c r="AB153">
        <f>IF(O153&gt;0,0,AA153+V153*Z153)*Z153</f>
        <v>0</v>
      </c>
      <c r="AC153">
        <f>IF(O153&gt;0,(N153-AA153)/2,IF(AD153&gt;=AG153,(((N153*U153)*Z153)-AB153)/2,((((N153*U153)*Z153)-AA153)+(((N153*U153)*Z153)-AB153))/2))</f>
        <v>653.48</v>
      </c>
      <c r="AD153">
        <f t="shared" si="92"/>
        <v>2018</v>
      </c>
      <c r="AE153">
        <f t="shared" si="93"/>
        <v>1</v>
      </c>
      <c r="AF153">
        <f t="shared" si="94"/>
        <v>2021</v>
      </c>
      <c r="AG153">
        <f t="shared" si="95"/>
        <v>0</v>
      </c>
      <c r="AH153">
        <f t="shared" si="96"/>
        <v>-8.3333333333333329E-2</v>
      </c>
    </row>
    <row r="155" spans="2:44">
      <c r="C155" t="s">
        <v>410</v>
      </c>
      <c r="N155">
        <f>SUM(N124:N154)</f>
        <v>396071.92</v>
      </c>
      <c r="P155">
        <f>SUM(P124:P154)</f>
        <v>396071.92</v>
      </c>
      <c r="Q155">
        <f>SUM(Q124:Q154)</f>
        <v>5643.8658888888876</v>
      </c>
      <c r="R155">
        <f>SUM(R124:R154)</f>
        <v>0</v>
      </c>
      <c r="T155">
        <f>SUM(T124:T154)</f>
        <v>0</v>
      </c>
      <c r="V155">
        <f>SUM(V124:V154)</f>
        <v>0</v>
      </c>
      <c r="X155">
        <f>SUM(X124:X154)</f>
        <v>0</v>
      </c>
      <c r="Y155">
        <f>SUM(Y124:Y154)</f>
        <v>0</v>
      </c>
      <c r="AA155">
        <f>SUM(AA124:AA154)</f>
        <v>0</v>
      </c>
      <c r="AB155">
        <f>SUM(AB124:AB154)</f>
        <v>0</v>
      </c>
      <c r="AC155">
        <f>SUM(AC124:AC154)</f>
        <v>198035.96</v>
      </c>
      <c r="AJ155">
        <f t="shared" ref="AJ155:AR155" si="114">SUM(AJ124:AJ154)</f>
        <v>0</v>
      </c>
      <c r="AK155">
        <f t="shared" si="114"/>
        <v>0</v>
      </c>
      <c r="AL155">
        <f t="shared" si="114"/>
        <v>0</v>
      </c>
      <c r="AM155">
        <f t="shared" si="114"/>
        <v>0</v>
      </c>
      <c r="AN155">
        <f t="shared" si="114"/>
        <v>0</v>
      </c>
      <c r="AO155">
        <f t="shared" si="114"/>
        <v>0</v>
      </c>
      <c r="AP155">
        <f t="shared" si="114"/>
        <v>0</v>
      </c>
      <c r="AQ155">
        <f t="shared" si="114"/>
        <v>0</v>
      </c>
      <c r="AR155">
        <f t="shared" si="114"/>
        <v>197382.47999999998</v>
      </c>
    </row>
    <row r="156" spans="2:44">
      <c r="C156" t="s">
        <v>316</v>
      </c>
    </row>
    <row r="158" spans="2:44">
      <c r="C158" t="s">
        <v>83</v>
      </c>
      <c r="N158">
        <f>SUM(N155,N119,N107,N48,N22)</f>
        <v>7135395.6600000001</v>
      </c>
      <c r="P158">
        <f>SUM(P155,P119,P107,P48,P22)</f>
        <v>7057084.1065999996</v>
      </c>
      <c r="Q158">
        <f>SUM(Q155,Q119,Q107,Q48,Q22)</f>
        <v>45849.037245120853</v>
      </c>
      <c r="R158">
        <f>SUM(R155,R119,R107,R48,R22)</f>
        <v>0</v>
      </c>
      <c r="V158">
        <f>SUM(V155,V119,V107,V48,V22)</f>
        <v>0</v>
      </c>
      <c r="X158">
        <f>SUM(X155,X119,X107,X48,X22)</f>
        <v>0</v>
      </c>
      <c r="Y158">
        <f>SUM(Y155,Y119,Y107,Y48,Y22)</f>
        <v>0</v>
      </c>
      <c r="AA158">
        <f>SUM(AA155,AA119,AA107,AA48,AA22)</f>
        <v>0</v>
      </c>
      <c r="AB158">
        <f>SUM(AB155,AB119,AB107,AB48,AB22)</f>
        <v>0</v>
      </c>
      <c r="AC158">
        <f>SUM(AC155,AC119,AC107,AC48,AC22)</f>
        <v>3578853.375</v>
      </c>
      <c r="AJ158">
        <f t="shared" ref="AJ158:AR158" si="115">SUM(AJ155,AJ119,AJ107,AJ48,AJ22)</f>
        <v>2753.983905519246</v>
      </c>
      <c r="AK158">
        <f t="shared" si="115"/>
        <v>0</v>
      </c>
      <c r="AL158">
        <f t="shared" si="115"/>
        <v>2753.983905519246</v>
      </c>
      <c r="AM158">
        <f t="shared" si="115"/>
        <v>0</v>
      </c>
      <c r="AN158">
        <f t="shared" si="115"/>
        <v>0</v>
      </c>
      <c r="AO158">
        <f t="shared" si="115"/>
        <v>0</v>
      </c>
      <c r="AP158">
        <f t="shared" si="115"/>
        <v>155582.97304724038</v>
      </c>
      <c r="AQ158">
        <f t="shared" si="115"/>
        <v>0</v>
      </c>
      <c r="AR158">
        <f t="shared" si="115"/>
        <v>3576822.9030472403</v>
      </c>
    </row>
    <row r="175" spans="2:34">
      <c r="C175" t="s">
        <v>430</v>
      </c>
    </row>
    <row r="176" spans="2:34">
      <c r="B176">
        <v>6001</v>
      </c>
      <c r="C176" t="s">
        <v>346</v>
      </c>
      <c r="E176">
        <v>1995</v>
      </c>
      <c r="F176">
        <v>9</v>
      </c>
      <c r="G176">
        <v>0.2</v>
      </c>
      <c r="I176" t="s">
        <v>78</v>
      </c>
      <c r="J176">
        <v>7</v>
      </c>
      <c r="K176">
        <f>E176+J176</f>
        <v>2002</v>
      </c>
      <c r="L176">
        <v>2011</v>
      </c>
      <c r="M176">
        <v>5</v>
      </c>
      <c r="N176">
        <v>4700</v>
      </c>
      <c r="O176">
        <v>0</v>
      </c>
      <c r="P176">
        <f>N176-N176*G176</f>
        <v>3760</v>
      </c>
      <c r="Q176">
        <f>P176/J176/12</f>
        <v>44.761904761904759</v>
      </c>
      <c r="R176">
        <f>IF(O176&gt;0,0,IF(OR(AD176&gt;AE176,AF176&lt;AG176),0,IF(AND(AF176&gt;=AG176,AF176&lt;=AE176),Q176*((AF176-AG176)*12),IF(AND(AG176&lt;=AD176,AE176&gt;=AD176),((AE176-AD176)*12)*Q176,IF(AF176&gt;AE176,12*Q176,0)))))</f>
        <v>0</v>
      </c>
      <c r="S176">
        <f>IF(O176=0,0,IF(AND(AH176&gt;=AG176,AH176&lt;=AF176),((AH176-AG176)*12)*Q176,0))</f>
        <v>0</v>
      </c>
      <c r="T176">
        <f>IF(S176&gt;0,S176,R176)</f>
        <v>0</v>
      </c>
      <c r="U176">
        <v>1</v>
      </c>
      <c r="V176">
        <f>U176*SUM(R176:S176)</f>
        <v>0</v>
      </c>
      <c r="X176">
        <f>IF(AD176&gt;AE176,0,IF(AF176&lt;AG176,P176,IF(AND(AF176&gt;=AG176,AF176&lt;=AE176),(P176-T176),IF(AND(AG176&lt;=AD176,AE176&gt;=AD176),0,IF(AF176&gt;AE176,((AG176-AD176)*12)*Q176,0)))))</f>
        <v>0</v>
      </c>
      <c r="Y176">
        <f>X176*U176</f>
        <v>0</v>
      </c>
      <c r="Z176">
        <v>1</v>
      </c>
      <c r="AA176">
        <f>Y176*Z176</f>
        <v>0</v>
      </c>
      <c r="AB176">
        <f>IF(O176&gt;0,0,AA176+V176*Z176)*Z176</f>
        <v>0</v>
      </c>
      <c r="AC176">
        <f>IF(O176&gt;0,(N176-AA176)/2,IF(AD176&gt;=AG176,(((N176*U176)*Z176)-AB176)/2,((((N176*U176)*Z176)-AA176)+(((N176*U176)*Z176)-AB176))/2))</f>
        <v>2350</v>
      </c>
      <c r="AD176">
        <f>$E176+(($F176-1)/12)</f>
        <v>1995.6666666666667</v>
      </c>
      <c r="AE176">
        <f>($P$5+1)-($P$2/12)</f>
        <v>1</v>
      </c>
      <c r="AF176">
        <f>$K176+(($F176-1)/12)</f>
        <v>2002.6666666666667</v>
      </c>
      <c r="AG176">
        <f>$P$4+($P$3/12)</f>
        <v>0</v>
      </c>
      <c r="AH176">
        <f>$L176+(($M176-1)/12)</f>
        <v>2011.3333333333333</v>
      </c>
    </row>
    <row r="178" spans="3:34">
      <c r="C178" t="s">
        <v>431</v>
      </c>
    </row>
    <row r="179" spans="3:34">
      <c r="C179" t="s">
        <v>114</v>
      </c>
      <c r="E179">
        <v>1993</v>
      </c>
      <c r="F179">
        <v>7</v>
      </c>
      <c r="G179">
        <v>0</v>
      </c>
      <c r="I179" t="s">
        <v>78</v>
      </c>
      <c r="J179">
        <v>5</v>
      </c>
      <c r="K179">
        <f t="shared" ref="K179:K210" si="116">E179+J179</f>
        <v>1998</v>
      </c>
      <c r="N179">
        <v>324</v>
      </c>
      <c r="O179">
        <v>0</v>
      </c>
      <c r="P179">
        <f t="shared" ref="P179:P210" si="117">N179-N179*G179</f>
        <v>324</v>
      </c>
      <c r="Q179">
        <f t="shared" ref="Q179:Q210" si="118">P179/J179/12</f>
        <v>5.3999999999999995</v>
      </c>
      <c r="R179">
        <f t="shared" ref="R179:R210" si="119">IF(O179&gt;0,0,IF(OR(AD179&gt;AE179,AF179&lt;AG179),0,IF(AND(AF179&gt;=AG179,AF179&lt;=AE179),Q179*((AF179-AG179)*12),IF(AND(AG179&lt;=AD179,AE179&gt;=AD179),((AE179-AD179)*12)*Q179,IF(AF179&gt;AE179,12*Q179,0)))))</f>
        <v>0</v>
      </c>
      <c r="S179">
        <f t="shared" ref="S179:S210" si="120">IF(O179=0,0,IF(AND(AH179&gt;=AG179,AH179&lt;=AF179),((AH179-AG179)*12)*Q179,0))</f>
        <v>0</v>
      </c>
      <c r="T179">
        <f t="shared" ref="T179:T210" si="121">IF(S179&gt;0,S179,R179)</f>
        <v>0</v>
      </c>
      <c r="U179">
        <v>1</v>
      </c>
      <c r="V179">
        <f t="shared" ref="V179:V210" si="122">U179*SUM(R179:S179)</f>
        <v>0</v>
      </c>
      <c r="X179">
        <f t="shared" ref="X179:X210" si="123">IF(AD179&gt;AE179,0,IF(AF179&lt;AG179,P179,IF(AND(AF179&gt;=AG179,AF179&lt;=AE179),(P179-T179),IF(AND(AG179&lt;=AD179,AE179&gt;=AD179),0,IF(AF179&gt;AE179,((AG179-AD179)*12)*Q179,0)))))</f>
        <v>0</v>
      </c>
      <c r="Y179">
        <f t="shared" ref="Y179:Y210" si="124">X179*U179</f>
        <v>0</v>
      </c>
      <c r="Z179">
        <v>1</v>
      </c>
      <c r="AA179">
        <f t="shared" ref="AA179:AA210" si="125">Y179*Z179</f>
        <v>0</v>
      </c>
      <c r="AB179">
        <f t="shared" ref="AB179:AB210" si="126">IF(O179&gt;0,0,AA179+V179*Z179)*Z179</f>
        <v>0</v>
      </c>
      <c r="AC179">
        <f t="shared" ref="AC179:AC210" si="127">IF(O179&gt;0,(N179-AA179)/2,IF(AD179&gt;=AG179,(((N179*U179)*Z179)-AB179)/2,((((N179*U179)*Z179)-AA179)+(((N179*U179)*Z179)-AB179))/2))</f>
        <v>162</v>
      </c>
      <c r="AD179">
        <f t="shared" ref="AD179:AD210" si="128">$E179+(($F179-1)/12)</f>
        <v>1993.5</v>
      </c>
      <c r="AE179">
        <f>($P$5+1)-($P$2/12)</f>
        <v>1</v>
      </c>
      <c r="AF179">
        <f t="shared" ref="AF179:AF210" si="129">$K179+(($F179-1)/12)</f>
        <v>1998.5</v>
      </c>
      <c r="AG179">
        <f>$P$4+($P$3/12)</f>
        <v>0</v>
      </c>
      <c r="AH179">
        <f t="shared" ref="AH179:AH210" si="130">$L179+(($M179-1)/12)</f>
        <v>-8.3333333333333329E-2</v>
      </c>
    </row>
    <row r="180" spans="3:34">
      <c r="C180" t="s">
        <v>120</v>
      </c>
      <c r="E180">
        <v>2000</v>
      </c>
      <c r="F180">
        <v>9</v>
      </c>
      <c r="G180">
        <v>0</v>
      </c>
      <c r="I180" t="s">
        <v>78</v>
      </c>
      <c r="J180">
        <v>5</v>
      </c>
      <c r="K180">
        <f t="shared" si="116"/>
        <v>2005</v>
      </c>
      <c r="N180">
        <v>1404</v>
      </c>
      <c r="O180">
        <v>0</v>
      </c>
      <c r="P180">
        <f t="shared" si="117"/>
        <v>1404</v>
      </c>
      <c r="Q180">
        <f t="shared" si="118"/>
        <v>23.400000000000002</v>
      </c>
      <c r="R180">
        <f t="shared" si="119"/>
        <v>0</v>
      </c>
      <c r="S180">
        <f t="shared" si="120"/>
        <v>0</v>
      </c>
      <c r="T180">
        <f t="shared" si="121"/>
        <v>0</v>
      </c>
      <c r="U180">
        <v>1</v>
      </c>
      <c r="V180">
        <f t="shared" si="122"/>
        <v>0</v>
      </c>
      <c r="X180">
        <f t="shared" si="123"/>
        <v>0</v>
      </c>
      <c r="Y180">
        <f t="shared" si="124"/>
        <v>0</v>
      </c>
      <c r="Z180">
        <v>1</v>
      </c>
      <c r="AA180">
        <f t="shared" si="125"/>
        <v>0</v>
      </c>
      <c r="AB180">
        <f t="shared" si="126"/>
        <v>0</v>
      </c>
      <c r="AC180">
        <f t="shared" si="127"/>
        <v>702</v>
      </c>
      <c r="AD180">
        <f t="shared" si="128"/>
        <v>2000.6666666666667</v>
      </c>
      <c r="AE180">
        <f>($P$5+1)-($P$2/12)</f>
        <v>1</v>
      </c>
      <c r="AF180">
        <f t="shared" si="129"/>
        <v>2005.6666666666667</v>
      </c>
      <c r="AG180">
        <f>$P$4+($P$3/12)</f>
        <v>0</v>
      </c>
      <c r="AH180">
        <f t="shared" si="130"/>
        <v>-8.3333333333333329E-2</v>
      </c>
    </row>
    <row r="181" spans="3:34">
      <c r="C181" t="s">
        <v>119</v>
      </c>
      <c r="E181">
        <v>2000</v>
      </c>
      <c r="F181">
        <v>3</v>
      </c>
      <c r="G181">
        <v>0</v>
      </c>
      <c r="I181" t="s">
        <v>78</v>
      </c>
      <c r="J181">
        <v>5</v>
      </c>
      <c r="K181">
        <f t="shared" si="116"/>
        <v>2005</v>
      </c>
      <c r="N181">
        <v>31909.42</v>
      </c>
      <c r="O181">
        <v>0</v>
      </c>
      <c r="P181">
        <f t="shared" si="117"/>
        <v>31909.42</v>
      </c>
      <c r="Q181">
        <f t="shared" si="118"/>
        <v>531.82366666666667</v>
      </c>
      <c r="R181">
        <f t="shared" si="119"/>
        <v>0</v>
      </c>
      <c r="S181">
        <f t="shared" si="120"/>
        <v>0</v>
      </c>
      <c r="T181">
        <f t="shared" si="121"/>
        <v>0</v>
      </c>
      <c r="U181">
        <v>1</v>
      </c>
      <c r="V181">
        <f t="shared" si="122"/>
        <v>0</v>
      </c>
      <c r="X181">
        <f t="shared" si="123"/>
        <v>0</v>
      </c>
      <c r="Y181">
        <f t="shared" si="124"/>
        <v>0</v>
      </c>
      <c r="Z181">
        <v>1</v>
      </c>
      <c r="AA181">
        <f t="shared" si="125"/>
        <v>0</v>
      </c>
      <c r="AB181">
        <f t="shared" si="126"/>
        <v>0</v>
      </c>
      <c r="AC181">
        <f t="shared" si="127"/>
        <v>15954.71</v>
      </c>
      <c r="AD181">
        <f t="shared" si="128"/>
        <v>2000.1666666666667</v>
      </c>
      <c r="AE181">
        <f>($P$5+1)-($P$2/12)</f>
        <v>1</v>
      </c>
      <c r="AF181">
        <f t="shared" si="129"/>
        <v>2005.1666666666667</v>
      </c>
      <c r="AG181">
        <f>$P$4+($P$3/12)</f>
        <v>0</v>
      </c>
      <c r="AH181">
        <f t="shared" si="130"/>
        <v>-8.3333333333333329E-2</v>
      </c>
    </row>
    <row r="182" spans="3:34">
      <c r="C182" t="s">
        <v>214</v>
      </c>
      <c r="E182">
        <v>2001</v>
      </c>
      <c r="F182">
        <v>5</v>
      </c>
      <c r="G182">
        <v>0</v>
      </c>
      <c r="I182" t="s">
        <v>78</v>
      </c>
      <c r="J182">
        <v>5</v>
      </c>
      <c r="K182">
        <f t="shared" si="116"/>
        <v>2006</v>
      </c>
      <c r="N182">
        <v>1024.98</v>
      </c>
      <c r="O182">
        <v>0</v>
      </c>
      <c r="P182">
        <f t="shared" si="117"/>
        <v>1024.98</v>
      </c>
      <c r="Q182">
        <f t="shared" si="118"/>
        <v>17.083000000000002</v>
      </c>
      <c r="R182">
        <f t="shared" si="119"/>
        <v>0</v>
      </c>
      <c r="S182">
        <f t="shared" si="120"/>
        <v>0</v>
      </c>
      <c r="T182">
        <f t="shared" si="121"/>
        <v>0</v>
      </c>
      <c r="U182">
        <v>1</v>
      </c>
      <c r="V182">
        <f t="shared" si="122"/>
        <v>0</v>
      </c>
      <c r="X182">
        <f t="shared" si="123"/>
        <v>0</v>
      </c>
      <c r="Y182">
        <f t="shared" si="124"/>
        <v>0</v>
      </c>
      <c r="Z182">
        <v>1</v>
      </c>
      <c r="AA182">
        <f t="shared" si="125"/>
        <v>0</v>
      </c>
      <c r="AB182">
        <f t="shared" si="126"/>
        <v>0</v>
      </c>
      <c r="AC182">
        <f t="shared" si="127"/>
        <v>512.49</v>
      </c>
      <c r="AD182">
        <f t="shared" si="128"/>
        <v>2001.3333333333333</v>
      </c>
      <c r="AE182">
        <f>($P$5+1)-($P$2/12)</f>
        <v>1</v>
      </c>
      <c r="AF182">
        <f t="shared" si="129"/>
        <v>2006.3333333333333</v>
      </c>
      <c r="AG182">
        <f>$P$4+($P$3/12)</f>
        <v>0</v>
      </c>
      <c r="AH182">
        <f t="shared" si="130"/>
        <v>-8.3333333333333329E-2</v>
      </c>
    </row>
    <row r="183" spans="3:34">
      <c r="C183" t="s">
        <v>103</v>
      </c>
      <c r="E183">
        <v>2001</v>
      </c>
      <c r="F183">
        <v>10</v>
      </c>
      <c r="G183">
        <v>0</v>
      </c>
      <c r="I183" t="s">
        <v>78</v>
      </c>
      <c r="J183">
        <v>5</v>
      </c>
      <c r="K183">
        <f t="shared" si="116"/>
        <v>2006</v>
      </c>
      <c r="N183">
        <v>4860</v>
      </c>
      <c r="O183">
        <v>0</v>
      </c>
      <c r="P183">
        <f t="shared" si="117"/>
        <v>4860</v>
      </c>
      <c r="Q183">
        <f t="shared" si="118"/>
        <v>81</v>
      </c>
      <c r="R183">
        <f t="shared" si="119"/>
        <v>0</v>
      </c>
      <c r="S183">
        <f t="shared" si="120"/>
        <v>0</v>
      </c>
      <c r="T183">
        <f t="shared" si="121"/>
        <v>0</v>
      </c>
      <c r="U183">
        <v>1</v>
      </c>
      <c r="V183">
        <f t="shared" si="122"/>
        <v>0</v>
      </c>
      <c r="X183">
        <f t="shared" si="123"/>
        <v>0</v>
      </c>
      <c r="Y183">
        <f t="shared" si="124"/>
        <v>0</v>
      </c>
      <c r="Z183">
        <v>1</v>
      </c>
      <c r="AA183">
        <f t="shared" si="125"/>
        <v>0</v>
      </c>
      <c r="AB183">
        <f t="shared" si="126"/>
        <v>0</v>
      </c>
      <c r="AC183">
        <f t="shared" si="127"/>
        <v>2430</v>
      </c>
      <c r="AD183">
        <f t="shared" si="128"/>
        <v>2001.75</v>
      </c>
      <c r="AE183">
        <f>($P$5+1)-($P$2/12)</f>
        <v>1</v>
      </c>
      <c r="AF183">
        <f t="shared" si="129"/>
        <v>2006.75</v>
      </c>
      <c r="AG183">
        <f>$P$4+($P$3/12)</f>
        <v>0</v>
      </c>
      <c r="AH183">
        <f t="shared" si="130"/>
        <v>-8.3333333333333329E-2</v>
      </c>
    </row>
    <row r="184" spans="3:34">
      <c r="C184" t="s">
        <v>367</v>
      </c>
      <c r="E184">
        <v>1995</v>
      </c>
      <c r="F184">
        <v>7</v>
      </c>
      <c r="G184">
        <v>0</v>
      </c>
      <c r="I184" t="s">
        <v>78</v>
      </c>
      <c r="J184">
        <v>5</v>
      </c>
      <c r="K184">
        <f t="shared" si="116"/>
        <v>2000</v>
      </c>
      <c r="N184">
        <v>2119</v>
      </c>
      <c r="O184">
        <v>0</v>
      </c>
      <c r="P184">
        <f t="shared" si="117"/>
        <v>2119</v>
      </c>
      <c r="Q184">
        <f t="shared" si="118"/>
        <v>35.31666666666667</v>
      </c>
      <c r="R184">
        <f t="shared" si="119"/>
        <v>0</v>
      </c>
      <c r="S184">
        <f t="shared" si="120"/>
        <v>0</v>
      </c>
      <c r="T184">
        <f t="shared" si="121"/>
        <v>0</v>
      </c>
      <c r="U184">
        <v>1</v>
      </c>
      <c r="V184">
        <f t="shared" si="122"/>
        <v>0</v>
      </c>
      <c r="X184">
        <f t="shared" si="123"/>
        <v>0</v>
      </c>
      <c r="Y184">
        <f t="shared" si="124"/>
        <v>0</v>
      </c>
      <c r="Z184">
        <v>1</v>
      </c>
      <c r="AA184">
        <f t="shared" si="125"/>
        <v>0</v>
      </c>
      <c r="AB184">
        <f t="shared" si="126"/>
        <v>0</v>
      </c>
      <c r="AC184">
        <f t="shared" si="127"/>
        <v>1059.5</v>
      </c>
      <c r="AD184">
        <f t="shared" si="128"/>
        <v>1995.5</v>
      </c>
      <c r="AE184">
        <f t="shared" si="93"/>
        <v>1</v>
      </c>
      <c r="AF184">
        <f t="shared" si="129"/>
        <v>2000.5</v>
      </c>
      <c r="AG184">
        <f t="shared" si="95"/>
        <v>0</v>
      </c>
      <c r="AH184">
        <f t="shared" si="130"/>
        <v>-8.3333333333333329E-2</v>
      </c>
    </row>
    <row r="185" spans="3:34">
      <c r="C185" t="s">
        <v>368</v>
      </c>
      <c r="E185">
        <v>1995</v>
      </c>
      <c r="F185">
        <v>7</v>
      </c>
      <c r="G185">
        <v>0</v>
      </c>
      <c r="I185" t="s">
        <v>78</v>
      </c>
      <c r="J185">
        <v>5</v>
      </c>
      <c r="K185">
        <f t="shared" si="116"/>
        <v>2000</v>
      </c>
      <c r="N185">
        <v>4200</v>
      </c>
      <c r="O185">
        <v>0</v>
      </c>
      <c r="P185">
        <f t="shared" si="117"/>
        <v>4200</v>
      </c>
      <c r="Q185">
        <f t="shared" si="118"/>
        <v>70</v>
      </c>
      <c r="R185">
        <f t="shared" si="119"/>
        <v>0</v>
      </c>
      <c r="S185">
        <f t="shared" si="120"/>
        <v>0</v>
      </c>
      <c r="T185">
        <f t="shared" si="121"/>
        <v>0</v>
      </c>
      <c r="U185">
        <v>1</v>
      </c>
      <c r="V185">
        <f t="shared" si="122"/>
        <v>0</v>
      </c>
      <c r="X185">
        <f t="shared" si="123"/>
        <v>0</v>
      </c>
      <c r="Y185">
        <f t="shared" si="124"/>
        <v>0</v>
      </c>
      <c r="Z185">
        <v>1</v>
      </c>
      <c r="AA185">
        <f t="shared" si="125"/>
        <v>0</v>
      </c>
      <c r="AB185">
        <f t="shared" si="126"/>
        <v>0</v>
      </c>
      <c r="AC185">
        <f t="shared" si="127"/>
        <v>2100</v>
      </c>
      <c r="AD185">
        <f t="shared" si="128"/>
        <v>1995.5</v>
      </c>
      <c r="AE185">
        <f t="shared" si="93"/>
        <v>1</v>
      </c>
      <c r="AF185">
        <f t="shared" si="129"/>
        <v>2000.5</v>
      </c>
      <c r="AG185">
        <f t="shared" si="95"/>
        <v>0</v>
      </c>
      <c r="AH185">
        <f t="shared" si="130"/>
        <v>-8.3333333333333329E-2</v>
      </c>
    </row>
    <row r="186" spans="3:34">
      <c r="C186" t="s">
        <v>213</v>
      </c>
      <c r="E186">
        <v>1995</v>
      </c>
      <c r="F186">
        <v>8</v>
      </c>
      <c r="G186">
        <v>0</v>
      </c>
      <c r="I186" t="s">
        <v>78</v>
      </c>
      <c r="J186">
        <v>5</v>
      </c>
      <c r="K186">
        <f t="shared" si="116"/>
        <v>2000</v>
      </c>
      <c r="N186">
        <v>14968</v>
      </c>
      <c r="O186">
        <v>0</v>
      </c>
      <c r="P186">
        <f t="shared" si="117"/>
        <v>14968</v>
      </c>
      <c r="Q186">
        <f t="shared" si="118"/>
        <v>249.46666666666667</v>
      </c>
      <c r="R186">
        <f t="shared" si="119"/>
        <v>0</v>
      </c>
      <c r="S186">
        <f t="shared" si="120"/>
        <v>0</v>
      </c>
      <c r="T186">
        <f t="shared" si="121"/>
        <v>0</v>
      </c>
      <c r="U186">
        <v>1</v>
      </c>
      <c r="V186">
        <f t="shared" si="122"/>
        <v>0</v>
      </c>
      <c r="X186">
        <f t="shared" si="123"/>
        <v>0</v>
      </c>
      <c r="Y186">
        <f t="shared" si="124"/>
        <v>0</v>
      </c>
      <c r="Z186">
        <v>1</v>
      </c>
      <c r="AA186">
        <f t="shared" si="125"/>
        <v>0</v>
      </c>
      <c r="AB186">
        <f t="shared" si="126"/>
        <v>0</v>
      </c>
      <c r="AC186">
        <f t="shared" si="127"/>
        <v>7484</v>
      </c>
      <c r="AD186">
        <f t="shared" si="128"/>
        <v>1995.5833333333333</v>
      </c>
      <c r="AE186">
        <f t="shared" si="93"/>
        <v>1</v>
      </c>
      <c r="AF186">
        <f t="shared" si="129"/>
        <v>2000.5833333333333</v>
      </c>
      <c r="AG186">
        <f t="shared" si="95"/>
        <v>0</v>
      </c>
      <c r="AH186">
        <f t="shared" si="130"/>
        <v>-8.3333333333333329E-2</v>
      </c>
    </row>
    <row r="187" spans="3:34">
      <c r="C187" t="s">
        <v>366</v>
      </c>
      <c r="E187">
        <v>1995</v>
      </c>
      <c r="F187">
        <v>11</v>
      </c>
      <c r="G187">
        <v>0</v>
      </c>
      <c r="I187" t="s">
        <v>78</v>
      </c>
      <c r="J187">
        <v>5</v>
      </c>
      <c r="K187">
        <f t="shared" si="116"/>
        <v>2000</v>
      </c>
      <c r="N187">
        <v>1726</v>
      </c>
      <c r="O187">
        <v>0</v>
      </c>
      <c r="P187">
        <f t="shared" si="117"/>
        <v>1726</v>
      </c>
      <c r="Q187">
        <f t="shared" si="118"/>
        <v>28.766666666666666</v>
      </c>
      <c r="R187">
        <f t="shared" si="119"/>
        <v>0</v>
      </c>
      <c r="S187">
        <f t="shared" si="120"/>
        <v>0</v>
      </c>
      <c r="T187">
        <f t="shared" si="121"/>
        <v>0</v>
      </c>
      <c r="U187">
        <v>1</v>
      </c>
      <c r="V187">
        <f t="shared" si="122"/>
        <v>0</v>
      </c>
      <c r="X187">
        <f t="shared" si="123"/>
        <v>0</v>
      </c>
      <c r="Y187">
        <f t="shared" si="124"/>
        <v>0</v>
      </c>
      <c r="Z187">
        <v>1</v>
      </c>
      <c r="AA187">
        <f t="shared" si="125"/>
        <v>0</v>
      </c>
      <c r="AB187">
        <f t="shared" si="126"/>
        <v>0</v>
      </c>
      <c r="AC187">
        <f t="shared" si="127"/>
        <v>863</v>
      </c>
      <c r="AD187">
        <f t="shared" si="128"/>
        <v>1995.8333333333333</v>
      </c>
      <c r="AE187">
        <f t="shared" si="93"/>
        <v>1</v>
      </c>
      <c r="AF187">
        <f t="shared" si="129"/>
        <v>2000.8333333333333</v>
      </c>
      <c r="AG187">
        <f t="shared" si="95"/>
        <v>0</v>
      </c>
      <c r="AH187">
        <f t="shared" si="130"/>
        <v>-8.3333333333333329E-2</v>
      </c>
    </row>
    <row r="188" spans="3:34">
      <c r="C188" t="s">
        <v>3</v>
      </c>
      <c r="E188">
        <v>1995</v>
      </c>
      <c r="F188">
        <v>11</v>
      </c>
      <c r="G188">
        <v>0</v>
      </c>
      <c r="I188" t="s">
        <v>78</v>
      </c>
      <c r="J188">
        <v>5</v>
      </c>
      <c r="K188">
        <f t="shared" si="116"/>
        <v>2000</v>
      </c>
      <c r="N188">
        <v>1463.74</v>
      </c>
      <c r="O188">
        <v>0</v>
      </c>
      <c r="P188">
        <f t="shared" si="117"/>
        <v>1463.74</v>
      </c>
      <c r="Q188">
        <f t="shared" si="118"/>
        <v>24.395666666666667</v>
      </c>
      <c r="R188">
        <f t="shared" si="119"/>
        <v>0</v>
      </c>
      <c r="S188">
        <f t="shared" si="120"/>
        <v>0</v>
      </c>
      <c r="T188">
        <f t="shared" si="121"/>
        <v>0</v>
      </c>
      <c r="U188">
        <v>1</v>
      </c>
      <c r="V188">
        <f t="shared" si="122"/>
        <v>0</v>
      </c>
      <c r="X188">
        <f t="shared" si="123"/>
        <v>0</v>
      </c>
      <c r="Y188">
        <f t="shared" si="124"/>
        <v>0</v>
      </c>
      <c r="Z188">
        <v>1</v>
      </c>
      <c r="AA188">
        <f t="shared" si="125"/>
        <v>0</v>
      </c>
      <c r="AB188">
        <f t="shared" si="126"/>
        <v>0</v>
      </c>
      <c r="AC188">
        <f t="shared" si="127"/>
        <v>731.87</v>
      </c>
      <c r="AD188">
        <f t="shared" si="128"/>
        <v>1995.8333333333333</v>
      </c>
      <c r="AE188">
        <f t="shared" si="93"/>
        <v>1</v>
      </c>
      <c r="AF188">
        <f t="shared" si="129"/>
        <v>2000.8333333333333</v>
      </c>
      <c r="AG188">
        <f t="shared" si="95"/>
        <v>0</v>
      </c>
      <c r="AH188">
        <f t="shared" si="130"/>
        <v>-8.3333333333333329E-2</v>
      </c>
    </row>
    <row r="189" spans="3:34">
      <c r="C189" t="s">
        <v>365</v>
      </c>
      <c r="E189">
        <v>1995</v>
      </c>
      <c r="F189">
        <v>12</v>
      </c>
      <c r="G189">
        <v>0</v>
      </c>
      <c r="I189" t="s">
        <v>78</v>
      </c>
      <c r="J189">
        <v>5</v>
      </c>
      <c r="K189">
        <f t="shared" si="116"/>
        <v>2000</v>
      </c>
      <c r="N189">
        <v>8580</v>
      </c>
      <c r="O189">
        <v>0</v>
      </c>
      <c r="P189">
        <f t="shared" si="117"/>
        <v>8580</v>
      </c>
      <c r="Q189">
        <f t="shared" si="118"/>
        <v>143</v>
      </c>
      <c r="R189">
        <f t="shared" si="119"/>
        <v>0</v>
      </c>
      <c r="S189">
        <f t="shared" si="120"/>
        <v>0</v>
      </c>
      <c r="T189">
        <f t="shared" si="121"/>
        <v>0</v>
      </c>
      <c r="U189">
        <v>1</v>
      </c>
      <c r="V189">
        <f t="shared" si="122"/>
        <v>0</v>
      </c>
      <c r="X189">
        <f t="shared" si="123"/>
        <v>0</v>
      </c>
      <c r="Y189">
        <f t="shared" si="124"/>
        <v>0</v>
      </c>
      <c r="Z189">
        <v>1</v>
      </c>
      <c r="AA189">
        <f t="shared" si="125"/>
        <v>0</v>
      </c>
      <c r="AB189">
        <f t="shared" si="126"/>
        <v>0</v>
      </c>
      <c r="AC189">
        <f t="shared" si="127"/>
        <v>4290</v>
      </c>
      <c r="AD189">
        <f t="shared" si="128"/>
        <v>1995.9166666666667</v>
      </c>
      <c r="AE189">
        <f t="shared" si="93"/>
        <v>1</v>
      </c>
      <c r="AF189">
        <f t="shared" si="129"/>
        <v>2000.9166666666667</v>
      </c>
      <c r="AG189">
        <f t="shared" si="95"/>
        <v>0</v>
      </c>
      <c r="AH189">
        <f t="shared" si="130"/>
        <v>-8.3333333333333329E-2</v>
      </c>
    </row>
    <row r="190" spans="3:34">
      <c r="C190" t="s">
        <v>203</v>
      </c>
      <c r="E190">
        <v>1997</v>
      </c>
      <c r="F190">
        <v>12</v>
      </c>
      <c r="G190">
        <v>0</v>
      </c>
      <c r="I190" t="s">
        <v>78</v>
      </c>
      <c r="J190">
        <v>5</v>
      </c>
      <c r="K190">
        <f t="shared" si="116"/>
        <v>2002</v>
      </c>
      <c r="N190">
        <v>3888</v>
      </c>
      <c r="O190">
        <v>0</v>
      </c>
      <c r="P190">
        <f t="shared" si="117"/>
        <v>3888</v>
      </c>
      <c r="Q190">
        <f t="shared" si="118"/>
        <v>64.8</v>
      </c>
      <c r="R190">
        <f t="shared" si="119"/>
        <v>0</v>
      </c>
      <c r="S190">
        <f t="shared" si="120"/>
        <v>0</v>
      </c>
      <c r="T190">
        <f t="shared" si="121"/>
        <v>0</v>
      </c>
      <c r="U190">
        <v>1</v>
      </c>
      <c r="V190">
        <f t="shared" si="122"/>
        <v>0</v>
      </c>
      <c r="X190">
        <f t="shared" si="123"/>
        <v>0</v>
      </c>
      <c r="Y190">
        <f t="shared" si="124"/>
        <v>0</v>
      </c>
      <c r="Z190">
        <v>1</v>
      </c>
      <c r="AA190">
        <f t="shared" si="125"/>
        <v>0</v>
      </c>
      <c r="AB190">
        <f t="shared" si="126"/>
        <v>0</v>
      </c>
      <c r="AC190">
        <f t="shared" si="127"/>
        <v>1944</v>
      </c>
      <c r="AD190">
        <f t="shared" si="128"/>
        <v>1997.9166666666667</v>
      </c>
      <c r="AE190">
        <f t="shared" si="93"/>
        <v>1</v>
      </c>
      <c r="AF190">
        <f t="shared" si="129"/>
        <v>2002.9166666666667</v>
      </c>
      <c r="AG190">
        <f t="shared" si="95"/>
        <v>0</v>
      </c>
      <c r="AH190">
        <f t="shared" si="130"/>
        <v>-8.3333333333333329E-2</v>
      </c>
    </row>
    <row r="191" spans="3:34">
      <c r="C191" t="s">
        <v>204</v>
      </c>
      <c r="E191">
        <v>1998</v>
      </c>
      <c r="F191">
        <v>1</v>
      </c>
      <c r="G191">
        <v>0</v>
      </c>
      <c r="I191" t="s">
        <v>78</v>
      </c>
      <c r="J191">
        <v>5</v>
      </c>
      <c r="K191">
        <f t="shared" si="116"/>
        <v>2003</v>
      </c>
      <c r="N191">
        <v>9666</v>
      </c>
      <c r="O191">
        <v>0</v>
      </c>
      <c r="P191">
        <f t="shared" si="117"/>
        <v>9666</v>
      </c>
      <c r="Q191">
        <f t="shared" si="118"/>
        <v>161.1</v>
      </c>
      <c r="R191">
        <f t="shared" si="119"/>
        <v>0</v>
      </c>
      <c r="S191">
        <f t="shared" si="120"/>
        <v>0</v>
      </c>
      <c r="T191">
        <f t="shared" si="121"/>
        <v>0</v>
      </c>
      <c r="U191">
        <v>1</v>
      </c>
      <c r="V191">
        <f t="shared" si="122"/>
        <v>0</v>
      </c>
      <c r="X191">
        <f t="shared" si="123"/>
        <v>0</v>
      </c>
      <c r="Y191">
        <f t="shared" si="124"/>
        <v>0</v>
      </c>
      <c r="Z191">
        <v>1</v>
      </c>
      <c r="AA191">
        <f t="shared" si="125"/>
        <v>0</v>
      </c>
      <c r="AB191">
        <f t="shared" si="126"/>
        <v>0</v>
      </c>
      <c r="AC191">
        <f t="shared" si="127"/>
        <v>4833</v>
      </c>
      <c r="AD191">
        <f t="shared" si="128"/>
        <v>1998</v>
      </c>
      <c r="AE191">
        <f t="shared" si="93"/>
        <v>1</v>
      </c>
      <c r="AF191">
        <f t="shared" si="129"/>
        <v>2003</v>
      </c>
      <c r="AG191">
        <f t="shared" si="95"/>
        <v>0</v>
      </c>
      <c r="AH191">
        <f t="shared" si="130"/>
        <v>-8.3333333333333329E-2</v>
      </c>
    </row>
    <row r="192" spans="3:34">
      <c r="C192" t="s">
        <v>205</v>
      </c>
      <c r="E192">
        <v>1998</v>
      </c>
      <c r="F192">
        <v>3</v>
      </c>
      <c r="G192">
        <v>0</v>
      </c>
      <c r="I192" t="s">
        <v>78</v>
      </c>
      <c r="J192">
        <v>5</v>
      </c>
      <c r="K192">
        <f t="shared" si="116"/>
        <v>2003</v>
      </c>
      <c r="N192">
        <v>4500</v>
      </c>
      <c r="O192">
        <v>0</v>
      </c>
      <c r="P192">
        <f t="shared" si="117"/>
        <v>4500</v>
      </c>
      <c r="Q192">
        <f t="shared" si="118"/>
        <v>75</v>
      </c>
      <c r="R192">
        <f t="shared" si="119"/>
        <v>0</v>
      </c>
      <c r="S192">
        <f t="shared" si="120"/>
        <v>0</v>
      </c>
      <c r="T192">
        <f t="shared" si="121"/>
        <v>0</v>
      </c>
      <c r="U192">
        <v>1</v>
      </c>
      <c r="V192">
        <f t="shared" si="122"/>
        <v>0</v>
      </c>
      <c r="X192">
        <f t="shared" si="123"/>
        <v>0</v>
      </c>
      <c r="Y192">
        <f t="shared" si="124"/>
        <v>0</v>
      </c>
      <c r="Z192">
        <v>1</v>
      </c>
      <c r="AA192">
        <f t="shared" si="125"/>
        <v>0</v>
      </c>
      <c r="AB192">
        <f t="shared" si="126"/>
        <v>0</v>
      </c>
      <c r="AC192">
        <f t="shared" si="127"/>
        <v>2250</v>
      </c>
      <c r="AD192">
        <f t="shared" si="128"/>
        <v>1998.1666666666667</v>
      </c>
      <c r="AE192">
        <f t="shared" si="93"/>
        <v>1</v>
      </c>
      <c r="AF192">
        <f t="shared" si="129"/>
        <v>2003.1666666666667</v>
      </c>
      <c r="AG192">
        <f t="shared" si="95"/>
        <v>0</v>
      </c>
      <c r="AH192">
        <f t="shared" si="130"/>
        <v>-8.3333333333333329E-2</v>
      </c>
    </row>
    <row r="193" spans="3:34">
      <c r="C193" t="s">
        <v>206</v>
      </c>
      <c r="E193">
        <v>1998</v>
      </c>
      <c r="F193">
        <v>4</v>
      </c>
      <c r="G193">
        <v>0</v>
      </c>
      <c r="I193" t="s">
        <v>78</v>
      </c>
      <c r="J193">
        <v>5</v>
      </c>
      <c r="K193">
        <f t="shared" si="116"/>
        <v>2003</v>
      </c>
      <c r="N193">
        <v>1052.21</v>
      </c>
      <c r="O193">
        <v>0</v>
      </c>
      <c r="P193">
        <f t="shared" si="117"/>
        <v>1052.21</v>
      </c>
      <c r="Q193">
        <f t="shared" si="118"/>
        <v>17.536833333333334</v>
      </c>
      <c r="R193">
        <f t="shared" si="119"/>
        <v>0</v>
      </c>
      <c r="S193">
        <f t="shared" si="120"/>
        <v>0</v>
      </c>
      <c r="T193">
        <f t="shared" si="121"/>
        <v>0</v>
      </c>
      <c r="U193">
        <v>1</v>
      </c>
      <c r="V193">
        <f t="shared" si="122"/>
        <v>0</v>
      </c>
      <c r="X193">
        <f t="shared" si="123"/>
        <v>0</v>
      </c>
      <c r="Y193">
        <f t="shared" si="124"/>
        <v>0</v>
      </c>
      <c r="Z193">
        <v>1</v>
      </c>
      <c r="AA193">
        <f t="shared" si="125"/>
        <v>0</v>
      </c>
      <c r="AB193">
        <f t="shared" si="126"/>
        <v>0</v>
      </c>
      <c r="AC193">
        <f t="shared" si="127"/>
        <v>526.10500000000002</v>
      </c>
      <c r="AD193">
        <f t="shared" si="128"/>
        <v>1998.25</v>
      </c>
      <c r="AE193">
        <f t="shared" si="93"/>
        <v>1</v>
      </c>
      <c r="AF193">
        <f t="shared" si="129"/>
        <v>2003.25</v>
      </c>
      <c r="AG193">
        <f t="shared" si="95"/>
        <v>0</v>
      </c>
      <c r="AH193">
        <f t="shared" si="130"/>
        <v>-8.3333333333333329E-2</v>
      </c>
    </row>
    <row r="194" spans="3:34">
      <c r="C194" t="s">
        <v>207</v>
      </c>
      <c r="E194">
        <v>1999</v>
      </c>
      <c r="F194">
        <v>1</v>
      </c>
      <c r="G194">
        <v>0</v>
      </c>
      <c r="I194" t="s">
        <v>78</v>
      </c>
      <c r="J194">
        <v>5</v>
      </c>
      <c r="K194">
        <f t="shared" si="116"/>
        <v>2004</v>
      </c>
      <c r="N194">
        <v>3439.37</v>
      </c>
      <c r="O194">
        <v>0</v>
      </c>
      <c r="P194">
        <f t="shared" si="117"/>
        <v>3439.37</v>
      </c>
      <c r="Q194">
        <f t="shared" si="118"/>
        <v>57.322833333333335</v>
      </c>
      <c r="R194">
        <f t="shared" si="119"/>
        <v>0</v>
      </c>
      <c r="S194">
        <f t="shared" si="120"/>
        <v>0</v>
      </c>
      <c r="T194">
        <f t="shared" si="121"/>
        <v>0</v>
      </c>
      <c r="U194">
        <v>1</v>
      </c>
      <c r="V194">
        <f t="shared" si="122"/>
        <v>0</v>
      </c>
      <c r="X194">
        <f t="shared" si="123"/>
        <v>0</v>
      </c>
      <c r="Y194">
        <f t="shared" si="124"/>
        <v>0</v>
      </c>
      <c r="Z194">
        <v>1</v>
      </c>
      <c r="AA194">
        <f t="shared" si="125"/>
        <v>0</v>
      </c>
      <c r="AB194">
        <f t="shared" si="126"/>
        <v>0</v>
      </c>
      <c r="AC194">
        <f t="shared" si="127"/>
        <v>1719.6849999999999</v>
      </c>
      <c r="AD194">
        <f t="shared" si="128"/>
        <v>1999</v>
      </c>
      <c r="AE194">
        <f t="shared" si="93"/>
        <v>1</v>
      </c>
      <c r="AF194">
        <f t="shared" si="129"/>
        <v>2004</v>
      </c>
      <c r="AG194">
        <f t="shared" si="95"/>
        <v>0</v>
      </c>
      <c r="AH194">
        <f t="shared" si="130"/>
        <v>-8.3333333333333329E-2</v>
      </c>
    </row>
    <row r="195" spans="3:34">
      <c r="C195" t="s">
        <v>209</v>
      </c>
      <c r="E195">
        <v>1999</v>
      </c>
      <c r="F195">
        <v>9</v>
      </c>
      <c r="G195">
        <v>0</v>
      </c>
      <c r="I195" t="s">
        <v>78</v>
      </c>
      <c r="J195">
        <v>5</v>
      </c>
      <c r="K195">
        <f t="shared" si="116"/>
        <v>2004</v>
      </c>
      <c r="N195">
        <v>255.49</v>
      </c>
      <c r="O195">
        <v>0</v>
      </c>
      <c r="P195">
        <f t="shared" si="117"/>
        <v>255.49</v>
      </c>
      <c r="Q195">
        <f t="shared" si="118"/>
        <v>4.2581666666666669</v>
      </c>
      <c r="R195">
        <f t="shared" si="119"/>
        <v>0</v>
      </c>
      <c r="S195">
        <f t="shared" si="120"/>
        <v>0</v>
      </c>
      <c r="T195">
        <f t="shared" si="121"/>
        <v>0</v>
      </c>
      <c r="U195">
        <v>1</v>
      </c>
      <c r="V195">
        <f t="shared" si="122"/>
        <v>0</v>
      </c>
      <c r="X195">
        <f t="shared" si="123"/>
        <v>0</v>
      </c>
      <c r="Y195">
        <f t="shared" si="124"/>
        <v>0</v>
      </c>
      <c r="Z195">
        <v>1</v>
      </c>
      <c r="AA195">
        <f t="shared" si="125"/>
        <v>0</v>
      </c>
      <c r="AB195">
        <f t="shared" si="126"/>
        <v>0</v>
      </c>
      <c r="AC195">
        <f t="shared" si="127"/>
        <v>127.745</v>
      </c>
      <c r="AD195">
        <f t="shared" si="128"/>
        <v>1999.6666666666667</v>
      </c>
      <c r="AE195">
        <f t="shared" si="93"/>
        <v>1</v>
      </c>
      <c r="AF195">
        <f t="shared" si="129"/>
        <v>2004.6666666666667</v>
      </c>
      <c r="AG195">
        <f t="shared" si="95"/>
        <v>0</v>
      </c>
      <c r="AH195">
        <f t="shared" si="130"/>
        <v>-8.3333333333333329E-2</v>
      </c>
    </row>
    <row r="196" spans="3:34">
      <c r="C196" t="s">
        <v>208</v>
      </c>
      <c r="E196">
        <v>1999</v>
      </c>
      <c r="F196">
        <v>9</v>
      </c>
      <c r="G196">
        <v>0</v>
      </c>
      <c r="I196" t="s">
        <v>78</v>
      </c>
      <c r="J196">
        <v>5</v>
      </c>
      <c r="K196">
        <f t="shared" si="116"/>
        <v>2004</v>
      </c>
      <c r="N196">
        <v>3193.67</v>
      </c>
      <c r="O196">
        <v>0</v>
      </c>
      <c r="P196">
        <f t="shared" si="117"/>
        <v>3193.67</v>
      </c>
      <c r="Q196">
        <f t="shared" si="118"/>
        <v>53.227833333333336</v>
      </c>
      <c r="R196">
        <f t="shared" si="119"/>
        <v>0</v>
      </c>
      <c r="S196">
        <f t="shared" si="120"/>
        <v>0</v>
      </c>
      <c r="T196">
        <f t="shared" si="121"/>
        <v>0</v>
      </c>
      <c r="U196">
        <v>1</v>
      </c>
      <c r="V196">
        <f t="shared" si="122"/>
        <v>0</v>
      </c>
      <c r="X196">
        <f t="shared" si="123"/>
        <v>0</v>
      </c>
      <c r="Y196">
        <f t="shared" si="124"/>
        <v>0</v>
      </c>
      <c r="Z196">
        <v>1</v>
      </c>
      <c r="AA196">
        <f t="shared" si="125"/>
        <v>0</v>
      </c>
      <c r="AB196">
        <f t="shared" si="126"/>
        <v>0</v>
      </c>
      <c r="AC196">
        <f t="shared" si="127"/>
        <v>1596.835</v>
      </c>
      <c r="AD196">
        <f t="shared" si="128"/>
        <v>1999.6666666666667</v>
      </c>
      <c r="AE196">
        <f t="shared" si="93"/>
        <v>1</v>
      </c>
      <c r="AF196">
        <f t="shared" si="129"/>
        <v>2004.6666666666667</v>
      </c>
      <c r="AG196">
        <f t="shared" si="95"/>
        <v>0</v>
      </c>
      <c r="AH196">
        <f t="shared" si="130"/>
        <v>-8.3333333333333329E-2</v>
      </c>
    </row>
    <row r="197" spans="3:34">
      <c r="C197" t="s">
        <v>212</v>
      </c>
      <c r="E197">
        <v>2000</v>
      </c>
      <c r="F197">
        <v>7</v>
      </c>
      <c r="G197">
        <v>0</v>
      </c>
      <c r="I197" t="s">
        <v>78</v>
      </c>
      <c r="J197">
        <v>5</v>
      </c>
      <c r="K197">
        <f t="shared" si="116"/>
        <v>2005</v>
      </c>
      <c r="N197">
        <v>4318.0200000000004</v>
      </c>
      <c r="O197">
        <v>0</v>
      </c>
      <c r="P197">
        <f t="shared" si="117"/>
        <v>4318.0200000000004</v>
      </c>
      <c r="Q197">
        <f t="shared" si="118"/>
        <v>71.966999999999999</v>
      </c>
      <c r="R197">
        <f t="shared" si="119"/>
        <v>0</v>
      </c>
      <c r="S197">
        <f t="shared" si="120"/>
        <v>0</v>
      </c>
      <c r="T197">
        <f t="shared" si="121"/>
        <v>0</v>
      </c>
      <c r="U197">
        <v>1</v>
      </c>
      <c r="V197">
        <f t="shared" si="122"/>
        <v>0</v>
      </c>
      <c r="X197">
        <f t="shared" si="123"/>
        <v>0</v>
      </c>
      <c r="Y197">
        <f t="shared" si="124"/>
        <v>0</v>
      </c>
      <c r="Z197">
        <v>1</v>
      </c>
      <c r="AA197">
        <f t="shared" si="125"/>
        <v>0</v>
      </c>
      <c r="AB197">
        <f t="shared" si="126"/>
        <v>0</v>
      </c>
      <c r="AC197">
        <f t="shared" si="127"/>
        <v>2159.0100000000002</v>
      </c>
      <c r="AD197">
        <f t="shared" si="128"/>
        <v>2000.5</v>
      </c>
      <c r="AE197">
        <f t="shared" si="93"/>
        <v>1</v>
      </c>
      <c r="AF197">
        <f t="shared" si="129"/>
        <v>2005.5</v>
      </c>
      <c r="AG197">
        <f t="shared" si="95"/>
        <v>0</v>
      </c>
      <c r="AH197">
        <f t="shared" si="130"/>
        <v>-8.3333333333333329E-2</v>
      </c>
    </row>
    <row r="198" spans="3:34">
      <c r="C198" t="s">
        <v>4</v>
      </c>
      <c r="E198">
        <v>2000</v>
      </c>
      <c r="F198">
        <v>7</v>
      </c>
      <c r="G198">
        <v>0</v>
      </c>
      <c r="I198" t="s">
        <v>78</v>
      </c>
      <c r="J198">
        <v>5</v>
      </c>
      <c r="K198">
        <f t="shared" si="116"/>
        <v>2005</v>
      </c>
      <c r="N198">
        <v>345.44</v>
      </c>
      <c r="O198">
        <v>0</v>
      </c>
      <c r="P198">
        <f t="shared" si="117"/>
        <v>345.44</v>
      </c>
      <c r="Q198">
        <f t="shared" si="118"/>
        <v>5.7573333333333325</v>
      </c>
      <c r="R198">
        <f t="shared" si="119"/>
        <v>0</v>
      </c>
      <c r="S198">
        <f t="shared" si="120"/>
        <v>0</v>
      </c>
      <c r="T198">
        <f t="shared" si="121"/>
        <v>0</v>
      </c>
      <c r="U198">
        <v>1</v>
      </c>
      <c r="V198">
        <f t="shared" si="122"/>
        <v>0</v>
      </c>
      <c r="X198">
        <f t="shared" si="123"/>
        <v>0</v>
      </c>
      <c r="Y198">
        <f t="shared" si="124"/>
        <v>0</v>
      </c>
      <c r="Z198">
        <v>1</v>
      </c>
      <c r="AA198">
        <f t="shared" si="125"/>
        <v>0</v>
      </c>
      <c r="AB198">
        <f t="shared" si="126"/>
        <v>0</v>
      </c>
      <c r="AC198">
        <f t="shared" si="127"/>
        <v>172.72</v>
      </c>
      <c r="AD198">
        <f t="shared" si="128"/>
        <v>2000.5</v>
      </c>
      <c r="AE198">
        <f t="shared" si="93"/>
        <v>1</v>
      </c>
      <c r="AF198">
        <f t="shared" si="129"/>
        <v>2005.5</v>
      </c>
      <c r="AG198">
        <f t="shared" si="95"/>
        <v>0</v>
      </c>
      <c r="AH198">
        <f t="shared" si="130"/>
        <v>-8.3333333333333329E-2</v>
      </c>
    </row>
    <row r="199" spans="3:34">
      <c r="C199" t="s">
        <v>213</v>
      </c>
      <c r="E199">
        <v>2000</v>
      </c>
      <c r="F199">
        <v>8</v>
      </c>
      <c r="G199">
        <v>0</v>
      </c>
      <c r="I199" t="s">
        <v>78</v>
      </c>
      <c r="J199">
        <v>5</v>
      </c>
      <c r="K199">
        <f t="shared" si="116"/>
        <v>2005</v>
      </c>
      <c r="N199">
        <v>21138.3</v>
      </c>
      <c r="O199">
        <v>0</v>
      </c>
      <c r="P199">
        <f t="shared" si="117"/>
        <v>21138.3</v>
      </c>
      <c r="Q199">
        <f t="shared" si="118"/>
        <v>352.30500000000001</v>
      </c>
      <c r="R199">
        <f t="shared" si="119"/>
        <v>0</v>
      </c>
      <c r="S199">
        <f t="shared" si="120"/>
        <v>0</v>
      </c>
      <c r="T199">
        <f t="shared" si="121"/>
        <v>0</v>
      </c>
      <c r="U199">
        <v>1</v>
      </c>
      <c r="V199">
        <f t="shared" si="122"/>
        <v>0</v>
      </c>
      <c r="X199">
        <f t="shared" si="123"/>
        <v>0</v>
      </c>
      <c r="Y199">
        <f t="shared" si="124"/>
        <v>0</v>
      </c>
      <c r="Z199">
        <v>1</v>
      </c>
      <c r="AA199">
        <f t="shared" si="125"/>
        <v>0</v>
      </c>
      <c r="AB199">
        <f t="shared" si="126"/>
        <v>0</v>
      </c>
      <c r="AC199">
        <f t="shared" si="127"/>
        <v>10569.15</v>
      </c>
      <c r="AD199">
        <f t="shared" si="128"/>
        <v>2000.5833333333333</v>
      </c>
      <c r="AE199">
        <f t="shared" si="93"/>
        <v>1</v>
      </c>
      <c r="AF199">
        <f t="shared" si="129"/>
        <v>2005.5833333333333</v>
      </c>
      <c r="AG199">
        <f t="shared" si="95"/>
        <v>0</v>
      </c>
      <c r="AH199">
        <f t="shared" si="130"/>
        <v>-8.3333333333333329E-2</v>
      </c>
    </row>
    <row r="200" spans="3:34">
      <c r="C200" t="s">
        <v>215</v>
      </c>
      <c r="E200">
        <v>2002</v>
      </c>
      <c r="F200">
        <v>9</v>
      </c>
      <c r="G200">
        <v>0</v>
      </c>
      <c r="I200" t="s">
        <v>78</v>
      </c>
      <c r="J200">
        <v>5</v>
      </c>
      <c r="K200">
        <f t="shared" si="116"/>
        <v>2007</v>
      </c>
      <c r="N200">
        <v>922.62</v>
      </c>
      <c r="O200">
        <v>0</v>
      </c>
      <c r="P200">
        <f t="shared" si="117"/>
        <v>922.62</v>
      </c>
      <c r="Q200">
        <f t="shared" si="118"/>
        <v>15.377000000000001</v>
      </c>
      <c r="R200">
        <f t="shared" si="119"/>
        <v>0</v>
      </c>
      <c r="S200">
        <f t="shared" si="120"/>
        <v>0</v>
      </c>
      <c r="T200">
        <f t="shared" si="121"/>
        <v>0</v>
      </c>
      <c r="U200">
        <v>1</v>
      </c>
      <c r="V200">
        <f t="shared" si="122"/>
        <v>0</v>
      </c>
      <c r="X200">
        <f t="shared" si="123"/>
        <v>0</v>
      </c>
      <c r="Y200">
        <f t="shared" si="124"/>
        <v>0</v>
      </c>
      <c r="Z200">
        <v>1</v>
      </c>
      <c r="AA200">
        <f t="shared" si="125"/>
        <v>0</v>
      </c>
      <c r="AB200">
        <f t="shared" si="126"/>
        <v>0</v>
      </c>
      <c r="AC200">
        <f t="shared" si="127"/>
        <v>461.31</v>
      </c>
      <c r="AD200">
        <f t="shared" si="128"/>
        <v>2002.6666666666667</v>
      </c>
      <c r="AE200">
        <f t="shared" si="93"/>
        <v>1</v>
      </c>
      <c r="AF200">
        <f t="shared" si="129"/>
        <v>2007.6666666666667</v>
      </c>
      <c r="AG200">
        <f t="shared" si="95"/>
        <v>0</v>
      </c>
      <c r="AH200">
        <f t="shared" si="130"/>
        <v>-8.3333333333333329E-2</v>
      </c>
    </row>
    <row r="201" spans="3:34">
      <c r="C201" t="s">
        <v>135</v>
      </c>
      <c r="E201">
        <v>2002</v>
      </c>
      <c r="F201">
        <v>10</v>
      </c>
      <c r="G201">
        <v>0</v>
      </c>
      <c r="I201" t="s">
        <v>78</v>
      </c>
      <c r="J201">
        <v>5</v>
      </c>
      <c r="K201">
        <f t="shared" si="116"/>
        <v>2007</v>
      </c>
      <c r="N201">
        <v>5440</v>
      </c>
      <c r="O201">
        <v>0</v>
      </c>
      <c r="P201">
        <f t="shared" si="117"/>
        <v>5440</v>
      </c>
      <c r="Q201">
        <f t="shared" si="118"/>
        <v>90.666666666666671</v>
      </c>
      <c r="R201">
        <f t="shared" si="119"/>
        <v>0</v>
      </c>
      <c r="S201">
        <f t="shared" si="120"/>
        <v>0</v>
      </c>
      <c r="T201">
        <f t="shared" si="121"/>
        <v>0</v>
      </c>
      <c r="U201">
        <v>1</v>
      </c>
      <c r="V201">
        <f t="shared" si="122"/>
        <v>0</v>
      </c>
      <c r="X201">
        <f t="shared" si="123"/>
        <v>0</v>
      </c>
      <c r="Y201">
        <f t="shared" si="124"/>
        <v>0</v>
      </c>
      <c r="Z201">
        <v>1</v>
      </c>
      <c r="AA201">
        <f t="shared" si="125"/>
        <v>0</v>
      </c>
      <c r="AB201">
        <f t="shared" si="126"/>
        <v>0</v>
      </c>
      <c r="AC201">
        <f t="shared" si="127"/>
        <v>2720</v>
      </c>
      <c r="AD201">
        <f t="shared" si="128"/>
        <v>2002.75</v>
      </c>
      <c r="AE201">
        <f t="shared" si="93"/>
        <v>1</v>
      </c>
      <c r="AF201">
        <f t="shared" si="129"/>
        <v>2007.75</v>
      </c>
      <c r="AG201">
        <f t="shared" si="95"/>
        <v>0</v>
      </c>
      <c r="AH201">
        <f t="shared" si="130"/>
        <v>-8.3333333333333329E-2</v>
      </c>
    </row>
    <row r="202" spans="3:34">
      <c r="C202" t="s">
        <v>3</v>
      </c>
      <c r="E202">
        <v>2002</v>
      </c>
      <c r="F202">
        <v>11</v>
      </c>
      <c r="G202">
        <v>0</v>
      </c>
      <c r="I202" t="s">
        <v>78</v>
      </c>
      <c r="J202">
        <v>5</v>
      </c>
      <c r="K202">
        <f t="shared" si="116"/>
        <v>2007</v>
      </c>
      <c r="N202">
        <v>1380.25</v>
      </c>
      <c r="O202">
        <v>0</v>
      </c>
      <c r="P202">
        <f t="shared" si="117"/>
        <v>1380.25</v>
      </c>
      <c r="Q202">
        <f t="shared" si="118"/>
        <v>23.004166666666666</v>
      </c>
      <c r="R202">
        <f t="shared" si="119"/>
        <v>0</v>
      </c>
      <c r="S202">
        <f t="shared" si="120"/>
        <v>0</v>
      </c>
      <c r="T202">
        <f t="shared" si="121"/>
        <v>0</v>
      </c>
      <c r="U202">
        <v>1</v>
      </c>
      <c r="V202">
        <f t="shared" si="122"/>
        <v>0</v>
      </c>
      <c r="X202">
        <f t="shared" si="123"/>
        <v>0</v>
      </c>
      <c r="Y202">
        <f t="shared" si="124"/>
        <v>0</v>
      </c>
      <c r="Z202">
        <v>1</v>
      </c>
      <c r="AA202">
        <f t="shared" si="125"/>
        <v>0</v>
      </c>
      <c r="AB202">
        <f t="shared" si="126"/>
        <v>0</v>
      </c>
      <c r="AC202">
        <f t="shared" si="127"/>
        <v>690.125</v>
      </c>
      <c r="AD202">
        <f t="shared" si="128"/>
        <v>2002.8333333333333</v>
      </c>
      <c r="AE202">
        <f t="shared" si="93"/>
        <v>1</v>
      </c>
      <c r="AF202">
        <f t="shared" si="129"/>
        <v>2007.8333333333333</v>
      </c>
      <c r="AG202">
        <f t="shared" si="95"/>
        <v>0</v>
      </c>
      <c r="AH202">
        <f t="shared" si="130"/>
        <v>-8.3333333333333329E-2</v>
      </c>
    </row>
    <row r="203" spans="3:34">
      <c r="C203" t="s">
        <v>216</v>
      </c>
      <c r="E203">
        <v>2003</v>
      </c>
      <c r="F203">
        <v>2</v>
      </c>
      <c r="G203">
        <v>0</v>
      </c>
      <c r="I203" t="s">
        <v>78</v>
      </c>
      <c r="J203">
        <v>5</v>
      </c>
      <c r="K203">
        <f t="shared" si="116"/>
        <v>2008</v>
      </c>
      <c r="N203">
        <v>1411.79</v>
      </c>
      <c r="O203">
        <v>0</v>
      </c>
      <c r="P203">
        <f t="shared" si="117"/>
        <v>1411.79</v>
      </c>
      <c r="Q203">
        <f t="shared" si="118"/>
        <v>23.529833333333332</v>
      </c>
      <c r="R203">
        <f t="shared" si="119"/>
        <v>0</v>
      </c>
      <c r="S203">
        <f t="shared" si="120"/>
        <v>0</v>
      </c>
      <c r="T203">
        <f t="shared" si="121"/>
        <v>0</v>
      </c>
      <c r="U203">
        <v>1</v>
      </c>
      <c r="V203">
        <f t="shared" si="122"/>
        <v>0</v>
      </c>
      <c r="X203">
        <f t="shared" si="123"/>
        <v>0</v>
      </c>
      <c r="Y203">
        <f t="shared" si="124"/>
        <v>0</v>
      </c>
      <c r="Z203">
        <v>1</v>
      </c>
      <c r="AA203">
        <f t="shared" si="125"/>
        <v>0</v>
      </c>
      <c r="AB203">
        <f t="shared" si="126"/>
        <v>0</v>
      </c>
      <c r="AC203">
        <f t="shared" si="127"/>
        <v>705.89499999999998</v>
      </c>
      <c r="AD203">
        <f t="shared" si="128"/>
        <v>2003.0833333333333</v>
      </c>
      <c r="AE203">
        <f t="shared" si="93"/>
        <v>1</v>
      </c>
      <c r="AF203">
        <f t="shared" si="129"/>
        <v>2008.0833333333333</v>
      </c>
      <c r="AG203">
        <f t="shared" si="95"/>
        <v>0</v>
      </c>
      <c r="AH203">
        <f t="shared" si="130"/>
        <v>-8.3333333333333329E-2</v>
      </c>
    </row>
    <row r="204" spans="3:34">
      <c r="C204" t="s">
        <v>216</v>
      </c>
      <c r="E204">
        <v>2003</v>
      </c>
      <c r="F204">
        <v>3</v>
      </c>
      <c r="G204">
        <v>0</v>
      </c>
      <c r="I204" t="s">
        <v>78</v>
      </c>
      <c r="J204">
        <v>5</v>
      </c>
      <c r="K204">
        <f t="shared" si="116"/>
        <v>2008</v>
      </c>
      <c r="N204">
        <v>1299.3599999999999</v>
      </c>
      <c r="O204">
        <v>0</v>
      </c>
      <c r="P204">
        <f t="shared" si="117"/>
        <v>1299.3599999999999</v>
      </c>
      <c r="Q204">
        <f t="shared" si="118"/>
        <v>21.655999999999995</v>
      </c>
      <c r="R204">
        <f t="shared" si="119"/>
        <v>0</v>
      </c>
      <c r="S204">
        <f t="shared" si="120"/>
        <v>0</v>
      </c>
      <c r="T204">
        <f t="shared" si="121"/>
        <v>0</v>
      </c>
      <c r="U204">
        <v>1</v>
      </c>
      <c r="V204">
        <f t="shared" si="122"/>
        <v>0</v>
      </c>
      <c r="X204">
        <f t="shared" si="123"/>
        <v>0</v>
      </c>
      <c r="Y204">
        <f t="shared" si="124"/>
        <v>0</v>
      </c>
      <c r="Z204">
        <v>1</v>
      </c>
      <c r="AA204">
        <f t="shared" si="125"/>
        <v>0</v>
      </c>
      <c r="AB204">
        <f t="shared" si="126"/>
        <v>0</v>
      </c>
      <c r="AC204">
        <f t="shared" si="127"/>
        <v>649.67999999999995</v>
      </c>
      <c r="AD204">
        <f t="shared" si="128"/>
        <v>2003.1666666666667</v>
      </c>
      <c r="AE204">
        <f t="shared" si="93"/>
        <v>1</v>
      </c>
      <c r="AF204">
        <f t="shared" si="129"/>
        <v>2008.1666666666667</v>
      </c>
      <c r="AG204">
        <f t="shared" si="95"/>
        <v>0</v>
      </c>
      <c r="AH204">
        <f t="shared" si="130"/>
        <v>-8.3333333333333329E-2</v>
      </c>
    </row>
    <row r="205" spans="3:34">
      <c r="C205" t="s">
        <v>348</v>
      </c>
      <c r="E205">
        <v>2003</v>
      </c>
      <c r="F205">
        <v>4</v>
      </c>
      <c r="G205">
        <v>0</v>
      </c>
      <c r="I205" t="s">
        <v>78</v>
      </c>
      <c r="J205">
        <v>5</v>
      </c>
      <c r="K205">
        <f t="shared" si="116"/>
        <v>2008</v>
      </c>
      <c r="N205">
        <v>1342.02</v>
      </c>
      <c r="O205">
        <v>0</v>
      </c>
      <c r="P205">
        <f t="shared" si="117"/>
        <v>1342.02</v>
      </c>
      <c r="Q205">
        <f t="shared" si="118"/>
        <v>22.367000000000001</v>
      </c>
      <c r="R205">
        <f t="shared" si="119"/>
        <v>0</v>
      </c>
      <c r="S205">
        <f t="shared" si="120"/>
        <v>0</v>
      </c>
      <c r="T205">
        <f t="shared" si="121"/>
        <v>0</v>
      </c>
      <c r="U205">
        <v>1</v>
      </c>
      <c r="V205">
        <f t="shared" si="122"/>
        <v>0</v>
      </c>
      <c r="X205">
        <f t="shared" si="123"/>
        <v>0</v>
      </c>
      <c r="Y205">
        <f t="shared" si="124"/>
        <v>0</v>
      </c>
      <c r="Z205">
        <v>1</v>
      </c>
      <c r="AA205">
        <f t="shared" si="125"/>
        <v>0</v>
      </c>
      <c r="AB205">
        <f t="shared" si="126"/>
        <v>0</v>
      </c>
      <c r="AC205">
        <f t="shared" si="127"/>
        <v>671.01</v>
      </c>
      <c r="AD205">
        <f t="shared" si="128"/>
        <v>2003.25</v>
      </c>
      <c r="AE205">
        <f t="shared" si="93"/>
        <v>1</v>
      </c>
      <c r="AF205">
        <f t="shared" si="129"/>
        <v>2008.25</v>
      </c>
      <c r="AG205">
        <f t="shared" si="95"/>
        <v>0</v>
      </c>
      <c r="AH205">
        <f t="shared" si="130"/>
        <v>-8.3333333333333329E-2</v>
      </c>
    </row>
    <row r="206" spans="3:34">
      <c r="C206" t="s">
        <v>217</v>
      </c>
      <c r="E206">
        <v>2003</v>
      </c>
      <c r="F206">
        <v>10</v>
      </c>
      <c r="G206">
        <v>0</v>
      </c>
      <c r="I206" t="s">
        <v>78</v>
      </c>
      <c r="J206">
        <v>5</v>
      </c>
      <c r="K206">
        <f t="shared" si="116"/>
        <v>2008</v>
      </c>
      <c r="N206">
        <v>1270.18</v>
      </c>
      <c r="O206">
        <v>0</v>
      </c>
      <c r="P206">
        <f t="shared" si="117"/>
        <v>1270.18</v>
      </c>
      <c r="Q206">
        <f t="shared" si="118"/>
        <v>21.169666666666668</v>
      </c>
      <c r="R206">
        <f t="shared" si="119"/>
        <v>0</v>
      </c>
      <c r="S206">
        <f t="shared" si="120"/>
        <v>0</v>
      </c>
      <c r="T206">
        <f t="shared" si="121"/>
        <v>0</v>
      </c>
      <c r="U206">
        <v>1</v>
      </c>
      <c r="V206">
        <f t="shared" si="122"/>
        <v>0</v>
      </c>
      <c r="X206">
        <f t="shared" si="123"/>
        <v>0</v>
      </c>
      <c r="Y206">
        <f t="shared" si="124"/>
        <v>0</v>
      </c>
      <c r="Z206">
        <v>1</v>
      </c>
      <c r="AA206">
        <f t="shared" si="125"/>
        <v>0</v>
      </c>
      <c r="AB206">
        <f t="shared" si="126"/>
        <v>0</v>
      </c>
      <c r="AC206">
        <f t="shared" si="127"/>
        <v>635.09</v>
      </c>
      <c r="AD206">
        <f t="shared" si="128"/>
        <v>2003.75</v>
      </c>
      <c r="AE206">
        <f t="shared" si="93"/>
        <v>1</v>
      </c>
      <c r="AF206">
        <f t="shared" si="129"/>
        <v>2008.75</v>
      </c>
      <c r="AG206">
        <f t="shared" si="95"/>
        <v>0</v>
      </c>
      <c r="AH206">
        <f t="shared" si="130"/>
        <v>-8.3333333333333329E-2</v>
      </c>
    </row>
    <row r="207" spans="3:34">
      <c r="C207" t="s">
        <v>218</v>
      </c>
      <c r="E207">
        <v>2003</v>
      </c>
      <c r="F207">
        <v>12</v>
      </c>
      <c r="G207">
        <v>0</v>
      </c>
      <c r="I207" t="s">
        <v>78</v>
      </c>
      <c r="J207">
        <v>5</v>
      </c>
      <c r="K207">
        <f t="shared" si="116"/>
        <v>2008</v>
      </c>
      <c r="N207">
        <v>2749.01</v>
      </c>
      <c r="O207">
        <v>0</v>
      </c>
      <c r="P207">
        <f t="shared" si="117"/>
        <v>2749.01</v>
      </c>
      <c r="Q207">
        <f t="shared" si="118"/>
        <v>45.816833333333335</v>
      </c>
      <c r="R207">
        <f t="shared" si="119"/>
        <v>0</v>
      </c>
      <c r="S207">
        <f t="shared" si="120"/>
        <v>0</v>
      </c>
      <c r="T207">
        <f t="shared" si="121"/>
        <v>0</v>
      </c>
      <c r="U207">
        <v>1</v>
      </c>
      <c r="V207">
        <f t="shared" si="122"/>
        <v>0</v>
      </c>
      <c r="X207">
        <f t="shared" si="123"/>
        <v>0</v>
      </c>
      <c r="Y207">
        <f t="shared" si="124"/>
        <v>0</v>
      </c>
      <c r="Z207">
        <v>1</v>
      </c>
      <c r="AA207">
        <f t="shared" si="125"/>
        <v>0</v>
      </c>
      <c r="AB207">
        <f t="shared" si="126"/>
        <v>0</v>
      </c>
      <c r="AC207">
        <f t="shared" si="127"/>
        <v>1374.5050000000001</v>
      </c>
      <c r="AD207">
        <f t="shared" si="128"/>
        <v>2003.9166666666667</v>
      </c>
      <c r="AE207">
        <f t="shared" si="93"/>
        <v>1</v>
      </c>
      <c r="AF207">
        <f t="shared" si="129"/>
        <v>2008.9166666666667</v>
      </c>
      <c r="AG207">
        <f t="shared" si="95"/>
        <v>0</v>
      </c>
      <c r="AH207">
        <f t="shared" si="130"/>
        <v>-8.3333333333333329E-2</v>
      </c>
    </row>
    <row r="208" spans="3:34">
      <c r="C208" t="s">
        <v>184</v>
      </c>
      <c r="E208">
        <v>2004</v>
      </c>
      <c r="F208">
        <v>1</v>
      </c>
      <c r="G208">
        <v>0</v>
      </c>
      <c r="I208" t="s">
        <v>78</v>
      </c>
      <c r="J208">
        <v>5</v>
      </c>
      <c r="K208">
        <f t="shared" si="116"/>
        <v>2009</v>
      </c>
      <c r="N208">
        <v>5365.8</v>
      </c>
      <c r="O208">
        <v>0</v>
      </c>
      <c r="P208">
        <f t="shared" si="117"/>
        <v>5365.8</v>
      </c>
      <c r="Q208">
        <f t="shared" si="118"/>
        <v>89.43</v>
      </c>
      <c r="R208">
        <f t="shared" si="119"/>
        <v>0</v>
      </c>
      <c r="S208">
        <f t="shared" si="120"/>
        <v>0</v>
      </c>
      <c r="T208">
        <f t="shared" si="121"/>
        <v>0</v>
      </c>
      <c r="U208">
        <v>1</v>
      </c>
      <c r="V208">
        <f t="shared" si="122"/>
        <v>0</v>
      </c>
      <c r="X208">
        <f t="shared" si="123"/>
        <v>0</v>
      </c>
      <c r="Y208">
        <f t="shared" si="124"/>
        <v>0</v>
      </c>
      <c r="Z208">
        <v>1</v>
      </c>
      <c r="AA208">
        <f t="shared" si="125"/>
        <v>0</v>
      </c>
      <c r="AB208">
        <f t="shared" si="126"/>
        <v>0</v>
      </c>
      <c r="AC208">
        <f t="shared" si="127"/>
        <v>2682.9</v>
      </c>
      <c r="AD208">
        <f t="shared" si="128"/>
        <v>2004</v>
      </c>
      <c r="AE208">
        <f t="shared" si="93"/>
        <v>1</v>
      </c>
      <c r="AF208">
        <f t="shared" si="129"/>
        <v>2009</v>
      </c>
      <c r="AG208">
        <f t="shared" si="95"/>
        <v>0</v>
      </c>
      <c r="AH208">
        <f t="shared" si="130"/>
        <v>-8.3333333333333329E-2</v>
      </c>
    </row>
    <row r="209" spans="2:34">
      <c r="C209" t="s">
        <v>185</v>
      </c>
      <c r="E209">
        <v>2004</v>
      </c>
      <c r="F209">
        <v>4</v>
      </c>
      <c r="G209">
        <v>0</v>
      </c>
      <c r="I209" t="s">
        <v>78</v>
      </c>
      <c r="J209">
        <v>5</v>
      </c>
      <c r="K209">
        <f t="shared" si="116"/>
        <v>2009</v>
      </c>
      <c r="N209">
        <v>1829.37</v>
      </c>
      <c r="O209">
        <v>0</v>
      </c>
      <c r="P209">
        <f t="shared" si="117"/>
        <v>1829.37</v>
      </c>
      <c r="Q209">
        <f t="shared" si="118"/>
        <v>30.489499999999996</v>
      </c>
      <c r="R209">
        <f t="shared" si="119"/>
        <v>0</v>
      </c>
      <c r="S209">
        <f t="shared" si="120"/>
        <v>0</v>
      </c>
      <c r="T209">
        <f t="shared" si="121"/>
        <v>0</v>
      </c>
      <c r="U209">
        <v>1</v>
      </c>
      <c r="V209">
        <f t="shared" si="122"/>
        <v>0</v>
      </c>
      <c r="X209">
        <f t="shared" si="123"/>
        <v>0</v>
      </c>
      <c r="Y209">
        <f t="shared" si="124"/>
        <v>0</v>
      </c>
      <c r="Z209">
        <v>1</v>
      </c>
      <c r="AA209">
        <f t="shared" si="125"/>
        <v>0</v>
      </c>
      <c r="AB209">
        <f t="shared" si="126"/>
        <v>0</v>
      </c>
      <c r="AC209">
        <f t="shared" si="127"/>
        <v>914.68499999999995</v>
      </c>
      <c r="AD209">
        <f t="shared" si="128"/>
        <v>2004.25</v>
      </c>
      <c r="AE209">
        <f t="shared" si="93"/>
        <v>1</v>
      </c>
      <c r="AF209">
        <f t="shared" si="129"/>
        <v>2009.25</v>
      </c>
      <c r="AG209">
        <f t="shared" si="95"/>
        <v>0</v>
      </c>
      <c r="AH209">
        <f t="shared" si="130"/>
        <v>-8.3333333333333329E-2</v>
      </c>
    </row>
    <row r="210" spans="2:34">
      <c r="C210" t="s">
        <v>136</v>
      </c>
      <c r="E210">
        <v>2004</v>
      </c>
      <c r="F210">
        <v>5</v>
      </c>
      <c r="G210">
        <v>0</v>
      </c>
      <c r="I210" t="s">
        <v>78</v>
      </c>
      <c r="J210">
        <v>5</v>
      </c>
      <c r="K210">
        <f t="shared" si="116"/>
        <v>2009</v>
      </c>
      <c r="N210">
        <v>8063.88</v>
      </c>
      <c r="O210">
        <v>0</v>
      </c>
      <c r="P210">
        <f t="shared" si="117"/>
        <v>8063.88</v>
      </c>
      <c r="Q210">
        <f t="shared" si="118"/>
        <v>134.398</v>
      </c>
      <c r="R210">
        <f t="shared" si="119"/>
        <v>0</v>
      </c>
      <c r="S210">
        <f t="shared" si="120"/>
        <v>0</v>
      </c>
      <c r="T210">
        <f t="shared" si="121"/>
        <v>0</v>
      </c>
      <c r="U210">
        <v>1</v>
      </c>
      <c r="V210">
        <f t="shared" si="122"/>
        <v>0</v>
      </c>
      <c r="X210">
        <f t="shared" si="123"/>
        <v>0</v>
      </c>
      <c r="Y210">
        <f t="shared" si="124"/>
        <v>0</v>
      </c>
      <c r="Z210">
        <v>1</v>
      </c>
      <c r="AA210">
        <f t="shared" si="125"/>
        <v>0</v>
      </c>
      <c r="AB210">
        <f t="shared" si="126"/>
        <v>0</v>
      </c>
      <c r="AC210">
        <f t="shared" si="127"/>
        <v>4031.94</v>
      </c>
      <c r="AD210">
        <f t="shared" si="128"/>
        <v>2004.3333333333333</v>
      </c>
      <c r="AE210">
        <f t="shared" si="93"/>
        <v>1</v>
      </c>
      <c r="AF210">
        <f t="shared" si="129"/>
        <v>2009.3333333333333</v>
      </c>
      <c r="AG210">
        <f t="shared" si="95"/>
        <v>0</v>
      </c>
      <c r="AH210">
        <f t="shared" si="130"/>
        <v>-8.3333333333333329E-2</v>
      </c>
    </row>
    <row r="213" spans="2:34">
      <c r="C213" t="s">
        <v>479</v>
      </c>
    </row>
    <row r="214" spans="2:34">
      <c r="B214">
        <v>6030</v>
      </c>
      <c r="C214" t="s">
        <v>448</v>
      </c>
      <c r="D214">
        <v>61071</v>
      </c>
      <c r="E214">
        <v>2003</v>
      </c>
      <c r="F214">
        <v>5</v>
      </c>
      <c r="G214">
        <v>0.33</v>
      </c>
      <c r="I214" t="s">
        <v>78</v>
      </c>
      <c r="J214">
        <v>5</v>
      </c>
      <c r="K214">
        <f>E214+J214</f>
        <v>2008</v>
      </c>
      <c r="N214">
        <v>8938.66</v>
      </c>
      <c r="O214">
        <v>0</v>
      </c>
      <c r="P214">
        <f>N214-N214*G214</f>
        <v>5988.9021999999995</v>
      </c>
      <c r="Q214">
        <f>P214/J214/12</f>
        <v>99.815036666666671</v>
      </c>
      <c r="R214">
        <f>IF(O214&gt;0,0,IF(OR(AD214&gt;AE214,AF214&lt;AG214),0,IF(AND(AF214&gt;=AG214,AF214&lt;=AE214),Q214*((AF214-AG214)*12),IF(AND(AG214&lt;=AD214,AE214&gt;=AD214),((AE214-AD214)*12)*Q214,IF(AF214&gt;AE214,12*Q214,0)))))</f>
        <v>0</v>
      </c>
      <c r="S214">
        <f>IF(O214=0,0,IF(AND(AH214&gt;=AG214,AH214&lt;=AF214),((AH214-AG214)*12)*Q214,0))</f>
        <v>0</v>
      </c>
      <c r="T214">
        <f>IF(S214&gt;0,S214,R214)</f>
        <v>0</v>
      </c>
      <c r="U214">
        <v>1</v>
      </c>
      <c r="V214">
        <f>U214*SUM(R214:S214)</f>
        <v>0</v>
      </c>
      <c r="X214">
        <f>IF(AD214&gt;AE214,0,IF(AF214&lt;AG214,P214,IF(AND(AF214&gt;=AG214,AF214&lt;=AE214),(P214-T214),IF(AND(AG214&lt;=AD214,AE214&gt;=AD214),0,IF(AF214&gt;AE214,((AG214-AD214)*12)*Q214,0)))))</f>
        <v>0</v>
      </c>
      <c r="Y214">
        <f>X214*U214</f>
        <v>0</v>
      </c>
      <c r="Z214">
        <v>1</v>
      </c>
      <c r="AA214">
        <f>Y214*Z214</f>
        <v>0</v>
      </c>
      <c r="AB214">
        <f>IF(O214&gt;0,0,AA214+V214*Z214)*Z214</f>
        <v>0</v>
      </c>
      <c r="AC214">
        <f>IF(O214&gt;0,(N214-AA214)/2,IF(AD214&gt;=AG214,(((N214*U214)*Z214)-AB214)/2,((((N214*U214)*Z214)-AA214)+(((N214*U214)*Z214)-AB214))/2))</f>
        <v>4469.33</v>
      </c>
      <c r="AD214">
        <f>$E214+(($F214-1)/12)</f>
        <v>2003.3333333333333</v>
      </c>
      <c r="AE214">
        <f>('Trucks 2183'!$M$5+1)-('Trucks 2183'!$M$2/12)</f>
        <v>1</v>
      </c>
      <c r="AF214">
        <f>$K214+(($F214-1)/12)</f>
        <v>2008.3333333333333</v>
      </c>
      <c r="AG214">
        <f>'Trucks 2183'!$M$4+('Trucks 2183'!$M$3/12)</f>
        <v>0</v>
      </c>
      <c r="AH214">
        <f>$L214+(($M214-1)/12)</f>
        <v>-8.3333333333333329E-2</v>
      </c>
    </row>
  </sheetData>
  <mergeCells count="1">
    <mergeCell ref="AJ5:AR6"/>
  </mergeCells>
  <pageMargins left="0.75" right="0.75" top="1" bottom="1" header="0.5" footer="0.5"/>
  <pageSetup scale="60" fitToHeight="2" orientation="landscape" horizontalDpi="300" verticalDpi="300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2024-06-14T07:00:00+00:00</OpenedDate>
    <SignificantOrder xmlns="dc463f71-b30c-4ab2-9473-d307f9d35888">false</SignificantOrder>
    <Date1 xmlns="dc463f71-b30c-4ab2-9473-d307f9d35888">2024-06-14T07:00:00+00:00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                </CaseCompanyNames>
    <Nickname xmlns="http://schemas.microsoft.com/sharepoint/v3" xsi:nil="true"/>
    <DocketNumber xmlns="dc463f71-b30c-4ab2-9473-d307f9d35888">240468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AE5C1EE6361414B80D1643B1D5F5507" ma:contentTypeVersion="16" ma:contentTypeDescription="" ma:contentTypeScope="" ma:versionID="f56185af1a17bcb32e663ce55b42f4c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965800-F6DF-4D15-AE4C-72D7D3CE6EA1}">
  <ds:schemaRefs>
    <ds:schemaRef ds:uri="http://schemas.microsoft.com/office/2006/metadata/properties"/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08E3409-A2AC-4770-8EA4-03966BCD2E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49939B-5E21-44C6-B8BC-27DCD211DBFD}"/>
</file>

<file path=customXml/itemProps4.xml><?xml version="1.0" encoding="utf-8"?>
<ds:datastoreItem xmlns:ds="http://schemas.openxmlformats.org/officeDocument/2006/customXml" ds:itemID="{C6C64C44-E76F-4F1C-ABBB-03903C3DB1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Summary 2183</vt:lpstr>
      <vt:lpstr>Depreciation Pivot</vt:lpstr>
      <vt:lpstr>FAR 04.2024</vt:lpstr>
      <vt:lpstr>Trucks 2183</vt:lpstr>
      <vt:lpstr>Containers 2183</vt:lpstr>
      <vt:lpstr>OTHER EQUIP 2183</vt:lpstr>
      <vt:lpstr>Orig Trucks 2183</vt:lpstr>
      <vt:lpstr>Orig OTHER EQUIP 2183</vt:lpstr>
      <vt:lpstr>'Containers 2183'!Print_Area</vt:lpstr>
      <vt:lpstr>'Orig OTHER EQUIP 2183'!Print_Area</vt:lpstr>
      <vt:lpstr>'Orig Trucks 2183'!Print_Area</vt:lpstr>
      <vt:lpstr>'OTHER EQUIP 2183'!Print_Area</vt:lpstr>
      <vt:lpstr>'Summary 2183'!Print_Area</vt:lpstr>
      <vt:lpstr>'Trucks 2183'!Print_Area</vt:lpstr>
      <vt:lpstr>'Orig Trucks 2183'!Print_Area_MI</vt:lpstr>
      <vt:lpstr>'Trucks 2183'!Print_Area_MI</vt:lpstr>
      <vt:lpstr>'Containers 2183'!Print_Titles</vt:lpstr>
      <vt:lpstr>'Orig OTHER EQUIP 2183'!Print_Titles</vt:lpstr>
      <vt:lpstr>'Orig Trucks 2183'!Print_Titles</vt:lpstr>
      <vt:lpstr>'OTHER EQUIP 2183'!Print_Titles</vt:lpstr>
      <vt:lpstr>'Trucks 2183'!Print_Titles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Thompson</dc:creator>
  <cp:lastModifiedBy>Brian Vandenburg</cp:lastModifiedBy>
  <cp:lastPrinted>2024-06-11T00:01:47Z</cp:lastPrinted>
  <dcterms:created xsi:type="dcterms:W3CDTF">2009-02-17T19:30:09Z</dcterms:created>
  <dcterms:modified xsi:type="dcterms:W3CDTF">2024-06-11T00:09:21Z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0x0101006E56B4D1795A2E4DB2F0B01679ED314A00CAE5C1EE6361414B80D1643B1D5F5507</vt:lpwstr>
  </property>
  <property fmtid="{D5CDD505-2E9C-101B-9397-08002B2CF9AE}" pid="3" name="_docset_NoMedatataSyncRequired">
    <vt:lpwstr>False</vt:lpwstr>
  </property>
</Properties>
</file>