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23\2023 WA Sch 98 REC Filing\"/>
    </mc:Choice>
  </mc:AlternateContent>
  <xr:revisionPtr revIDLastSave="0" documentId="13_ncr:1_{6F557FE8-AC0C-425F-8F53-2F7E1E257321}" xr6:coauthVersionLast="47" xr6:coauthVersionMax="47" xr10:uidLastSave="{00000000-0000-0000-0000-000000000000}"/>
  <bookViews>
    <workbookView xWindow="6975" yWindow="1905" windowWidth="21600" windowHeight="11280" xr2:uid="{CB50AD54-6638-44D4-AC58-E11E5E069CDE}"/>
  </bookViews>
  <sheets>
    <sheet name="Rate Design" sheetId="2" r:id="rId1"/>
    <sheet name="4-2023 thru 7-2023 RECs" sheetId="8" r:id="rId2"/>
    <sheet name="8-2023 thru 7-2024 RECs" sheetId="1" r:id="rId3"/>
    <sheet name="Forecast Balance" sheetId="5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3">'Forecast Balance'!$A$1:$T$29</definedName>
    <definedName name="_xlnm.Print_Area" localSheetId="4">'Forecasted Revenue'!$A$1:$S$43</definedName>
    <definedName name="_xlnm.Print_Area" localSheetId="5">'kWh Forecast'!$A$1:$R$64</definedName>
    <definedName name="_xlnm.Print_Area" localSheetId="0">'Rate Design'!$A$1:$J$46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8" i="5"/>
  <c r="D8" i="5"/>
  <c r="C8" i="5"/>
  <c r="B8" i="5"/>
  <c r="C7" i="5"/>
  <c r="C6" i="5"/>
  <c r="F3" i="5"/>
  <c r="B37" i="10"/>
  <c r="D6" i="5" l="1"/>
  <c r="D7" i="5"/>
  <c r="E6" i="5" l="1"/>
  <c r="E7" i="5"/>
  <c r="C8" i="2" l="1"/>
  <c r="D9" i="2"/>
  <c r="C25" i="3" l="1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B2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B55" i="3"/>
  <c r="B14" i="5"/>
  <c r="C5" i="5"/>
  <c r="D5" i="5"/>
  <c r="E5" i="5"/>
  <c r="E15" i="5" l="1"/>
  <c r="D15" i="5"/>
  <c r="C15" i="5"/>
  <c r="E14" i="5" l="1"/>
  <c r="D14" i="5"/>
  <c r="C14" i="5"/>
  <c r="C6" i="3" l="1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F4" i="6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E4" i="6"/>
  <c r="C29" i="5"/>
  <c r="C30" i="5" s="1"/>
  <c r="B30" i="5"/>
  <c r="B29" i="5"/>
  <c r="D29" i="5" s="1"/>
  <c r="C27" i="5"/>
  <c r="D30" i="5" l="1"/>
  <c r="D31" i="5"/>
  <c r="C42" i="2"/>
  <c r="B41" i="10" l="1"/>
  <c r="D40" i="10"/>
  <c r="D39" i="10"/>
  <c r="D38" i="10"/>
  <c r="D37" i="10"/>
  <c r="D41" i="10" l="1"/>
  <c r="C52" i="3" l="1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B50" i="3"/>
  <c r="R38" i="3"/>
  <c r="R39" i="3"/>
  <c r="R40" i="3"/>
  <c r="R41" i="3"/>
  <c r="R42" i="3"/>
  <c r="R43" i="3"/>
  <c r="R44" i="3"/>
  <c r="R45" i="3"/>
  <c r="R46" i="3"/>
  <c r="R47" i="3"/>
  <c r="R48" i="3"/>
  <c r="R49" i="3"/>
  <c r="B52" i="3"/>
  <c r="B57" i="3"/>
  <c r="B56" i="3"/>
  <c r="B54" i="3"/>
  <c r="B53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14" i="3"/>
  <c r="R19" i="3"/>
  <c r="R18" i="3"/>
  <c r="R15" i="3"/>
  <c r="R13" i="3"/>
  <c r="R12" i="3"/>
  <c r="R11" i="3"/>
  <c r="R10" i="3"/>
  <c r="R9" i="3"/>
  <c r="R8" i="3"/>
  <c r="B27" i="3"/>
  <c r="B26" i="3"/>
  <c r="B24" i="3"/>
  <c r="B23" i="3"/>
  <c r="B22" i="3"/>
  <c r="B58" i="3" l="1"/>
  <c r="K60" i="3"/>
  <c r="B30" i="3"/>
  <c r="M30" i="3"/>
  <c r="L30" i="3"/>
  <c r="C60" i="3"/>
  <c r="D30" i="3"/>
  <c r="B60" i="3"/>
  <c r="B28" i="3"/>
  <c r="Q30" i="3"/>
  <c r="I30" i="3"/>
  <c r="K30" i="3"/>
  <c r="C30" i="3"/>
  <c r="P30" i="3"/>
  <c r="H30" i="3"/>
  <c r="O30" i="3"/>
  <c r="G30" i="3"/>
  <c r="N30" i="3"/>
  <c r="F30" i="3"/>
  <c r="N60" i="3"/>
  <c r="F60" i="3"/>
  <c r="E30" i="3"/>
  <c r="J60" i="3"/>
  <c r="Q60" i="3"/>
  <c r="I60" i="3"/>
  <c r="P60" i="3"/>
  <c r="H60" i="3"/>
  <c r="O60" i="3"/>
  <c r="G60" i="3"/>
  <c r="M60" i="3"/>
  <c r="E60" i="3"/>
  <c r="L60" i="3"/>
  <c r="D60" i="3"/>
  <c r="J30" i="3"/>
  <c r="B27" i="5" l="1"/>
  <c r="R37" i="3"/>
  <c r="R50" i="3" s="1"/>
  <c r="R7" i="3"/>
  <c r="E19" i="9" l="1"/>
  <c r="E21" i="9" s="1"/>
  <c r="C32" i="6" s="1"/>
  <c r="E16" i="8" l="1"/>
  <c r="E25" i="9"/>
  <c r="F16" i="8" l="1"/>
  <c r="E23" i="1"/>
  <c r="G16" i="8"/>
  <c r="H16" i="8" s="1"/>
  <c r="B15" i="10" l="1"/>
  <c r="B14" i="10"/>
  <c r="B13" i="10"/>
  <c r="D13" i="10" s="1"/>
  <c r="S32" i="6"/>
  <c r="A1" i="9" l="1"/>
  <c r="I16" i="8" l="1"/>
  <c r="R59" i="3" l="1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R29" i="3"/>
  <c r="S10" i="6"/>
  <c r="R10" i="6"/>
  <c r="Q10" i="6"/>
  <c r="P10" i="6"/>
  <c r="O10" i="6"/>
  <c r="N10" i="6"/>
  <c r="M10" i="6"/>
  <c r="L10" i="6"/>
  <c r="K10" i="6"/>
  <c r="J10" i="6"/>
  <c r="I10" i="6"/>
  <c r="H10" i="6"/>
  <c r="S9" i="6"/>
  <c r="R9" i="6"/>
  <c r="Q9" i="6"/>
  <c r="P9" i="6"/>
  <c r="O9" i="6"/>
  <c r="N9" i="6"/>
  <c r="M9" i="6"/>
  <c r="L9" i="6"/>
  <c r="K9" i="6"/>
  <c r="J9" i="6"/>
  <c r="I9" i="6"/>
  <c r="H9" i="6"/>
  <c r="S8" i="6"/>
  <c r="R8" i="6"/>
  <c r="Q8" i="6"/>
  <c r="P8" i="6"/>
  <c r="O8" i="6"/>
  <c r="N8" i="6"/>
  <c r="M8" i="6"/>
  <c r="L8" i="6"/>
  <c r="K8" i="6"/>
  <c r="J8" i="6"/>
  <c r="I8" i="6"/>
  <c r="H8" i="6"/>
  <c r="S7" i="6"/>
  <c r="R7" i="6"/>
  <c r="Q7" i="6"/>
  <c r="P7" i="6"/>
  <c r="O7" i="6"/>
  <c r="N7" i="6"/>
  <c r="M7" i="6"/>
  <c r="L7" i="6"/>
  <c r="K7" i="6"/>
  <c r="J7" i="6"/>
  <c r="I7" i="6"/>
  <c r="H7" i="6"/>
  <c r="S6" i="6"/>
  <c r="R6" i="6"/>
  <c r="Q6" i="6"/>
  <c r="P6" i="6"/>
  <c r="O6" i="6"/>
  <c r="N6" i="6"/>
  <c r="M6" i="6"/>
  <c r="L6" i="6"/>
  <c r="K6" i="6"/>
  <c r="J6" i="6"/>
  <c r="I6" i="6"/>
  <c r="S5" i="6"/>
  <c r="Q5" i="6"/>
  <c r="O5" i="6"/>
  <c r="M5" i="6"/>
  <c r="K5" i="6"/>
  <c r="I5" i="6"/>
  <c r="R17" i="3"/>
  <c r="R16" i="3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G15" i="6"/>
  <c r="F15" i="6"/>
  <c r="E15" i="6"/>
  <c r="D15" i="6"/>
  <c r="C22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R20" i="3" l="1"/>
  <c r="I58" i="3"/>
  <c r="M58" i="3"/>
  <c r="H58" i="3"/>
  <c r="L58" i="3"/>
  <c r="P58" i="3"/>
  <c r="P5" i="6"/>
  <c r="P11" i="6" s="1"/>
  <c r="R23" i="3"/>
  <c r="E10" i="2" s="1"/>
  <c r="J28" i="3"/>
  <c r="L5" i="6"/>
  <c r="L11" i="6" s="1"/>
  <c r="H5" i="6"/>
  <c r="H6" i="6"/>
  <c r="R53" i="3"/>
  <c r="E12" i="2" s="1"/>
  <c r="Q58" i="3"/>
  <c r="R54" i="3"/>
  <c r="F12" i="2" s="1"/>
  <c r="R55" i="3"/>
  <c r="G12" i="2" s="1"/>
  <c r="R56" i="3"/>
  <c r="H12" i="2" s="1"/>
  <c r="R57" i="3"/>
  <c r="F58" i="3"/>
  <c r="J58" i="3"/>
  <c r="N58" i="3"/>
  <c r="G58" i="3"/>
  <c r="K58" i="3"/>
  <c r="O58" i="3"/>
  <c r="R52" i="3"/>
  <c r="D12" i="2" s="1"/>
  <c r="I11" i="6"/>
  <c r="Q11" i="6"/>
  <c r="R24" i="3"/>
  <c r="F10" i="2" s="1"/>
  <c r="M11" i="6"/>
  <c r="G28" i="3"/>
  <c r="K28" i="3"/>
  <c r="O28" i="3"/>
  <c r="R25" i="3"/>
  <c r="G10" i="2" s="1"/>
  <c r="R26" i="3"/>
  <c r="H10" i="2" s="1"/>
  <c r="R27" i="3"/>
  <c r="I10" i="2" s="1"/>
  <c r="F28" i="3"/>
  <c r="H28" i="3"/>
  <c r="J5" i="6"/>
  <c r="L28" i="3"/>
  <c r="N5" i="6"/>
  <c r="P28" i="3"/>
  <c r="R5" i="6"/>
  <c r="N28" i="3"/>
  <c r="I28" i="3"/>
  <c r="M28" i="3"/>
  <c r="Q28" i="3"/>
  <c r="K11" i="6"/>
  <c r="O11" i="6"/>
  <c r="S11" i="6"/>
  <c r="R22" i="3"/>
  <c r="R30" i="3" l="1"/>
  <c r="C12" i="2"/>
  <c r="S12" i="6"/>
  <c r="P12" i="6"/>
  <c r="M12" i="6"/>
  <c r="H11" i="6"/>
  <c r="H12" i="6" s="1"/>
  <c r="K12" i="6"/>
  <c r="L12" i="6"/>
  <c r="R60" i="3"/>
  <c r="R58" i="3"/>
  <c r="R28" i="3"/>
  <c r="D10" i="2"/>
  <c r="D11" i="2" s="1"/>
  <c r="R11" i="6"/>
  <c r="R12" i="6" s="1"/>
  <c r="J11" i="6"/>
  <c r="J12" i="6" s="1"/>
  <c r="I12" i="6"/>
  <c r="N11" i="6"/>
  <c r="N12" i="6" s="1"/>
  <c r="O12" i="6"/>
  <c r="Q12" i="6"/>
  <c r="F10" i="6"/>
  <c r="F29" i="6" s="1"/>
  <c r="F38" i="6" s="1"/>
  <c r="F6" i="6"/>
  <c r="F25" i="6" s="1"/>
  <c r="F34" i="6" s="1"/>
  <c r="E9" i="6"/>
  <c r="E28" i="6" s="1"/>
  <c r="E37" i="6" s="1"/>
  <c r="D10" i="6"/>
  <c r="D9" i="6"/>
  <c r="E8" i="6"/>
  <c r="E27" i="6" s="1"/>
  <c r="E36" i="6" s="1"/>
  <c r="G10" i="6"/>
  <c r="G29" i="6" s="1"/>
  <c r="G38" i="6" s="1"/>
  <c r="G7" i="6"/>
  <c r="G26" i="6" s="1"/>
  <c r="G35" i="6" s="1"/>
  <c r="D8" i="6"/>
  <c r="F9" i="6"/>
  <c r="F28" i="6" s="1"/>
  <c r="F37" i="6" s="1"/>
  <c r="G8" i="6"/>
  <c r="G27" i="6" s="1"/>
  <c r="G36" i="6" s="1"/>
  <c r="D7" i="6"/>
  <c r="F5" i="6"/>
  <c r="F7" i="6"/>
  <c r="F26" i="6" s="1"/>
  <c r="F35" i="6" s="1"/>
  <c r="E10" i="6"/>
  <c r="E29" i="6" s="1"/>
  <c r="E38" i="6" s="1"/>
  <c r="E7" i="6"/>
  <c r="E26" i="6" s="1"/>
  <c r="E35" i="6" s="1"/>
  <c r="F8" i="6"/>
  <c r="F27" i="6" s="1"/>
  <c r="F36" i="6" s="1"/>
  <c r="G9" i="6"/>
  <c r="G28" i="6" s="1"/>
  <c r="G37" i="6" s="1"/>
  <c r="G6" i="6"/>
  <c r="G25" i="6" s="1"/>
  <c r="G34" i="6" s="1"/>
  <c r="E5" i="6"/>
  <c r="C10" i="2" l="1"/>
  <c r="E6" i="6"/>
  <c r="E25" i="6" s="1"/>
  <c r="E34" i="6" s="1"/>
  <c r="D26" i="6"/>
  <c r="D35" i="6" s="1"/>
  <c r="T7" i="6"/>
  <c r="D27" i="6"/>
  <c r="D36" i="6" s="1"/>
  <c r="T8" i="6"/>
  <c r="D28" i="6"/>
  <c r="D37" i="6" s="1"/>
  <c r="T9" i="6"/>
  <c r="D29" i="6"/>
  <c r="D38" i="6" s="1"/>
  <c r="T10" i="6"/>
  <c r="D6" i="6"/>
  <c r="G5" i="6"/>
  <c r="G24" i="6" s="1"/>
  <c r="E11" i="6"/>
  <c r="E24" i="6"/>
  <c r="E33" i="6" s="1"/>
  <c r="F11" i="6"/>
  <c r="E28" i="3"/>
  <c r="C28" i="3"/>
  <c r="D28" i="3"/>
  <c r="D5" i="6"/>
  <c r="D24" i="6" s="1"/>
  <c r="D33" i="6" s="1"/>
  <c r="F24" i="6"/>
  <c r="D16" i="2" l="1"/>
  <c r="D25" i="2" s="1"/>
  <c r="C44" i="2" s="1"/>
  <c r="D13" i="2"/>
  <c r="G11" i="6"/>
  <c r="T5" i="6"/>
  <c r="D25" i="6"/>
  <c r="D34" i="6" s="1"/>
  <c r="D39" i="6" s="1"/>
  <c r="T6" i="6"/>
  <c r="G33" i="6"/>
  <c r="G39" i="6" s="1"/>
  <c r="I3" i="5" s="1"/>
  <c r="G30" i="6"/>
  <c r="E9" i="2"/>
  <c r="E11" i="2" s="1"/>
  <c r="F9" i="2"/>
  <c r="F11" i="2" s="1"/>
  <c r="H9" i="2"/>
  <c r="H11" i="2" s="1"/>
  <c r="G9" i="2"/>
  <c r="G11" i="2" s="1"/>
  <c r="I9" i="2"/>
  <c r="I11" i="2" s="1"/>
  <c r="F30" i="6"/>
  <c r="F33" i="6"/>
  <c r="F39" i="6" s="1"/>
  <c r="H3" i="5" s="1"/>
  <c r="D11" i="6"/>
  <c r="E30" i="6"/>
  <c r="E39" i="6"/>
  <c r="G3" i="5" s="1"/>
  <c r="H14" i="2" l="1"/>
  <c r="I16" i="2"/>
  <c r="D26" i="2"/>
  <c r="C46" i="2"/>
  <c r="D44" i="2"/>
  <c r="T11" i="6"/>
  <c r="F16" i="2"/>
  <c r="F13" i="2"/>
  <c r="F14" i="2"/>
  <c r="E13" i="2"/>
  <c r="E14" i="2"/>
  <c r="E16" i="2"/>
  <c r="G16" i="2"/>
  <c r="G13" i="2"/>
  <c r="G14" i="2"/>
  <c r="D30" i="6"/>
  <c r="H16" i="2" l="1"/>
  <c r="Q19" i="6" s="1"/>
  <c r="Q28" i="6" s="1"/>
  <c r="Q37" i="6" s="1"/>
  <c r="H13" i="2"/>
  <c r="H20" i="6"/>
  <c r="H29" i="6" s="1"/>
  <c r="H38" i="6" s="1"/>
  <c r="N20" i="6"/>
  <c r="N29" i="6" s="1"/>
  <c r="N38" i="6" s="1"/>
  <c r="P20" i="6"/>
  <c r="P29" i="6" s="1"/>
  <c r="P38" i="6" s="1"/>
  <c r="I20" i="6"/>
  <c r="I29" i="6" s="1"/>
  <c r="I38" i="6" s="1"/>
  <c r="L20" i="6"/>
  <c r="L29" i="6" s="1"/>
  <c r="L38" i="6" s="1"/>
  <c r="S20" i="6"/>
  <c r="S29" i="6" s="1"/>
  <c r="S38" i="6" s="1"/>
  <c r="K20" i="6"/>
  <c r="K29" i="6" s="1"/>
  <c r="K38" i="6" s="1"/>
  <c r="I18" i="2"/>
  <c r="Q20" i="6"/>
  <c r="Q29" i="6" s="1"/>
  <c r="Q38" i="6" s="1"/>
  <c r="J20" i="6"/>
  <c r="J29" i="6" s="1"/>
  <c r="J38" i="6" s="1"/>
  <c r="M20" i="6"/>
  <c r="M29" i="6" s="1"/>
  <c r="M38" i="6" s="1"/>
  <c r="O20" i="6"/>
  <c r="O29" i="6" s="1"/>
  <c r="O38" i="6" s="1"/>
  <c r="R20" i="6"/>
  <c r="R29" i="6" s="1"/>
  <c r="R38" i="6" s="1"/>
  <c r="B43" i="10"/>
  <c r="R18" i="6"/>
  <c r="R27" i="6" s="1"/>
  <c r="R36" i="6" s="1"/>
  <c r="L18" i="6"/>
  <c r="L27" i="6" s="1"/>
  <c r="L36" i="6" s="1"/>
  <c r="G18" i="2"/>
  <c r="S18" i="6"/>
  <c r="S27" i="6" s="1"/>
  <c r="S36" i="6" s="1"/>
  <c r="N18" i="6"/>
  <c r="N27" i="6" s="1"/>
  <c r="N36" i="6" s="1"/>
  <c r="H18" i="6"/>
  <c r="H27" i="6" s="1"/>
  <c r="H36" i="6" s="1"/>
  <c r="M18" i="6"/>
  <c r="M27" i="6" s="1"/>
  <c r="M36" i="6" s="1"/>
  <c r="O18" i="6"/>
  <c r="O27" i="6" s="1"/>
  <c r="O36" i="6" s="1"/>
  <c r="J18" i="6"/>
  <c r="J27" i="6" s="1"/>
  <c r="J36" i="6" s="1"/>
  <c r="I18" i="6"/>
  <c r="I27" i="6" s="1"/>
  <c r="I36" i="6" s="1"/>
  <c r="K18" i="6"/>
  <c r="K27" i="6" s="1"/>
  <c r="K36" i="6" s="1"/>
  <c r="P18" i="6"/>
  <c r="P27" i="6" s="1"/>
  <c r="P36" i="6" s="1"/>
  <c r="Q18" i="6"/>
  <c r="Q27" i="6" s="1"/>
  <c r="Q36" i="6" s="1"/>
  <c r="K16" i="6"/>
  <c r="K25" i="6" s="1"/>
  <c r="K34" i="6" s="1"/>
  <c r="P16" i="6"/>
  <c r="P25" i="6" s="1"/>
  <c r="P34" i="6" s="1"/>
  <c r="E18" i="2"/>
  <c r="R16" i="6"/>
  <c r="R25" i="6" s="1"/>
  <c r="R34" i="6" s="1"/>
  <c r="L16" i="6"/>
  <c r="L25" i="6" s="1"/>
  <c r="L34" i="6" s="1"/>
  <c r="M16" i="6"/>
  <c r="M25" i="6" s="1"/>
  <c r="M34" i="6" s="1"/>
  <c r="S16" i="6"/>
  <c r="S25" i="6" s="1"/>
  <c r="S34" i="6" s="1"/>
  <c r="N16" i="6"/>
  <c r="N25" i="6" s="1"/>
  <c r="N34" i="6" s="1"/>
  <c r="H16" i="6"/>
  <c r="H25" i="6" s="1"/>
  <c r="H34" i="6" s="1"/>
  <c r="I16" i="6"/>
  <c r="I25" i="6" s="1"/>
  <c r="I34" i="6" s="1"/>
  <c r="O16" i="6"/>
  <c r="O25" i="6" s="1"/>
  <c r="O34" i="6" s="1"/>
  <c r="J16" i="6"/>
  <c r="J25" i="6" s="1"/>
  <c r="J34" i="6" s="1"/>
  <c r="Q16" i="6"/>
  <c r="Q25" i="6" s="1"/>
  <c r="Q34" i="6" s="1"/>
  <c r="D14" i="2"/>
  <c r="K17" i="6"/>
  <c r="K26" i="6" s="1"/>
  <c r="K35" i="6" s="1"/>
  <c r="P17" i="6"/>
  <c r="P26" i="6" s="1"/>
  <c r="P35" i="6" s="1"/>
  <c r="M17" i="6"/>
  <c r="M26" i="6" s="1"/>
  <c r="M35" i="6" s="1"/>
  <c r="R17" i="6"/>
  <c r="R26" i="6" s="1"/>
  <c r="R35" i="6" s="1"/>
  <c r="L17" i="6"/>
  <c r="L26" i="6" s="1"/>
  <c r="L35" i="6" s="1"/>
  <c r="I17" i="6"/>
  <c r="I26" i="6" s="1"/>
  <c r="I35" i="6" s="1"/>
  <c r="S17" i="6"/>
  <c r="S26" i="6" s="1"/>
  <c r="S35" i="6" s="1"/>
  <c r="N17" i="6"/>
  <c r="N26" i="6" s="1"/>
  <c r="N35" i="6" s="1"/>
  <c r="H17" i="6"/>
  <c r="H26" i="6" s="1"/>
  <c r="H35" i="6" s="1"/>
  <c r="F18" i="2"/>
  <c r="O17" i="6"/>
  <c r="O26" i="6" s="1"/>
  <c r="O35" i="6" s="1"/>
  <c r="J17" i="6"/>
  <c r="J26" i="6" s="1"/>
  <c r="J35" i="6" s="1"/>
  <c r="Q17" i="6"/>
  <c r="Q26" i="6" s="1"/>
  <c r="Q35" i="6" s="1"/>
  <c r="E19" i="2" l="1"/>
  <c r="E23" i="2" s="1"/>
  <c r="H20" i="10" s="1"/>
  <c r="F19" i="2"/>
  <c r="F23" i="2" s="1"/>
  <c r="H21" i="10" s="1"/>
  <c r="G19" i="2"/>
  <c r="G23" i="2" s="1"/>
  <c r="H22" i="10" s="1"/>
  <c r="I19" i="2"/>
  <c r="I23" i="2" s="1"/>
  <c r="H24" i="10" s="1"/>
  <c r="M19" i="6"/>
  <c r="M28" i="6" s="1"/>
  <c r="M37" i="6" s="1"/>
  <c r="L19" i="6"/>
  <c r="L28" i="6" s="1"/>
  <c r="L37" i="6" s="1"/>
  <c r="R19" i="6"/>
  <c r="R28" i="6" s="1"/>
  <c r="R37" i="6" s="1"/>
  <c r="J19" i="6"/>
  <c r="J28" i="6" s="1"/>
  <c r="J37" i="6" s="1"/>
  <c r="O19" i="6"/>
  <c r="O28" i="6" s="1"/>
  <c r="O37" i="6" s="1"/>
  <c r="H18" i="2"/>
  <c r="I19" i="6"/>
  <c r="I28" i="6" s="1"/>
  <c r="I37" i="6" s="1"/>
  <c r="N19" i="6"/>
  <c r="N28" i="6" s="1"/>
  <c r="N37" i="6" s="1"/>
  <c r="P19" i="6"/>
  <c r="P28" i="6" s="1"/>
  <c r="P37" i="6" s="1"/>
  <c r="S19" i="6"/>
  <c r="S28" i="6" s="1"/>
  <c r="S37" i="6" s="1"/>
  <c r="H19" i="6"/>
  <c r="H28" i="6" s="1"/>
  <c r="H37" i="6" s="1"/>
  <c r="K19" i="6"/>
  <c r="K28" i="6" s="1"/>
  <c r="K37" i="6" s="1"/>
  <c r="D43" i="10"/>
  <c r="R15" i="6"/>
  <c r="R24" i="6" s="1"/>
  <c r="L15" i="6"/>
  <c r="L24" i="6" s="1"/>
  <c r="Q15" i="6"/>
  <c r="Q24" i="6" s="1"/>
  <c r="S15" i="6"/>
  <c r="S24" i="6" s="1"/>
  <c r="N15" i="6"/>
  <c r="N24" i="6" s="1"/>
  <c r="H15" i="6"/>
  <c r="H24" i="6" s="1"/>
  <c r="H33" i="6" s="1"/>
  <c r="D18" i="2"/>
  <c r="D19" i="2" s="1"/>
  <c r="O15" i="6"/>
  <c r="O24" i="6" s="1"/>
  <c r="J15" i="6"/>
  <c r="J24" i="6" s="1"/>
  <c r="M15" i="6"/>
  <c r="M24" i="6" s="1"/>
  <c r="K15" i="6"/>
  <c r="K24" i="6" s="1"/>
  <c r="P15" i="6"/>
  <c r="P24" i="6" s="1"/>
  <c r="I15" i="6"/>
  <c r="I24" i="6" s="1"/>
  <c r="H19" i="2" l="1"/>
  <c r="H23" i="2" s="1"/>
  <c r="H23" i="10" s="1"/>
  <c r="C14" i="10"/>
  <c r="D14" i="10" s="1"/>
  <c r="D23" i="2"/>
  <c r="M30" i="6"/>
  <c r="M33" i="6"/>
  <c r="M39" i="6" s="1"/>
  <c r="O3" i="5" s="1"/>
  <c r="H39" i="6"/>
  <c r="J3" i="5" s="1"/>
  <c r="H30" i="6"/>
  <c r="L33" i="6"/>
  <c r="L39" i="6" s="1"/>
  <c r="N3" i="5" s="1"/>
  <c r="L30" i="6"/>
  <c r="I30" i="6"/>
  <c r="I33" i="6"/>
  <c r="I39" i="6" s="1"/>
  <c r="K3" i="5" s="1"/>
  <c r="J33" i="6"/>
  <c r="J39" i="6" s="1"/>
  <c r="L3" i="5" s="1"/>
  <c r="J30" i="6"/>
  <c r="N33" i="6"/>
  <c r="N39" i="6" s="1"/>
  <c r="P3" i="5" s="1"/>
  <c r="N30" i="6"/>
  <c r="R33" i="6"/>
  <c r="R39" i="6" s="1"/>
  <c r="T3" i="5" s="1"/>
  <c r="R30" i="6"/>
  <c r="P30" i="6"/>
  <c r="P33" i="6"/>
  <c r="P39" i="6" s="1"/>
  <c r="R3" i="5" s="1"/>
  <c r="O33" i="6"/>
  <c r="O39" i="6" s="1"/>
  <c r="Q3" i="5" s="1"/>
  <c r="O30" i="6"/>
  <c r="S33" i="6"/>
  <c r="S39" i="6" s="1"/>
  <c r="U3" i="5" s="1"/>
  <c r="S30" i="6"/>
  <c r="K33" i="6"/>
  <c r="K39" i="6" s="1"/>
  <c r="M3" i="5" s="1"/>
  <c r="K30" i="6"/>
  <c r="Q33" i="6"/>
  <c r="Q39" i="6" s="1"/>
  <c r="S3" i="5" s="1"/>
  <c r="Q30" i="6"/>
  <c r="B20" i="5" l="1"/>
  <c r="W3" i="5"/>
  <c r="C19" i="2"/>
  <c r="C23" i="2" s="1"/>
  <c r="C15" i="10"/>
  <c r="C16" i="10" s="1"/>
  <c r="D16" i="10" s="1"/>
  <c r="D15" i="10" l="1"/>
  <c r="H25" i="10"/>
  <c r="H19" i="10"/>
  <c r="E58" i="3" l="1"/>
  <c r="C58" i="3"/>
  <c r="D58" i="3"/>
  <c r="G11" i="8" l="1"/>
  <c r="G14" i="8"/>
  <c r="I11" i="8"/>
  <c r="I14" i="8" s="1"/>
  <c r="H11" i="8"/>
  <c r="H14" i="8"/>
  <c r="U4" i="5"/>
  <c r="U5" i="5" s="1"/>
  <c r="J4" i="5"/>
  <c r="F11" i="8"/>
  <c r="F14" i="8"/>
  <c r="F4" i="5" s="1"/>
  <c r="E11" i="1"/>
  <c r="R4" i="5" s="1"/>
  <c r="R5" i="5" s="1"/>
  <c r="Q4" i="5"/>
  <c r="Q5" i="5" s="1"/>
  <c r="J5" i="5" l="1"/>
  <c r="H4" i="5"/>
  <c r="H5" i="5" s="1"/>
  <c r="H18" i="8"/>
  <c r="F5" i="5"/>
  <c r="I18" i="8"/>
  <c r="I4" i="5"/>
  <c r="I5" i="5" s="1"/>
  <c r="G4" i="5"/>
  <c r="G5" i="5" s="1"/>
  <c r="G18" i="8"/>
  <c r="F18" i="8"/>
  <c r="M4" i="5"/>
  <c r="M5" i="5" s="1"/>
  <c r="T4" i="5"/>
  <c r="T5" i="5" s="1"/>
  <c r="P4" i="5"/>
  <c r="P5" i="5" s="1"/>
  <c r="K4" i="5"/>
  <c r="K5" i="5" s="1"/>
  <c r="L4" i="5"/>
  <c r="L5" i="5" s="1"/>
  <c r="S4" i="5"/>
  <c r="S5" i="5" s="1"/>
  <c r="O4" i="5"/>
  <c r="O5" i="5" s="1"/>
  <c r="N4" i="5"/>
  <c r="N5" i="5" s="1"/>
  <c r="W4" i="5" l="1"/>
  <c r="B19" i="5"/>
  <c r="K30" i="10" s="1"/>
  <c r="F6" i="5"/>
  <c r="F7" i="5"/>
  <c r="E18" i="8"/>
  <c r="B42" i="10"/>
  <c r="D42" i="10" l="1"/>
  <c r="F8" i="5"/>
  <c r="G6" i="5"/>
  <c r="G7" i="5"/>
  <c r="G8" i="5" l="1"/>
  <c r="H6" i="5"/>
  <c r="H7" i="5"/>
  <c r="H8" i="5" l="1"/>
  <c r="I6" i="5" l="1"/>
  <c r="I7" i="5"/>
  <c r="B44" i="10" s="1"/>
  <c r="D44" i="10" l="1"/>
  <c r="D45" i="10" s="1"/>
  <c r="B45" i="10"/>
  <c r="K29" i="10" s="1"/>
  <c r="I8" i="5"/>
  <c r="J7" i="5"/>
  <c r="J6" i="5"/>
  <c r="K6" i="5" l="1"/>
  <c r="J8" i="5"/>
  <c r="K7" i="5"/>
  <c r="B18" i="5"/>
  <c r="E15" i="1"/>
  <c r="E17" i="1" s="1"/>
  <c r="K8" i="5" l="1"/>
  <c r="L7" i="5"/>
  <c r="L6" i="5"/>
  <c r="L8" i="5" l="1"/>
  <c r="M6" i="5"/>
  <c r="M7" i="5"/>
  <c r="M8" i="5" l="1"/>
  <c r="N7" i="5"/>
  <c r="N6" i="5"/>
  <c r="N8" i="5" l="1"/>
  <c r="O6" i="5" l="1"/>
  <c r="O7" i="5"/>
  <c r="O8" i="5" l="1"/>
  <c r="P6" i="5"/>
  <c r="P7" i="5"/>
  <c r="Q7" i="5" l="1"/>
  <c r="Q6" i="5"/>
  <c r="P8" i="5"/>
  <c r="Q8" i="5" l="1"/>
  <c r="R7" i="5"/>
  <c r="R6" i="5"/>
  <c r="R8" i="5" l="1"/>
  <c r="S6" i="5"/>
  <c r="S7" i="5"/>
  <c r="S8" i="5" l="1"/>
  <c r="T7" i="5"/>
  <c r="T6" i="5"/>
  <c r="T8" i="5" l="1"/>
  <c r="U7" i="5"/>
  <c r="U6" i="5"/>
  <c r="U8" i="5" s="1"/>
  <c r="B21" i="5" l="1"/>
  <c r="W7" i="5"/>
  <c r="E19" i="1" l="1"/>
  <c r="E21" i="1" s="1"/>
  <c r="B22" i="5"/>
  <c r="E25" i="1" l="1"/>
  <c r="U39" i="6"/>
  <c r="U30" i="6" l="1"/>
  <c r="K31" i="10"/>
  <c r="K32" i="10" s="1"/>
  <c r="K3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annette brandon</author>
  </authors>
  <commentList>
    <comment ref="B26" authorId="0" shapeId="0" xr:uid="{CCBB8500-2E67-4A57-B719-3C613CF7F474}">
      <text>
        <r>
          <rPr>
            <sz val="9"/>
            <color indexed="81"/>
            <rFont val="Tahoma"/>
            <family val="2"/>
          </rPr>
          <t xml:space="preserve">
COD: 2.47% x (1-.21) = 1.9521
COE: 4.559%
Total 6.5111%</t>
        </r>
      </text>
    </comment>
    <comment ref="C26" authorId="0" shapeId="0" xr:uid="{73C1AB5B-BBF6-48F7-B4C2-2B229AD5AA42}">
      <text>
        <r>
          <rPr>
            <sz val="9"/>
            <color indexed="81"/>
            <rFont val="Tahoma"/>
            <family val="2"/>
          </rPr>
          <t xml:space="preserve">
COD: 2.56% x (1-.21) = 2.0224
COE: 4.559%
Total 6.5814%</t>
        </r>
      </text>
    </comment>
  </commentList>
</comments>
</file>

<file path=xl/sharedStrings.xml><?xml version="1.0" encoding="utf-8"?>
<sst xmlns="http://schemas.openxmlformats.org/spreadsheetml/2006/main" count="274" uniqueCount="199">
  <si>
    <t>Total</t>
  </si>
  <si>
    <t>aMW</t>
  </si>
  <si>
    <t>Rate</t>
  </si>
  <si>
    <t>REC Revenues Rebate Allocation - Generation Level Consumption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</si>
  <si>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</si>
  <si>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</si>
  <si>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</si>
  <si>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</si>
  <si>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</si>
  <si>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</si>
  <si>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</si>
  <si>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</si>
  <si>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</si>
  <si>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</si>
  <si>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</si>
  <si>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</si>
  <si>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</si>
  <si>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</si>
  <si>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</si>
  <si>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</si>
  <si>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</si>
  <si>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</si>
  <si>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</si>
  <si>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</si>
  <si>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</si>
  <si>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Generation Allocated</t>
  </si>
  <si>
    <t>Total Generation Percentage</t>
  </si>
  <si>
    <t>(1)</t>
  </si>
  <si>
    <t>Annual Load (Rate Year)</t>
  </si>
  <si>
    <t>(2)</t>
  </si>
  <si>
    <t>Cents Per kWh Rate</t>
  </si>
  <si>
    <t>Total Bills</t>
  </si>
  <si>
    <t>Avg Monthly Credit Per Customer</t>
  </si>
  <si>
    <t>Avg Annual Credit Per Customer</t>
  </si>
  <si>
    <t>Proposed Cents per kWh Rate</t>
  </si>
  <si>
    <t>Present Cents per kWh Rate</t>
  </si>
  <si>
    <t>Difference in Rate</t>
  </si>
  <si>
    <t>Change in Revenue</t>
  </si>
  <si>
    <t>Gross Up Factor</t>
  </si>
  <si>
    <t>Grossed Up Revenue Requirement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</si>
  <si>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</si>
  <si>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</si>
  <si>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</si>
  <si>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</si>
  <si>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</si>
  <si>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</si>
  <si>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</si>
  <si>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</si>
  <si>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</si>
  <si>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</si>
  <si>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</si>
  <si>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</si>
  <si>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</si>
  <si>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</si>
  <si>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</si>
  <si>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</si>
  <si>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</si>
  <si>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</si>
  <si>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</si>
  <si>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System Total</t>
  </si>
  <si>
    <t>PT Ratio</t>
  </si>
  <si>
    <t>Washington Share</t>
  </si>
  <si>
    <t>End March</t>
  </si>
  <si>
    <t>End April</t>
  </si>
  <si>
    <t>End May</t>
  </si>
  <si>
    <t>End June</t>
  </si>
  <si>
    <t>End July</t>
  </si>
  <si>
    <t>End August</t>
  </si>
  <si>
    <t>End September</t>
  </si>
  <si>
    <t>End October</t>
  </si>
  <si>
    <t>End November</t>
  </si>
  <si>
    <t>End December</t>
  </si>
  <si>
    <t>End January</t>
  </si>
  <si>
    <t>End February</t>
  </si>
  <si>
    <t>Net change in balance</t>
  </si>
  <si>
    <t>Interest on Previous Months Balance</t>
  </si>
  <si>
    <t>Forecasted Usage</t>
  </si>
  <si>
    <t>Residential Schedule 001</t>
  </si>
  <si>
    <t>General Svc Schedule 011/012</t>
  </si>
  <si>
    <t>Large Gen Svc Schedule 021/022</t>
  </si>
  <si>
    <t>Pumping Schedule 31/32</t>
  </si>
  <si>
    <t>Street and Area Lights</t>
  </si>
  <si>
    <t>Total Forecasted Usage</t>
  </si>
  <si>
    <t>Forecast End of June Balance</t>
  </si>
  <si>
    <t>Per rate order, REC rate is after tax cost of capital</t>
  </si>
  <si>
    <t>The monthly rate is:</t>
  </si>
  <si>
    <t>Interest</t>
  </si>
  <si>
    <t>REC Balance to be Recovered</t>
  </si>
  <si>
    <t>Forecasted Interest Calculation</t>
  </si>
  <si>
    <t>Total REC Balance to be Recovered</t>
  </si>
  <si>
    <t>goal seek to zero by changing (Rate Design - C9)</t>
  </si>
  <si>
    <t>Gross REC Revenue Amortization Credit</t>
  </si>
  <si>
    <t>REC Revenue Amortization Rates</t>
  </si>
  <si>
    <t>Expected net elec REC Amortization credit</t>
  </si>
  <si>
    <t>Cumulative Balance (Before Interest)</t>
  </si>
  <si>
    <t>Compound</t>
  </si>
  <si>
    <t>REC Revenue Balance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</si>
  <si>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</si>
  <si>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</si>
  <si>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</si>
  <si>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</si>
  <si>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</si>
  <si>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</si>
  <si>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</si>
  <si>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</si>
  <si>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</si>
  <si>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</si>
  <si>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</si>
  <si>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</si>
  <si>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</si>
  <si>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</si>
  <si>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</si>
  <si>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</si>
  <si>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 xml:space="preserve"> Gray shaded box is Confidential per WAC-480-07-160</t>
  </si>
  <si>
    <t>SCHEDULE 1, 2</t>
  </si>
  <si>
    <t>WA001/WA002</t>
  </si>
  <si>
    <t>Residential Schedule 001/002</t>
  </si>
  <si>
    <t xml:space="preserve">Net REC Revenue Amortization Credit </t>
  </si>
  <si>
    <t>Electric Service</t>
  </si>
  <si>
    <t>Current Bill Rate</t>
  </si>
  <si>
    <t>Proposed Bill Rates</t>
  </si>
  <si>
    <t>First 800 Kwh/Month</t>
  </si>
  <si>
    <t>Next 700 Kwh/Month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</si>
  <si>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</si>
  <si>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</si>
  <si>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</si>
  <si>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</si>
  <si>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</si>
  <si>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</si>
  <si>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</si>
  <si>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</si>
  <si>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</si>
  <si>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</si>
  <si>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</si>
  <si>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</si>
  <si>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</si>
  <si>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Over 1,500 Kwh/Month</t>
  </si>
  <si>
    <t>Total Rebate Amount (Grossed Up)</t>
  </si>
  <si>
    <t>Acct 186322</t>
  </si>
  <si>
    <t>Balance Sheet</t>
  </si>
  <si>
    <t>Approved In</t>
  </si>
  <si>
    <t>Morgan Stanley</t>
  </si>
  <si>
    <t>Proposed Change</t>
  </si>
  <si>
    <t>Change in Billed Revenue</t>
  </si>
  <si>
    <r>
      <t>PT Ratio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</si>
  <si>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>Remains consistent with ERM Authorized Power Supply Base</t>
    </r>
  </si>
  <si>
    <t>Plus Bill Impact</t>
  </si>
  <si>
    <t>SCH. 21,22,23</t>
  </si>
  <si>
    <t>SCH. 11,12,13</t>
  </si>
  <si>
    <t>UE-200900</t>
  </si>
  <si>
    <t>Acct 186323</t>
  </si>
  <si>
    <t>WA002</t>
  </si>
  <si>
    <t>WA025I</t>
  </si>
  <si>
    <t>WA023</t>
  </si>
  <si>
    <t>WA013</t>
  </si>
  <si>
    <t>WA011/012/013</t>
  </si>
  <si>
    <t>WA021/022/023</t>
  </si>
  <si>
    <t>Total Projected REC Balance as of June 2023</t>
  </si>
  <si>
    <t>Residential Bill Impact (932 kWh's)</t>
  </si>
  <si>
    <t>Bill at 932 kWhs</t>
  </si>
  <si>
    <t xml:space="preserve">REC Sales Revenue (Net of I-937 RPS) </t>
  </si>
  <si>
    <t>Actual</t>
  </si>
  <si>
    <t>Difference</t>
  </si>
  <si>
    <t>Amortization</t>
  </si>
  <si>
    <t>Beginning Deferral Balance July 1, 2021</t>
  </si>
  <si>
    <t>Forecasted Amortization</t>
  </si>
  <si>
    <t>Forecasted REC Sales Revenue</t>
  </si>
  <si>
    <r>
      <t>Interest and Revenue Conversion Factor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</si>
  <si>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t>($ in millions)</t>
  </si>
  <si>
    <t>11/12/13</t>
  </si>
  <si>
    <t>21/22/23</t>
  </si>
  <si>
    <t>25/25I</t>
  </si>
  <si>
    <t xml:space="preserve">Current Rebate </t>
  </si>
  <si>
    <t>Table 2 - Impact by Rate Schedule</t>
  </si>
  <si>
    <t>Table 1 - Change in REC Rebate</t>
  </si>
  <si>
    <t>12/1/2022 - 12/20/2022</t>
  </si>
  <si>
    <t>12/21/2022 - 12/31/2022</t>
  </si>
  <si>
    <t>Total Wighted Int Rate for December 2022</t>
  </si>
  <si>
    <t>August 1, 2023 through July 31, 2024 Forecasted Loads (input)</t>
  </si>
  <si>
    <t>UE-220053 Cost of Service Study</t>
  </si>
  <si>
    <t>UE-220053</t>
  </si>
  <si>
    <t xml:space="preserve"> UE-220053</t>
  </si>
  <si>
    <t>TWELVE MONTHS ENDED SEPTEMBER 30, 2021 (Effective 12/21/22)</t>
  </si>
  <si>
    <t>Acct 186324</t>
  </si>
  <si>
    <t>EREV Mar Mid-month 03.16.23 Spring Load Update</t>
  </si>
  <si>
    <t>Projected end of July 2023 Balance</t>
  </si>
  <si>
    <t>August 2023 - July 2024 REC Revenue Forecast</t>
  </si>
  <si>
    <t>August 2023- July 2024 Amortization Credit</t>
  </si>
  <si>
    <t>REC Sales</t>
  </si>
  <si>
    <t>WA025/025I</t>
  </si>
  <si>
    <t>SCHEDULE 25/25I</t>
  </si>
  <si>
    <t>Extra Large Gen Schedule 25/25I</t>
  </si>
  <si>
    <r>
      <t>Expected REC Deferral Balance July 31, 2023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</si>
  <si>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r>
      <t>REC Revenue - August 2023 - July 2024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</si>
  <si>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r>
      <t>Total REC Rebate August 2023 - July 2024 (</t>
    </r>
    <r>
      <rPr>
        <u/>
        <sz val="10"/>
        <color theme="1"/>
        <rFont val="Times New Roman"/>
        <family val="1"/>
      </rPr>
      <t>rebate</t>
    </r>
    <r>
      <rPr>
        <sz val="10"/>
        <color theme="1"/>
        <rFont val="Times New Roman"/>
        <family val="1"/>
      </rPr>
      <t>)</t>
    </r>
  </si>
  <si>
    <t>Per 2022 REC Filing</t>
  </si>
  <si>
    <t>Forecasted Ending Deferral Balance July 31, 2023</t>
  </si>
  <si>
    <t>Ending Deferral Balance March 31, 2023</t>
  </si>
  <si>
    <t>Change in REC Rebate (rate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</si>
</sst>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_(* #,##0_);_(* \(#,##0\);_(* &quot;-&quot;??_);_(@_)"/>
    <numFmt numFmtId="170" formatCode="mmm\ yy"/>
    <numFmt numFmtId="171" formatCode="0.000000"/>
    <numFmt numFmtId="172" formatCode="0.0%"/>
    <numFmt numFmtId="173" formatCode="0.00000"/>
    <numFmt numFmtId="174" formatCode="0.0000000"/>
    <numFmt numFmtId="175" formatCode="0.000%"/>
    <numFmt numFmtId="176" formatCode="_(&quot;$&quot;* #,##0.000_);_(&quot;$&quot;* \(#,##0.000\);_(&quot;$&quot;* &quot;-&quot;??_);_(@_)"/>
    <numFmt numFmtId="177" formatCode="_(* #,##0.00000_);_(* \(#,##0.00000\);_(* &quot;-&quot;??_);_(@_)"/>
    <numFmt numFmtId="178" formatCode="0000"/>
    <numFmt numFmtId="179" formatCode="000000"/>
    <numFmt numFmtId="180" formatCode="d\.mmm\.yy"/>
    <numFmt numFmtId="181" formatCode="_-* #,##0.00\ _D_M_-;\-* #,##0.00\ _D_M_-;_-* &quot;-&quot;??\ _D_M_-;_-@_-"/>
    <numFmt numFmtId="182" formatCode="_(* #,##0.000_);_(* \(#,##0.000\);_(* &quot;-&quot;??_);_(@_)"/>
    <numFmt numFmtId="183" formatCode="#.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&quot;$&quot;#,##0\ ;\(&quot;$&quot;#,##0\)"/>
    <numFmt numFmtId="187" formatCode="mmmm\ d\,\ yyyy"/>
    <numFmt numFmtId="188" formatCode="[Blue]#,##0_);[Magenta]\(#,##0\)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0.0000_);\(0.0000\)"/>
    <numFmt numFmtId="192" formatCode="0.00_)"/>
    <numFmt numFmtId="193" formatCode="&quot;$&quot;#,##0;\-&quot;$&quot;#,##0"/>
    <numFmt numFmtId="194" formatCode="_(&quot;$&quot;* #,##0.000000_);_(&quot;$&quot;* \(#,##0.000000\);_(&quot;$&quot;* &quot;-&quot;??????_);_(@_)"/>
    <numFmt numFmtId="195" formatCode="#,##0.00\ ;\(#,##0.00\)"/>
    <numFmt numFmtId="196" formatCode="0\ &quot; HR&quot;"/>
    <numFmt numFmtId="197" formatCode="0000000"/>
    <numFmt numFmtId="198" formatCode="0.0000%"/>
    <numFmt numFmtId="199" formatCode="0.00000%"/>
    <numFmt numFmtId="200" formatCode="mmm\-yyyy"/>
    <numFmt numFmtId="201" formatCode="m/yy"/>
    <numFmt numFmtId="202" formatCode="_(&quot;$&quot;* #,##0.0000_);_(&quot;$&quot;* \(#,##0.0000\);_(&quot;$&quot;* &quot;-&quot;????_);_(@_)"/>
    <numFmt numFmtId="203" formatCode="_(* #,##0.0_);_(* \(#,##0.0\);_(* &quot;-&quot;_);_(@_)"/>
    <numFmt numFmtId="204" formatCode="_(* #,##0.0_);_(* \(#,##0.0\);_(* &quot;-&quot;??_);_(@_)"/>
  </numFmts>
  <fonts count="1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10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490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56" fillId="0" borderId="0">
      <alignment readingOrder="1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6" fillId="0" borderId="0">
      <alignment readingOrder="1"/>
    </xf>
    <xf numFmtId="0" fontId="9" fillId="0" borderId="0"/>
    <xf numFmtId="3" fontId="18" fillId="0" borderId="0"/>
    <xf numFmtId="3" fontId="18" fillId="0" borderId="0"/>
    <xf numFmtId="0" fontId="1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4" fillId="0" borderId="0"/>
    <xf numFmtId="44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65" fillId="0" borderId="0"/>
    <xf numFmtId="0" fontId="65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65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65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0" fontId="65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65" fillId="0" borderId="0"/>
    <xf numFmtId="0" fontId="65" fillId="0" borderId="0"/>
    <xf numFmtId="0" fontId="65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65" fillId="0" borderId="0"/>
    <xf numFmtId="0" fontId="65" fillId="0" borderId="0"/>
    <xf numFmtId="178" fontId="67" fillId="0" borderId="0">
      <alignment horizontal="left"/>
    </xf>
    <xf numFmtId="179" fontId="68" fillId="0" borderId="0">
      <alignment horizontal="left"/>
    </xf>
    <xf numFmtId="0" fontId="69" fillId="0" borderId="34"/>
    <xf numFmtId="0" fontId="70" fillId="0" borderId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171" fontId="66" fillId="0" borderId="0">
      <alignment horizontal="left" wrapText="1"/>
    </xf>
    <xf numFmtId="0" fontId="71" fillId="3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171" fontId="66" fillId="0" borderId="0">
      <alignment horizontal="left" wrapText="1"/>
    </xf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71" fillId="38" borderId="0" applyNumberFormat="0" applyBorder="0" applyAlignment="0" applyProtection="0"/>
    <xf numFmtId="171" fontId="66" fillId="0" borderId="0">
      <alignment horizontal="left" wrapText="1"/>
    </xf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171" fontId="66" fillId="0" borderId="0">
      <alignment horizontal="left" wrapText="1"/>
    </xf>
    <xf numFmtId="0" fontId="71" fillId="4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171" fontId="66" fillId="0" borderId="0">
      <alignment horizontal="left" wrapText="1"/>
    </xf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71" fillId="40" borderId="0" applyNumberFormat="0" applyBorder="0" applyAlignment="0" applyProtection="0"/>
    <xf numFmtId="171" fontId="66" fillId="0" borderId="0">
      <alignment horizontal="left" wrapText="1"/>
    </xf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171" fontId="66" fillId="0" borderId="0">
      <alignment horizontal="left" wrapText="1"/>
    </xf>
    <xf numFmtId="0" fontId="71" fillId="4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1" fontId="66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71" fillId="42" borderId="0" applyNumberFormat="0" applyBorder="0" applyAlignment="0" applyProtection="0"/>
    <xf numFmtId="171" fontId="66" fillId="0" borderId="0">
      <alignment horizontal="left" wrapText="1"/>
    </xf>
    <xf numFmtId="0" fontId="7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171" fontId="66" fillId="0" borderId="0">
      <alignment horizontal="left" wrapText="1"/>
    </xf>
    <xf numFmtId="0" fontId="71" fillId="4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171" fontId="66" fillId="0" borderId="0">
      <alignment horizontal="left" wrapText="1"/>
    </xf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71" fillId="44" borderId="0" applyNumberFormat="0" applyBorder="0" applyAlignment="0" applyProtection="0"/>
    <xf numFmtId="171" fontId="66" fillId="0" borderId="0">
      <alignment horizontal="left" wrapText="1"/>
    </xf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171" fontId="66" fillId="0" borderId="0">
      <alignment horizontal="left" wrapText="1"/>
    </xf>
    <xf numFmtId="0" fontId="71" fillId="4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71" fillId="4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171" fontId="66" fillId="0" borderId="0">
      <alignment horizontal="left" wrapText="1"/>
    </xf>
    <xf numFmtId="0" fontId="71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1" fontId="66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71" fillId="45" borderId="0" applyNumberFormat="0" applyBorder="0" applyAlignment="0" applyProtection="0"/>
    <xf numFmtId="171" fontId="66" fillId="0" borderId="0">
      <alignment horizontal="left" wrapText="1"/>
    </xf>
    <xf numFmtId="0" fontId="71" fillId="45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171" fontId="66" fillId="0" borderId="0">
      <alignment horizontal="left" wrapText="1"/>
    </xf>
    <xf numFmtId="0" fontId="71" fillId="3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171" fontId="66" fillId="0" borderId="0">
      <alignment horizontal="left" wrapText="1"/>
    </xf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71" fillId="39" borderId="0" applyNumberFormat="0" applyBorder="0" applyAlignment="0" applyProtection="0"/>
    <xf numFmtId="171" fontId="66" fillId="0" borderId="0">
      <alignment horizontal="left" wrapText="1"/>
    </xf>
    <xf numFmtId="0" fontId="71" fillId="39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171" fontId="66" fillId="0" borderId="0">
      <alignment horizontal="left" wrapText="1"/>
    </xf>
    <xf numFmtId="0" fontId="71" fillId="4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1" fillId="4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171" fontId="66" fillId="0" borderId="0">
      <alignment horizontal="left" wrapText="1"/>
    </xf>
    <xf numFmtId="0" fontId="71" fillId="4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171" fontId="66" fillId="0" borderId="0">
      <alignment horizontal="left" wrapText="1"/>
    </xf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71" fillId="47" borderId="0" applyNumberFormat="0" applyBorder="0" applyAlignment="0" applyProtection="0"/>
    <xf numFmtId="171" fontId="66" fillId="0" borderId="0">
      <alignment horizontal="left" wrapText="1"/>
    </xf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171" fontId="66" fillId="0" borderId="0">
      <alignment horizontal="left" wrapText="1"/>
    </xf>
    <xf numFmtId="0" fontId="71" fillId="44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71" fontId="66" fillId="0" borderId="0">
      <alignment horizontal="left" wrapText="1"/>
    </xf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71" fillId="44" borderId="0" applyNumberFormat="0" applyBorder="0" applyAlignment="0" applyProtection="0"/>
    <xf numFmtId="171" fontId="66" fillId="0" borderId="0">
      <alignment horizontal="left" wrapText="1"/>
    </xf>
    <xf numFmtId="0" fontId="71" fillId="44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171" fontId="66" fillId="0" borderId="0">
      <alignment horizontal="left" wrapText="1"/>
    </xf>
    <xf numFmtId="0" fontId="7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171" fontId="66" fillId="0" borderId="0">
      <alignment horizontal="left" wrapText="1"/>
    </xf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71" fillId="39" borderId="0" applyNumberFormat="0" applyBorder="0" applyAlignment="0" applyProtection="0"/>
    <xf numFmtId="171" fontId="66" fillId="0" borderId="0">
      <alignment horizontal="left" wrapText="1"/>
    </xf>
    <xf numFmtId="0" fontId="71" fillId="39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171" fontId="66" fillId="0" borderId="0">
      <alignment horizontal="left" wrapText="1"/>
    </xf>
    <xf numFmtId="0" fontId="71" fillId="49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171" fontId="66" fillId="0" borderId="0">
      <alignment horizontal="left" wrapText="1"/>
    </xf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71" fillId="49" borderId="0" applyNumberFormat="0" applyBorder="0" applyAlignment="0" applyProtection="0"/>
    <xf numFmtId="171" fontId="66" fillId="0" borderId="0">
      <alignment horizontal="left" wrapText="1"/>
    </xf>
    <xf numFmtId="0" fontId="71" fillId="49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33" fillId="16" borderId="0" applyNumberFormat="0" applyBorder="0" applyAlignment="0" applyProtection="0"/>
    <xf numFmtId="0" fontId="33" fillId="46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33" fillId="20" borderId="0" applyNumberFormat="0" applyBorder="0" applyAlignment="0" applyProtection="0"/>
    <xf numFmtId="0" fontId="33" fillId="51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2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33" fillId="24" borderId="0" applyNumberFormat="0" applyBorder="0" applyAlignment="0" applyProtection="0"/>
    <xf numFmtId="0" fontId="33" fillId="49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33" fillId="28" borderId="0" applyNumberFormat="0" applyBorder="0" applyAlignment="0" applyProtection="0"/>
    <xf numFmtId="0" fontId="33" fillId="40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2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33" fillId="32" borderId="0" applyNumberFormat="0" applyBorder="0" applyAlignment="0" applyProtection="0"/>
    <xf numFmtId="0" fontId="33" fillId="46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2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2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33" fillId="13" borderId="0" applyNumberFormat="0" applyBorder="0" applyAlignment="0" applyProtection="0"/>
    <xf numFmtId="0" fontId="33" fillId="59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33" fillId="13" borderId="0" applyNumberFormat="0" applyBorder="0" applyAlignment="0" applyProtection="0"/>
    <xf numFmtId="0" fontId="33" fillId="59" borderId="0" applyNumberFormat="0" applyBorder="0" applyAlignment="0" applyProtection="0"/>
    <xf numFmtId="171" fontId="66" fillId="0" borderId="0">
      <alignment horizontal="left" wrapText="1"/>
    </xf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33" fillId="17" borderId="0" applyNumberFormat="0" applyBorder="0" applyAlignment="0" applyProtection="0"/>
    <xf numFmtId="0" fontId="33" fillId="51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33" fillId="17" borderId="0" applyNumberFormat="0" applyBorder="0" applyAlignment="0" applyProtection="0"/>
    <xf numFmtId="0" fontId="33" fillId="51" borderId="0" applyNumberFormat="0" applyBorder="0" applyAlignment="0" applyProtection="0"/>
    <xf numFmtId="171" fontId="66" fillId="0" borderId="0">
      <alignment horizontal="left" wrapText="1"/>
    </xf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1" fillId="64" borderId="0" applyNumberFormat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0" fontId="72" fillId="66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33" fillId="21" borderId="0" applyNumberFormat="0" applyBorder="0" applyAlignment="0" applyProtection="0"/>
    <xf numFmtId="0" fontId="33" fillId="49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33" fillId="21" borderId="0" applyNumberFormat="0" applyBorder="0" applyAlignment="0" applyProtection="0"/>
    <xf numFmtId="0" fontId="33" fillId="49" borderId="0" applyNumberFormat="0" applyBorder="0" applyAlignment="0" applyProtection="0"/>
    <xf numFmtId="171" fontId="66" fillId="0" borderId="0">
      <alignment horizontal="left" wrapText="1"/>
    </xf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71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33" fillId="25" borderId="0" applyNumberFormat="0" applyBorder="0" applyAlignment="0" applyProtection="0"/>
    <xf numFmtId="0" fontId="33" fillId="68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33" fillId="25" borderId="0" applyNumberFormat="0" applyBorder="0" applyAlignment="0" applyProtection="0"/>
    <xf numFmtId="0" fontId="33" fillId="68" borderId="0" applyNumberFormat="0" applyBorder="0" applyAlignment="0" applyProtection="0"/>
    <xf numFmtId="171" fontId="66" fillId="0" borderId="0">
      <alignment horizontal="left" wrapText="1"/>
    </xf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2" fillId="5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171" fontId="66" fillId="0" borderId="0">
      <alignment horizontal="left" wrapText="1"/>
    </xf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33" fillId="2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71" fillId="69" borderId="0" applyNumberFormat="0" applyBorder="0" applyAlignment="0" applyProtection="0"/>
    <xf numFmtId="0" fontId="71" fillId="69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2" fillId="70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33" fillId="33" borderId="0" applyNumberFormat="0" applyBorder="0" applyAlignment="0" applyProtection="0"/>
    <xf numFmtId="0" fontId="33" fillId="63" borderId="0" applyNumberFormat="0" applyBorder="0" applyAlignment="0" applyProtection="0"/>
    <xf numFmtId="171" fontId="66" fillId="0" borderId="0">
      <alignment horizontal="left" wrapText="1"/>
    </xf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50" fillId="7" borderId="0" applyNumberFormat="0" applyBorder="0" applyAlignment="0" applyProtection="0"/>
    <xf numFmtId="0" fontId="50" fillId="44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3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68" fillId="0" borderId="0" applyFont="0" applyFill="0" applyBorder="0" applyAlignment="0" applyProtection="0">
      <alignment horizontal="right"/>
    </xf>
    <xf numFmtId="0" fontId="70" fillId="0" borderId="34"/>
    <xf numFmtId="180" fontId="74" fillId="0" borderId="0" applyFill="0" applyBorder="0" applyAlignment="0"/>
    <xf numFmtId="180" fontId="74" fillId="0" borderId="0" applyFill="0" applyBorder="0" applyAlignment="0"/>
    <xf numFmtId="171" fontId="66" fillId="0" borderId="0">
      <alignment horizontal="left" wrapText="1"/>
    </xf>
    <xf numFmtId="171" fontId="66" fillId="0" borderId="0">
      <alignment horizontal="left" wrapText="1"/>
    </xf>
    <xf numFmtId="180" fontId="74" fillId="0" borderId="0" applyFill="0" applyBorder="0" applyAlignment="0"/>
    <xf numFmtId="41" fontId="19" fillId="71" borderId="0"/>
    <xf numFmtId="0" fontId="75" fillId="72" borderId="35" applyNumberFormat="0" applyAlignment="0" applyProtection="0"/>
    <xf numFmtId="171" fontId="66" fillId="0" borderId="0">
      <alignment horizontal="left" wrapText="1"/>
    </xf>
    <xf numFmtId="0" fontId="75" fillId="72" borderId="35" applyNumberFormat="0" applyAlignment="0" applyProtection="0"/>
    <xf numFmtId="0" fontId="53" fillId="10" borderId="28" applyNumberFormat="0" applyAlignment="0" applyProtection="0"/>
    <xf numFmtId="0" fontId="76" fillId="73" borderId="28" applyNumberFormat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1" fontId="19" fillId="71" borderId="0"/>
    <xf numFmtId="171" fontId="66" fillId="0" borderId="0">
      <alignment horizontal="left" wrapText="1"/>
    </xf>
    <xf numFmtId="41" fontId="19" fillId="71" borderId="0"/>
    <xf numFmtId="0" fontId="53" fillId="10" borderId="28" applyNumberFormat="0" applyAlignment="0" applyProtection="0"/>
    <xf numFmtId="0" fontId="76" fillId="73" borderId="28" applyNumberFormat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1" fontId="19" fillId="71" borderId="0"/>
    <xf numFmtId="41" fontId="19" fillId="71" borderId="0"/>
    <xf numFmtId="171" fontId="66" fillId="0" borderId="0">
      <alignment horizontal="left" wrapText="1"/>
    </xf>
    <xf numFmtId="41" fontId="19" fillId="71" borderId="0"/>
    <xf numFmtId="171" fontId="66" fillId="0" borderId="0">
      <alignment horizontal="left" wrapText="1"/>
    </xf>
    <xf numFmtId="41" fontId="19" fillId="71" borderId="0"/>
    <xf numFmtId="171" fontId="66" fillId="0" borderId="0">
      <alignment horizontal="left" wrapText="1"/>
    </xf>
    <xf numFmtId="41" fontId="19" fillId="71" borderId="0"/>
    <xf numFmtId="171" fontId="66" fillId="0" borderId="0">
      <alignment horizontal="left" wrapText="1"/>
    </xf>
    <xf numFmtId="41" fontId="19" fillId="71" borderId="0"/>
    <xf numFmtId="41" fontId="19" fillId="71" borderId="0"/>
    <xf numFmtId="41" fontId="19" fillId="71" borderId="0"/>
    <xf numFmtId="0" fontId="76" fillId="73" borderId="28" applyNumberFormat="0" applyAlignment="0" applyProtection="0"/>
    <xf numFmtId="0" fontId="53" fillId="10" borderId="28" applyNumberFormat="0" applyAlignment="0" applyProtection="0"/>
    <xf numFmtId="0" fontId="77" fillId="74" borderId="36" applyNumberFormat="0" applyAlignment="0" applyProtection="0"/>
    <xf numFmtId="0" fontId="77" fillId="74" borderId="36" applyNumberFormat="0" applyAlignment="0" applyProtection="0"/>
    <xf numFmtId="171" fontId="66" fillId="0" borderId="0">
      <alignment horizontal="left" wrapText="1"/>
    </xf>
    <xf numFmtId="0" fontId="77" fillId="74" borderId="36" applyNumberFormat="0" applyAlignment="0" applyProtection="0"/>
    <xf numFmtId="171" fontId="66" fillId="0" borderId="0">
      <alignment horizontal="left" wrapText="1"/>
    </xf>
    <xf numFmtId="0" fontId="34" fillId="11" borderId="31" applyNumberFormat="0" applyAlignment="0" applyProtection="0"/>
    <xf numFmtId="0" fontId="77" fillId="74" borderId="36" applyNumberFormat="0" applyAlignment="0" applyProtection="0"/>
    <xf numFmtId="41" fontId="19" fillId="37" borderId="0"/>
    <xf numFmtId="41" fontId="19" fillId="37" borderId="0"/>
    <xf numFmtId="171" fontId="66" fillId="0" borderId="0">
      <alignment horizontal="left" wrapText="1"/>
    </xf>
    <xf numFmtId="41" fontId="19" fillId="37" borderId="0"/>
    <xf numFmtId="41" fontId="19" fillId="37" borderId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78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0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18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7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3" fontId="71" fillId="0" borderId="0" applyFont="0" applyFill="0" applyBorder="0" applyAlignment="0" applyProtection="0"/>
    <xf numFmtId="171" fontId="66" fillId="0" borderId="0">
      <alignment horizontal="left" wrapText="1"/>
    </xf>
    <xf numFmtId="43" fontId="71" fillId="0" borderId="0" applyFont="0" applyFill="0" applyBorder="0" applyAlignment="0" applyProtection="0"/>
    <xf numFmtId="171" fontId="66" fillId="0" borderId="0">
      <alignment horizontal="left" wrapText="1"/>
    </xf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6" fillId="0" borderId="0">
      <alignment horizontal="left" wrapText="1"/>
    </xf>
    <xf numFmtId="43" fontId="19" fillId="0" borderId="0" applyFont="0" applyFill="0" applyBorder="0" applyAlignment="0" applyProtection="0"/>
    <xf numFmtId="3" fontId="81" fillId="0" borderId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171" fontId="66" fillId="0" borderId="0">
      <alignment horizontal="left" wrapText="1"/>
    </xf>
    <xf numFmtId="3" fontId="81" fillId="0" borderId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183" fontId="88" fillId="0" borderId="0">
      <protection locked="0"/>
    </xf>
    <xf numFmtId="0" fontId="84" fillId="0" borderId="0"/>
    <xf numFmtId="0" fontId="85" fillId="0" borderId="0"/>
    <xf numFmtId="0" fontId="85" fillId="0" borderId="0"/>
    <xf numFmtId="0" fontId="84" fillId="0" borderId="0"/>
    <xf numFmtId="0" fontId="83" fillId="0" borderId="0"/>
    <xf numFmtId="0" fontId="85" fillId="0" borderId="0"/>
    <xf numFmtId="0" fontId="89" fillId="0" borderId="0" applyNumberFormat="0" applyAlignment="0">
      <alignment horizontal="left"/>
    </xf>
    <xf numFmtId="0" fontId="89" fillId="0" borderId="0" applyNumberFormat="0" applyAlignment="0">
      <alignment horizontal="left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89" fillId="0" borderId="0" applyNumberFormat="0" applyAlignment="0">
      <alignment horizontal="left"/>
    </xf>
    <xf numFmtId="0" fontId="90" fillId="0" borderId="0" applyNumberFormat="0" applyAlignment="0"/>
    <xf numFmtId="0" fontId="90" fillId="0" borderId="0" applyNumberFormat="0" applyAlignment="0"/>
    <xf numFmtId="171" fontId="66" fillId="0" borderId="0">
      <alignment horizontal="left" wrapText="1"/>
    </xf>
    <xf numFmtId="171" fontId="66" fillId="0" borderId="0">
      <alignment horizontal="left" wrapText="1"/>
    </xf>
    <xf numFmtId="0" fontId="90" fillId="0" borderId="0" applyNumberFormat="0" applyAlignment="0"/>
    <xf numFmtId="0" fontId="82" fillId="0" borderId="0"/>
    <xf numFmtId="0" fontId="82" fillId="0" borderId="0"/>
    <xf numFmtId="0" fontId="84" fillId="0" borderId="0"/>
    <xf numFmtId="0" fontId="85" fillId="0" borderId="0"/>
    <xf numFmtId="0" fontId="85" fillId="0" borderId="0"/>
    <xf numFmtId="0" fontId="84" fillId="0" borderId="0"/>
    <xf numFmtId="0" fontId="83" fillId="0" borderId="0"/>
    <xf numFmtId="0" fontId="85" fillId="0" borderId="0"/>
    <xf numFmtId="0" fontId="82" fillId="0" borderId="0"/>
    <xf numFmtId="0" fontId="82" fillId="0" borderId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91" fillId="0" borderId="0" applyFont="0" applyFill="0" applyBorder="0" applyAlignment="0" applyProtection="0"/>
    <xf numFmtId="44" fontId="92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8" fontId="8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66" fillId="0" borderId="0">
      <alignment horizontal="left" wrapText="1"/>
    </xf>
    <xf numFmtId="44" fontId="7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8" fontId="78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71" fontId="66" fillId="0" borderId="0">
      <alignment horizontal="left" wrapText="1"/>
    </xf>
    <xf numFmtId="184" fontId="19" fillId="0" borderId="0" applyFont="0" applyFill="0" applyBorder="0" applyAlignment="0" applyProtection="0"/>
    <xf numFmtId="171" fontId="66" fillId="0" borderId="0">
      <alignment horizontal="left" wrapText="1"/>
    </xf>
    <xf numFmtId="18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8" fontId="7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4" fontId="71" fillId="0" borderId="0" applyFont="0" applyFill="0" applyBorder="0" applyAlignment="0" applyProtection="0"/>
    <xf numFmtId="171" fontId="66" fillId="0" borderId="0">
      <alignment horizontal="left" wrapText="1"/>
    </xf>
    <xf numFmtId="44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44" fontId="71" fillId="0" borderId="0" applyFont="0" applyFill="0" applyBorder="0" applyAlignment="0" applyProtection="0"/>
    <xf numFmtId="171" fontId="66" fillId="0" borderId="0">
      <alignment horizontal="left" wrapText="1"/>
    </xf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4" fontId="9" fillId="0" borderId="0" applyFont="0" applyFill="0" applyBorder="0" applyAlignment="0" applyProtection="0"/>
    <xf numFmtId="44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4" fontId="71" fillId="0" borderId="0" applyFont="0" applyFill="0" applyBorder="0" applyAlignment="0" applyProtection="0"/>
    <xf numFmtId="171" fontId="66" fillId="0" borderId="0">
      <alignment horizontal="left" wrapText="1"/>
    </xf>
    <xf numFmtId="44" fontId="71" fillId="0" borderId="0" applyFont="0" applyFill="0" applyBorder="0" applyAlignment="0" applyProtection="0"/>
    <xf numFmtId="171" fontId="66" fillId="0" borderId="0">
      <alignment horizontal="left" wrapText="1"/>
    </xf>
    <xf numFmtId="44" fontId="71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66" fillId="0" borderId="0">
      <alignment horizontal="left" wrapText="1"/>
    </xf>
    <xf numFmtId="44" fontId="19" fillId="0" borderId="0" applyFont="0" applyFill="0" applyBorder="0" applyAlignment="0" applyProtection="0"/>
    <xf numFmtId="5" fontId="81" fillId="0" borderId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85" fontId="19" fillId="0" borderId="0" applyFont="0" applyFill="0" applyBorder="0" applyAlignment="0" applyProtection="0"/>
    <xf numFmtId="186" fontId="9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71" fontId="66" fillId="0" borderId="0">
      <alignment horizontal="left" wrapText="1"/>
    </xf>
    <xf numFmtId="5" fontId="81" fillId="0" borderId="0" applyFill="0" applyBorder="0" applyAlignment="0" applyProtection="0"/>
    <xf numFmtId="185" fontId="19" fillId="0" borderId="0" applyFont="0" applyFill="0" applyBorder="0" applyAlignment="0" applyProtection="0"/>
    <xf numFmtId="186" fontId="81" fillId="0" borderId="0" applyFont="0" applyFill="0" applyBorder="0" applyAlignment="0" applyProtection="0"/>
    <xf numFmtId="5" fontId="81" fillId="0" borderId="0" applyFill="0" applyBorder="0" applyAlignment="0" applyProtection="0"/>
    <xf numFmtId="185" fontId="19" fillId="0" borderId="0" applyFont="0" applyFill="0" applyBorder="0" applyAlignment="0" applyProtection="0"/>
    <xf numFmtId="187" fontId="81" fillId="0" borderId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6" fillId="0" borderId="0" applyFont="0" applyFill="0" applyBorder="0" applyAlignment="0" applyProtection="0"/>
    <xf numFmtId="171" fontId="66" fillId="0" borderId="0">
      <alignment horizontal="left" wrapText="1"/>
    </xf>
    <xf numFmtId="187" fontId="81" fillId="0" borderId="0" applyFill="0" applyBorder="0" applyAlignment="0" applyProtection="0"/>
    <xf numFmtId="0" fontId="86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81" fillId="0" borderId="0" applyFill="0" applyBorder="0" applyAlignment="0" applyProtection="0"/>
    <xf numFmtId="0" fontId="93" fillId="0" borderId="0" applyFont="0" applyFill="0" applyBorder="0" applyAlignment="0" applyProtection="0"/>
    <xf numFmtId="0" fontId="70" fillId="0" borderId="0"/>
    <xf numFmtId="0" fontId="94" fillId="75" borderId="0" applyNumberFormat="0" applyBorder="0" applyAlignment="0" applyProtection="0"/>
    <xf numFmtId="0" fontId="94" fillId="75" borderId="0" applyNumberFormat="0" applyBorder="0" applyAlignment="0" applyProtection="0"/>
    <xf numFmtId="0" fontId="94" fillId="76" borderId="0" applyNumberFormat="0" applyBorder="0" applyAlignment="0" applyProtection="0"/>
    <xf numFmtId="0" fontId="94" fillId="76" borderId="0" applyNumberFormat="0" applyBorder="0" applyAlignment="0" applyProtection="0"/>
    <xf numFmtId="0" fontId="94" fillId="77" borderId="0" applyNumberFormat="0" applyBorder="0" applyAlignment="0" applyProtection="0"/>
    <xf numFmtId="0" fontId="94" fillId="77" borderId="0" applyNumberFormat="0" applyBorder="0" applyAlignment="0" applyProtection="0"/>
    <xf numFmtId="171" fontId="19" fillId="0" borderId="0"/>
    <xf numFmtId="171" fontId="19" fillId="0" borderId="0"/>
    <xf numFmtId="171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/>
    <xf numFmtId="171" fontId="19" fillId="0" borderId="0"/>
    <xf numFmtId="171" fontId="66" fillId="0" borderId="0">
      <alignment horizontal="left" wrapText="1"/>
    </xf>
    <xf numFmtId="171" fontId="19" fillId="0" borderId="0"/>
    <xf numFmtId="171" fontId="66" fillId="0" borderId="0">
      <alignment horizontal="left" wrapText="1"/>
    </xf>
    <xf numFmtId="171" fontId="19" fillId="0" borderId="0"/>
    <xf numFmtId="171" fontId="66" fillId="0" borderId="0">
      <alignment horizontal="left" wrapText="1"/>
    </xf>
    <xf numFmtId="188" fontId="95" fillId="0" borderId="0"/>
    <xf numFmtId="171" fontId="66" fillId="0" borderId="0">
      <alignment horizontal="left" wrapText="1"/>
    </xf>
    <xf numFmtId="171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/>
    <xf numFmtId="171" fontId="19" fillId="0" borderId="0"/>
    <xf numFmtId="171" fontId="19" fillId="0" borderId="0"/>
    <xf numFmtId="189" fontId="19" fillId="0" borderId="0" applyFont="0" applyFill="0" applyBorder="0" applyAlignment="0" applyProtection="0">
      <alignment horizontal="left" wrapText="1"/>
    </xf>
    <xf numFmtId="189" fontId="19" fillId="0" borderId="0" applyFont="0" applyFill="0" applyBorder="0" applyAlignment="0" applyProtection="0">
      <alignment horizontal="left" wrapText="1"/>
    </xf>
    <xf numFmtId="189" fontId="19" fillId="0" borderId="0" applyFont="0" applyFill="0" applyBorder="0" applyAlignment="0" applyProtection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89" fontId="19" fillId="0" borderId="0" applyFont="0" applyFill="0" applyBorder="0" applyAlignment="0" applyProtection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89" fontId="19" fillId="0" borderId="0" applyFont="0" applyFill="0" applyBorder="0" applyAlignment="0" applyProtection="0">
      <alignment horizontal="left"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1" fontId="66" fillId="0" borderId="0">
      <alignment horizontal="left" wrapText="1"/>
    </xf>
    <xf numFmtId="0" fontId="5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1" fillId="0" borderId="0" applyFill="0" applyBorder="0" applyAlignment="0" applyProtection="0"/>
    <xf numFmtId="2" fontId="86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2" fontId="81" fillId="0" borderId="0" applyFont="0" applyFill="0" applyBorder="0" applyAlignment="0" applyProtection="0"/>
    <xf numFmtId="2" fontId="81" fillId="0" borderId="0" applyFont="0" applyFill="0" applyBorder="0" applyAlignment="0" applyProtection="0"/>
    <xf numFmtId="2" fontId="81" fillId="0" borderId="0" applyFill="0" applyBorder="0" applyAlignment="0" applyProtection="0"/>
    <xf numFmtId="2" fontId="86" fillId="0" borderId="0" applyFont="0" applyFill="0" applyBorder="0" applyAlignment="0" applyProtection="0"/>
    <xf numFmtId="0" fontId="82" fillId="0" borderId="0"/>
    <xf numFmtId="0" fontId="82" fillId="0" borderId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97" fillId="42" borderId="0" applyNumberFormat="0" applyBorder="0" applyAlignment="0" applyProtection="0"/>
    <xf numFmtId="0" fontId="49" fillId="6" borderId="0" applyNumberFormat="0" applyBorder="0" applyAlignment="0" applyProtection="0"/>
    <xf numFmtId="0" fontId="49" fillId="46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97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171" fontId="66" fillId="0" borderId="0">
      <alignment horizontal="left" wrapText="1"/>
    </xf>
    <xf numFmtId="38" fontId="61" fillId="37" borderId="0" applyNumberFormat="0" applyBorder="0" applyAlignment="0" applyProtection="0"/>
    <xf numFmtId="0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38" fontId="61" fillId="37" borderId="0" applyNumberFormat="0" applyBorder="0" applyAlignment="0" applyProtection="0"/>
    <xf numFmtId="0" fontId="98" fillId="0" borderId="34"/>
    <xf numFmtId="190" fontId="59" fillId="0" borderId="0" applyNumberFormat="0" applyFill="0" applyBorder="0" applyProtection="0">
      <alignment horizontal="right"/>
    </xf>
    <xf numFmtId="0" fontId="99" fillId="0" borderId="2" applyNumberFormat="0" applyAlignment="0" applyProtection="0">
      <alignment horizontal="left"/>
    </xf>
    <xf numFmtId="0" fontId="99" fillId="0" borderId="2" applyNumberFormat="0" applyAlignment="0" applyProtection="0">
      <alignment horizontal="left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99" fillId="0" borderId="2" applyNumberFormat="0" applyAlignment="0" applyProtection="0">
      <alignment horizontal="left"/>
    </xf>
    <xf numFmtId="171" fontId="66" fillId="0" borderId="0">
      <alignment horizontal="left" wrapText="1"/>
    </xf>
    <xf numFmtId="0" fontId="99" fillId="0" borderId="16">
      <alignment horizontal="left"/>
    </xf>
    <xf numFmtId="0" fontId="99" fillId="0" borderId="16">
      <alignment horizontal="left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99" fillId="0" borderId="16">
      <alignment horizontal="left"/>
    </xf>
    <xf numFmtId="0" fontId="99" fillId="0" borderId="16">
      <alignment horizontal="left"/>
    </xf>
    <xf numFmtId="171" fontId="66" fillId="0" borderId="0">
      <alignment horizontal="left" wrapText="1"/>
    </xf>
    <xf numFmtId="14" fontId="58" fillId="78" borderId="37">
      <alignment horizontal="center" vertical="center" wrapText="1"/>
    </xf>
    <xf numFmtId="0" fontId="86" fillId="0" borderId="0" applyNumberFormat="0" applyFill="0" applyBorder="0" applyAlignment="0" applyProtection="0"/>
    <xf numFmtId="0" fontId="100" fillId="0" borderId="38" applyNumberFormat="0" applyFill="0" applyAlignment="0" applyProtection="0"/>
    <xf numFmtId="0" fontId="100" fillId="0" borderId="38" applyNumberFormat="0" applyFill="0" applyAlignment="0" applyProtection="0"/>
    <xf numFmtId="0" fontId="46" fillId="0" borderId="25" applyNumberFormat="0" applyFill="0" applyAlignment="0" applyProtection="0"/>
    <xf numFmtId="0" fontId="101" fillId="0" borderId="39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01" fillId="0" borderId="39" applyNumberFormat="0" applyFill="0" applyAlignment="0" applyProtection="0"/>
    <xf numFmtId="0" fontId="46" fillId="0" borderId="25" applyNumberFormat="0" applyFill="0" applyAlignment="0" applyProtection="0"/>
    <xf numFmtId="0" fontId="101" fillId="0" borderId="39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02" fillId="0" borderId="0" applyNumberFormat="0" applyFill="0" applyBorder="0" applyAlignment="0" applyProtection="0"/>
    <xf numFmtId="171" fontId="66" fillId="0" borderId="0">
      <alignment horizontal="left" wrapText="1"/>
    </xf>
    <xf numFmtId="0" fontId="101" fillId="0" borderId="39" applyNumberFormat="0" applyFill="0" applyAlignment="0" applyProtection="0"/>
    <xf numFmtId="0" fontId="102" fillId="0" borderId="0" applyNumberFormat="0" applyFill="0" applyBorder="0" applyAlignment="0" applyProtection="0"/>
    <xf numFmtId="0" fontId="101" fillId="0" borderId="39" applyNumberFormat="0" applyFill="0" applyAlignment="0" applyProtection="0"/>
    <xf numFmtId="0" fontId="46" fillId="0" borderId="25" applyNumberFormat="0" applyFill="0" applyAlignment="0" applyProtection="0"/>
    <xf numFmtId="0" fontId="86" fillId="0" borderId="0" applyNumberFormat="0" applyFill="0" applyBorder="0" applyAlignment="0" applyProtection="0"/>
    <xf numFmtId="0" fontId="103" fillId="0" borderId="40" applyNumberFormat="0" applyFill="0" applyAlignment="0" applyProtection="0"/>
    <xf numFmtId="0" fontId="103" fillId="0" borderId="40" applyNumberFormat="0" applyFill="0" applyAlignment="0" applyProtection="0"/>
    <xf numFmtId="0" fontId="47" fillId="0" borderId="26" applyNumberFormat="0" applyFill="0" applyAlignment="0" applyProtection="0"/>
    <xf numFmtId="0" fontId="104" fillId="0" borderId="41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04" fillId="0" borderId="41" applyNumberFormat="0" applyFill="0" applyAlignment="0" applyProtection="0"/>
    <xf numFmtId="0" fontId="47" fillId="0" borderId="26" applyNumberFormat="0" applyFill="0" applyAlignment="0" applyProtection="0"/>
    <xf numFmtId="0" fontId="104" fillId="0" borderId="41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61" fillId="0" borderId="0" applyNumberFormat="0" applyFill="0" applyBorder="0" applyAlignment="0" applyProtection="0"/>
    <xf numFmtId="171" fontId="66" fillId="0" borderId="0">
      <alignment horizontal="left" wrapText="1"/>
    </xf>
    <xf numFmtId="0" fontId="104" fillId="0" borderId="41" applyNumberFormat="0" applyFill="0" applyAlignment="0" applyProtection="0"/>
    <xf numFmtId="0" fontId="61" fillId="0" borderId="0" applyNumberFormat="0" applyFill="0" applyBorder="0" applyAlignment="0" applyProtection="0"/>
    <xf numFmtId="0" fontId="104" fillId="0" borderId="41" applyNumberFormat="0" applyFill="0" applyAlignment="0" applyProtection="0"/>
    <xf numFmtId="0" fontId="47" fillId="0" borderId="26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48" fillId="0" borderId="27" applyNumberFormat="0" applyFill="0" applyAlignment="0" applyProtection="0"/>
    <xf numFmtId="0" fontId="106" fillId="0" borderId="43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8" fontId="107" fillId="0" borderId="0"/>
    <xf numFmtId="38" fontId="107" fillId="0" borderId="0"/>
    <xf numFmtId="38" fontId="107" fillId="0" borderId="0"/>
    <xf numFmtId="38" fontId="107" fillId="0" borderId="0"/>
    <xf numFmtId="171" fontId="66" fillId="0" borderId="0">
      <alignment horizontal="left" wrapText="1"/>
    </xf>
    <xf numFmtId="0" fontId="107" fillId="0" borderId="0"/>
    <xf numFmtId="0" fontId="107" fillId="0" borderId="0"/>
    <xf numFmtId="0" fontId="107" fillId="0" borderId="0"/>
    <xf numFmtId="38" fontId="107" fillId="0" borderId="0"/>
    <xf numFmtId="38" fontId="107" fillId="0" borderId="0"/>
    <xf numFmtId="38" fontId="107" fillId="0" borderId="0"/>
    <xf numFmtId="40" fontId="107" fillId="0" borderId="0"/>
    <xf numFmtId="40" fontId="107" fillId="0" borderId="0"/>
    <xf numFmtId="40" fontId="107" fillId="0" borderId="0"/>
    <xf numFmtId="40" fontId="107" fillId="0" borderId="0"/>
    <xf numFmtId="171" fontId="66" fillId="0" borderId="0">
      <alignment horizontal="left" wrapText="1"/>
    </xf>
    <xf numFmtId="0" fontId="107" fillId="0" borderId="0"/>
    <xf numFmtId="0" fontId="107" fillId="0" borderId="0"/>
    <xf numFmtId="0" fontId="107" fillId="0" borderId="0"/>
    <xf numFmtId="40" fontId="107" fillId="0" borderId="0"/>
    <xf numFmtId="40" fontId="107" fillId="0" borderId="0"/>
    <xf numFmtId="40" fontId="107" fillId="0" borderId="0"/>
    <xf numFmtId="0" fontId="60" fillId="0" borderId="0" applyNumberFormat="0" applyFill="0" applyBorder="0" applyAlignment="0" applyProtection="0">
      <alignment vertical="top"/>
      <protection locked="0"/>
    </xf>
    <xf numFmtId="171" fontId="66" fillId="0" borderId="0">
      <alignment horizontal="left" wrapText="1"/>
    </xf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71" fontId="66" fillId="0" borderId="0">
      <alignment horizontal="left" wrapText="1"/>
    </xf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171" fontId="66" fillId="0" borderId="0">
      <alignment horizontal="left" wrapText="1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51" fillId="9" borderId="28" applyNumberFormat="0" applyAlignment="0" applyProtection="0"/>
    <xf numFmtId="0" fontId="51" fillId="48" borderId="28" applyNumberFormat="0" applyAlignment="0" applyProtection="0"/>
    <xf numFmtId="0" fontId="108" fillId="45" borderId="35" applyNumberFormat="0" applyAlignment="0" applyProtection="0"/>
    <xf numFmtId="171" fontId="66" fillId="0" borderId="0">
      <alignment horizontal="left" wrapText="1"/>
    </xf>
    <xf numFmtId="0" fontId="108" fillId="45" borderId="35" applyNumberFormat="0" applyAlignment="0" applyProtection="0"/>
    <xf numFmtId="0" fontId="51" fillId="9" borderId="28" applyNumberFormat="0" applyAlignment="0" applyProtection="0"/>
    <xf numFmtId="0" fontId="51" fillId="48" borderId="28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41" fontId="57" fillId="79" borderId="44">
      <alignment horizontal="left"/>
      <protection locked="0"/>
    </xf>
    <xf numFmtId="171" fontId="66" fillId="0" borderId="0">
      <alignment horizontal="left" wrapText="1"/>
    </xf>
    <xf numFmtId="41" fontId="57" fillId="79" borderId="44">
      <alignment horizontal="left"/>
      <protection locked="0"/>
    </xf>
    <xf numFmtId="10" fontId="57" fillId="79" borderId="44">
      <alignment horizontal="right"/>
      <protection locked="0"/>
    </xf>
    <xf numFmtId="171" fontId="66" fillId="0" borderId="0">
      <alignment horizontal="left" wrapText="1"/>
    </xf>
    <xf numFmtId="10" fontId="57" fillId="79" borderId="44">
      <alignment horizontal="right"/>
      <protection locked="0"/>
    </xf>
    <xf numFmtId="171" fontId="66" fillId="0" borderId="0">
      <alignment horizontal="left" wrapText="1"/>
    </xf>
    <xf numFmtId="41" fontId="57" fillId="79" borderId="44">
      <alignment horizontal="left"/>
      <protection locked="0"/>
    </xf>
    <xf numFmtId="0" fontId="98" fillId="0" borderId="45"/>
    <xf numFmtId="0" fontId="61" fillId="37" borderId="0"/>
    <xf numFmtId="0" fontId="61" fillId="37" borderId="0"/>
    <xf numFmtId="0" fontId="61" fillId="37" borderId="0"/>
    <xf numFmtId="0" fontId="61" fillId="37" borderId="0"/>
    <xf numFmtId="171" fontId="66" fillId="0" borderId="0">
      <alignment horizontal="left" wrapText="1"/>
    </xf>
    <xf numFmtId="3" fontId="109" fillId="0" borderId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0" fontId="110" fillId="0" borderId="46" applyNumberFormat="0" applyFill="0" applyAlignment="0" applyProtection="0"/>
    <xf numFmtId="0" fontId="110" fillId="0" borderId="46" applyNumberFormat="0" applyFill="0" applyAlignment="0" applyProtection="0"/>
    <xf numFmtId="0" fontId="110" fillId="0" borderId="46" applyNumberFormat="0" applyFill="0" applyAlignment="0" applyProtection="0"/>
    <xf numFmtId="0" fontId="110" fillId="0" borderId="46" applyNumberFormat="0" applyFill="0" applyAlignment="0" applyProtection="0"/>
    <xf numFmtId="0" fontId="54" fillId="0" borderId="30" applyNumberFormat="0" applyFill="0" applyAlignment="0" applyProtection="0"/>
    <xf numFmtId="0" fontId="111" fillId="0" borderId="47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19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171" fontId="66" fillId="0" borderId="0">
      <alignment horizontal="left" wrapText="1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8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171" fontId="66" fillId="0" borderId="0">
      <alignment horizontal="left" wrapText="1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44" fontId="58" fillId="0" borderId="49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63" fillId="8" borderId="0" applyNumberFormat="0" applyBorder="0" applyAlignment="0" applyProtection="0"/>
    <xf numFmtId="0" fontId="113" fillId="8" borderId="0" applyNumberForma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14" fillId="4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37" fontId="115" fillId="0" borderId="0"/>
    <xf numFmtId="37" fontId="115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37" fontId="115" fillId="0" borderId="0"/>
    <xf numFmtId="192" fontId="116" fillId="0" borderId="0"/>
    <xf numFmtId="193" fontId="19" fillId="0" borderId="0"/>
    <xf numFmtId="193" fontId="19" fillId="0" borderId="0"/>
    <xf numFmtId="171" fontId="66" fillId="0" borderId="0">
      <alignment horizontal="left" wrapText="1"/>
    </xf>
    <xf numFmtId="193" fontId="19" fillId="0" borderId="0"/>
    <xf numFmtId="193" fontId="19" fillId="0" borderId="0"/>
    <xf numFmtId="193" fontId="19" fillId="0" borderId="0"/>
    <xf numFmtId="193" fontId="19" fillId="0" borderId="0"/>
    <xf numFmtId="171" fontId="66" fillId="0" borderId="0">
      <alignment horizontal="left" wrapText="1"/>
    </xf>
    <xf numFmtId="193" fontId="19" fillId="0" borderId="0"/>
    <xf numFmtId="193" fontId="19" fillId="0" borderId="0"/>
    <xf numFmtId="193" fontId="19" fillId="0" borderId="0"/>
    <xf numFmtId="193" fontId="19" fillId="0" borderId="0"/>
    <xf numFmtId="171" fontId="66" fillId="0" borderId="0">
      <alignment horizontal="left" wrapText="1"/>
    </xf>
    <xf numFmtId="193" fontId="19" fillId="0" borderId="0"/>
    <xf numFmtId="193" fontId="19" fillId="0" borderId="0"/>
    <xf numFmtId="194" fontId="66" fillId="0" borderId="0"/>
    <xf numFmtId="194" fontId="66" fillId="0" borderId="0"/>
    <xf numFmtId="192" fontId="116" fillId="0" borderId="0"/>
    <xf numFmtId="0" fontId="19" fillId="0" borderId="0"/>
    <xf numFmtId="192" fontId="116" fillId="0" borderId="0"/>
    <xf numFmtId="195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94" fontId="66" fillId="0" borderId="0"/>
    <xf numFmtId="196" fontId="19" fillId="0" borderId="0"/>
    <xf numFmtId="197" fontId="80" fillId="0" borderId="0"/>
    <xf numFmtId="177" fontId="19" fillId="0" borderId="0">
      <alignment horizontal="left" wrapText="1"/>
    </xf>
    <xf numFmtId="177" fontId="19" fillId="0" borderId="0">
      <alignment horizontal="left" wrapText="1"/>
    </xf>
    <xf numFmtId="0" fontId="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9" fillId="0" borderId="0" applyFill="0" applyBorder="0" applyAlignment="0" applyProtection="0"/>
    <xf numFmtId="0" fontId="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171" fontId="19" fillId="0" borderId="0">
      <alignment horizontal="left" wrapText="1"/>
    </xf>
    <xf numFmtId="0" fontId="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193" fontId="66" fillId="0" borderId="0">
      <alignment horizontal="left" wrapText="1"/>
    </xf>
    <xf numFmtId="0" fontId="71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9" fillId="0" borderId="0"/>
    <xf numFmtId="193" fontId="66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19" fillId="0" borderId="0"/>
    <xf numFmtId="0" fontId="9" fillId="0" borderId="0"/>
    <xf numFmtId="193" fontId="66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19" fillId="0" borderId="0"/>
    <xf numFmtId="193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0" fontId="19" fillId="0" borderId="0"/>
    <xf numFmtId="193" fontId="66" fillId="0" borderId="0">
      <alignment horizontal="left" wrapText="1"/>
    </xf>
    <xf numFmtId="171" fontId="19" fillId="0" borderId="0">
      <alignment horizontal="left" wrapText="1"/>
    </xf>
    <xf numFmtId="193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93" fontId="66" fillId="0" borderId="0">
      <alignment horizontal="left" wrapText="1"/>
    </xf>
    <xf numFmtId="193" fontId="66" fillId="0" borderId="0">
      <alignment horizontal="left" wrapText="1"/>
    </xf>
    <xf numFmtId="193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93" fontId="66" fillId="0" borderId="0">
      <alignment horizontal="left" wrapText="1"/>
    </xf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17" fillId="0" borderId="0"/>
    <xf numFmtId="0" fontId="71" fillId="0" borderId="0"/>
    <xf numFmtId="0" fontId="71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79" fillId="0" borderId="0"/>
    <xf numFmtId="171" fontId="66" fillId="0" borderId="0">
      <alignment horizontal="left" wrapText="1"/>
    </xf>
    <xf numFmtId="0" fontId="71" fillId="0" borderId="0"/>
    <xf numFmtId="0" fontId="71" fillId="0" borderId="0"/>
    <xf numFmtId="0" fontId="79" fillId="0" borderId="0"/>
    <xf numFmtId="0" fontId="71" fillId="0" borderId="0"/>
    <xf numFmtId="0" fontId="71" fillId="0" borderId="0"/>
    <xf numFmtId="0" fontId="79" fillId="0" borderId="0"/>
    <xf numFmtId="0" fontId="71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98" fontId="19" fillId="0" borderId="0">
      <alignment horizontal="left" wrapText="1"/>
    </xf>
    <xf numFmtId="198" fontId="19" fillId="0" borderId="0">
      <alignment horizontal="left" wrapText="1"/>
    </xf>
    <xf numFmtId="171" fontId="66" fillId="0" borderId="0">
      <alignment horizontal="left" wrapText="1"/>
    </xf>
    <xf numFmtId="198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98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9" fontId="66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6" fillId="0" borderId="0"/>
    <xf numFmtId="200" fontId="66" fillId="0" borderId="0">
      <alignment horizontal="left" wrapText="1"/>
    </xf>
    <xf numFmtId="0" fontId="19" fillId="0" borderId="0"/>
    <xf numFmtId="0" fontId="19" fillId="0" borderId="0"/>
    <xf numFmtId="171" fontId="66" fillId="0" borderId="0">
      <alignment horizontal="left" wrapText="1"/>
    </xf>
    <xf numFmtId="174" fontId="6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176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71" fillId="0" borderId="0"/>
    <xf numFmtId="167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171" fontId="19" fillId="0" borderId="0">
      <alignment horizontal="left" wrapText="1"/>
    </xf>
    <xf numFmtId="0" fontId="91" fillId="0" borderId="0"/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39" fontId="118" fillId="0" borderId="0" applyNumberForma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39" fontId="118" fillId="0" borderId="0" applyNumberFormat="0" applyFill="0" applyBorder="0" applyAlignment="0" applyProtection="0"/>
    <xf numFmtId="171" fontId="66" fillId="0" borderId="0">
      <alignment horizontal="left" wrapText="1"/>
    </xf>
    <xf numFmtId="0" fontId="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79" fillId="0" borderId="0"/>
    <xf numFmtId="0" fontId="79" fillId="0" borderId="0"/>
    <xf numFmtId="0" fontId="79" fillId="0" borderId="0"/>
    <xf numFmtId="0" fontId="79" fillId="0" borderId="0"/>
    <xf numFmtId="171" fontId="66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6" fillId="0" borderId="0">
      <alignment horizontal="left" wrapText="1"/>
    </xf>
    <xf numFmtId="0" fontId="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19" fillId="0" borderId="0"/>
    <xf numFmtId="171" fontId="66" fillId="0" borderId="0">
      <alignment horizontal="left" wrapText="1"/>
    </xf>
    <xf numFmtId="174" fontId="66" fillId="0" borderId="0">
      <alignment horizontal="left" wrapText="1"/>
    </xf>
    <xf numFmtId="0" fontId="19" fillId="0" borderId="0"/>
    <xf numFmtId="0" fontId="19" fillId="0" borderId="0"/>
    <xf numFmtId="201" fontId="19" fillId="0" borderId="0">
      <alignment horizontal="left" wrapText="1"/>
    </xf>
    <xf numFmtId="0" fontId="19" fillId="0" borderId="0"/>
    <xf numFmtId="0" fontId="9" fillId="0" borderId="0"/>
    <xf numFmtId="0" fontId="19" fillId="0" borderId="0"/>
    <xf numFmtId="0" fontId="19" fillId="0" borderId="0"/>
    <xf numFmtId="0" fontId="71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171" fontId="19" fillId="0" borderId="0">
      <alignment horizontal="left" wrapText="1"/>
    </xf>
    <xf numFmtId="0" fontId="79" fillId="0" borderId="0"/>
    <xf numFmtId="171" fontId="19" fillId="0" borderId="0">
      <alignment horizontal="left" wrapText="1"/>
    </xf>
    <xf numFmtId="171" fontId="66" fillId="0" borderId="0">
      <alignment horizontal="left" wrapText="1"/>
    </xf>
    <xf numFmtId="0" fontId="79" fillId="0" borderId="0"/>
    <xf numFmtId="171" fontId="19" fillId="0" borderId="0">
      <alignment horizontal="left" wrapText="1"/>
    </xf>
    <xf numFmtId="0" fontId="79" fillId="0" borderId="0"/>
    <xf numFmtId="171" fontId="19" fillId="0" borderId="0">
      <alignment horizontal="left" wrapText="1"/>
    </xf>
    <xf numFmtId="171" fontId="66" fillId="0" borderId="0">
      <alignment horizontal="left" wrapText="1"/>
    </xf>
    <xf numFmtId="0" fontId="7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71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4" fontId="66" fillId="0" borderId="0">
      <alignment horizontal="left" wrapText="1"/>
    </xf>
    <xf numFmtId="174" fontId="66" fillId="0" borderId="0">
      <alignment horizontal="left" wrapText="1"/>
    </xf>
    <xf numFmtId="0" fontId="19" fillId="0" borderId="0"/>
    <xf numFmtId="0" fontId="19" fillId="0" borderId="0"/>
    <xf numFmtId="0" fontId="9" fillId="0" borderId="0"/>
    <xf numFmtId="0" fontId="9" fillId="0" borderId="0"/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71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0" fontId="9" fillId="0" borderId="0"/>
    <xf numFmtId="0" fontId="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0" fontId="19" fillId="0" borderId="0"/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71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9" fillId="0" borderId="0"/>
    <xf numFmtId="0" fontId="9" fillId="0" borderId="0"/>
    <xf numFmtId="0" fontId="117" fillId="0" borderId="0"/>
    <xf numFmtId="202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71" fillId="0" borderId="0"/>
    <xf numFmtId="0" fontId="19" fillId="0" borderId="0"/>
    <xf numFmtId="0" fontId="19" fillId="0" borderId="0"/>
    <xf numFmtId="171" fontId="66" fillId="0" borderId="0">
      <alignment horizontal="left" wrapText="1"/>
    </xf>
    <xf numFmtId="171" fontId="66" fillId="0" borderId="0">
      <alignment horizontal="left" wrapText="1"/>
    </xf>
    <xf numFmtId="0" fontId="9" fillId="0" borderId="0"/>
    <xf numFmtId="0" fontId="9" fillId="0" borderId="0"/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19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19" fillId="43" borderId="50" applyNumberFormat="0" applyFont="0" applyAlignment="0" applyProtection="0"/>
    <xf numFmtId="171" fontId="66" fillId="0" borderId="0">
      <alignment horizontal="left" wrapText="1"/>
    </xf>
    <xf numFmtId="0" fontId="19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66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171" fontId="66" fillId="0" borderId="0">
      <alignment horizontal="left" wrapText="1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171" fontId="66" fillId="0" borderId="0">
      <alignment horizontal="left" wrapText="1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12" borderId="32" applyNumberFormat="0" applyFont="0" applyAlignment="0" applyProtection="0"/>
    <xf numFmtId="0" fontId="71" fillId="12" borderId="32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171" fontId="66" fillId="0" borderId="0">
      <alignment horizontal="left" wrapText="1"/>
    </xf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52" fillId="10" borderId="29" applyNumberFormat="0" applyAlignment="0" applyProtection="0"/>
    <xf numFmtId="0" fontId="52" fillId="73" borderId="29" applyNumberFormat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19" fillId="73" borderId="51" applyNumberFormat="0" applyAlignment="0" applyProtection="0"/>
    <xf numFmtId="0" fontId="52" fillId="73" borderId="29" applyNumberFormat="0" applyAlignment="0" applyProtection="0"/>
    <xf numFmtId="0" fontId="52" fillId="73" borderId="29" applyNumberFormat="0" applyAlignment="0" applyProtection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4" fillId="0" borderId="0"/>
    <xf numFmtId="0" fontId="83" fillId="0" borderId="0"/>
    <xf numFmtId="0" fontId="85" fillId="0" borderId="0"/>
    <xf numFmtId="172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0" fontId="19" fillId="0" borderId="44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10" fontId="19" fillId="0" borderId="44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92" fillId="0" borderId="0" applyFont="0" applyFill="0" applyBorder="0" applyAlignment="0" applyProtection="0"/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10" fontId="19" fillId="0" borderId="44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0" fontId="19" fillId="0" borderId="44"/>
    <xf numFmtId="171" fontId="66" fillId="0" borderId="0">
      <alignment horizontal="left" wrapText="1"/>
    </xf>
    <xf numFmtId="9" fontId="79" fillId="0" borderId="0" applyFont="0" applyFill="0" applyBorder="0" applyAlignment="0" applyProtection="0"/>
    <xf numFmtId="10" fontId="19" fillId="0" borderId="44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0" fontId="19" fillId="0" borderId="44"/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9" fillId="0" borderId="0" applyFont="0" applyFill="0" applyBorder="0" applyAlignment="0" applyProtection="0"/>
    <xf numFmtId="10" fontId="19" fillId="0" borderId="44"/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44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0" fontId="19" fillId="0" borderId="44"/>
    <xf numFmtId="9" fontId="78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9" fontId="79" fillId="0" borderId="0" applyFont="0" applyFill="0" applyBorder="0" applyAlignment="0" applyProtection="0"/>
    <xf numFmtId="10" fontId="19" fillId="0" borderId="44"/>
    <xf numFmtId="171" fontId="66" fillId="0" borderId="0">
      <alignment horizontal="left" wrapText="1"/>
    </xf>
    <xf numFmtId="9" fontId="79" fillId="0" borderId="0" applyFont="0" applyFill="0" applyBorder="0" applyAlignment="0" applyProtection="0"/>
    <xf numFmtId="10" fontId="19" fillId="0" borderId="44"/>
    <xf numFmtId="9" fontId="79" fillId="0" borderId="0" applyFont="0" applyFill="0" applyBorder="0" applyAlignment="0" applyProtection="0"/>
    <xf numFmtId="10" fontId="19" fillId="0" borderId="44"/>
    <xf numFmtId="171" fontId="66" fillId="0" borderId="0">
      <alignment horizontal="left" wrapText="1"/>
    </xf>
    <xf numFmtId="9" fontId="79" fillId="0" borderId="0" applyFont="0" applyFill="0" applyBorder="0" applyAlignment="0" applyProtection="0"/>
    <xf numFmtId="10" fontId="19" fillId="0" borderId="44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0" fontId="19" fillId="0" borderId="44"/>
    <xf numFmtId="10" fontId="19" fillId="0" borderId="44"/>
    <xf numFmtId="171" fontId="66" fillId="0" borderId="0">
      <alignment horizontal="left" wrapText="1"/>
    </xf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44"/>
    <xf numFmtId="171" fontId="66" fillId="0" borderId="0">
      <alignment horizontal="left" wrapText="1"/>
    </xf>
    <xf numFmtId="10" fontId="19" fillId="0" borderId="44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0" fontId="19" fillId="0" borderId="44"/>
    <xf numFmtId="10" fontId="19" fillId="0" borderId="44"/>
    <xf numFmtId="10" fontId="19" fillId="0" borderId="44"/>
    <xf numFmtId="10" fontId="19" fillId="0" borderId="4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171" fontId="66" fillId="0" borderId="0">
      <alignment horizontal="left" wrapText="1"/>
    </xf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66" fillId="0" borderId="0">
      <alignment horizontal="left" wrapText="1"/>
    </xf>
    <xf numFmtId="9" fontId="78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9" fillId="0" borderId="44"/>
    <xf numFmtId="10" fontId="19" fillId="0" borderId="44"/>
    <xf numFmtId="10" fontId="19" fillId="0" borderId="4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66" fillId="0" borderId="0">
      <alignment horizontal="left" wrapText="1"/>
    </xf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10" fontId="19" fillId="0" borderId="44"/>
    <xf numFmtId="41" fontId="19" fillId="80" borderId="44"/>
    <xf numFmtId="41" fontId="19" fillId="80" borderId="44"/>
    <xf numFmtId="171" fontId="66" fillId="0" borderId="0">
      <alignment horizontal="left" wrapText="1"/>
    </xf>
    <xf numFmtId="41" fontId="19" fillId="80" borderId="44"/>
    <xf numFmtId="41" fontId="19" fillId="80" borderId="44"/>
    <xf numFmtId="171" fontId="66" fillId="0" borderId="0">
      <alignment horizontal="left" wrapText="1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" fontId="79" fillId="0" borderId="0" applyFont="0" applyFill="0" applyBorder="0" applyAlignment="0" applyProtection="0"/>
    <xf numFmtId="0" fontId="120" fillId="0" borderId="37">
      <alignment horizontal="center"/>
    </xf>
    <xf numFmtId="0" fontId="120" fillId="0" borderId="37">
      <alignment horizontal="center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20" fillId="0" borderId="37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0" fontId="79" fillId="81" borderId="0" applyNumberFormat="0" applyFont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79" fillId="81" borderId="0" applyNumberFormat="0" applyFont="0" applyBorder="0" applyAlignment="0" applyProtection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121" fillId="0" borderId="0" applyFill="0" applyBorder="0" applyAlignment="0" applyProtection="0"/>
    <xf numFmtId="0" fontId="122" fillId="0" borderId="0"/>
    <xf numFmtId="0" fontId="123" fillId="0" borderId="0"/>
    <xf numFmtId="0" fontId="123" fillId="0" borderId="0"/>
    <xf numFmtId="0" fontId="122" fillId="0" borderId="0"/>
    <xf numFmtId="0" fontId="123" fillId="0" borderId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3" fontId="121" fillId="0" borderId="0" applyFill="0" applyBorder="0" applyAlignment="0" applyProtection="0"/>
    <xf numFmtId="42" fontId="19" fillId="71" borderId="0"/>
    <xf numFmtId="0" fontId="83" fillId="82" borderId="0"/>
    <xf numFmtId="0" fontId="124" fillId="82" borderId="45"/>
    <xf numFmtId="0" fontId="125" fillId="83" borderId="52"/>
    <xf numFmtId="0" fontId="126" fillId="82" borderId="53"/>
    <xf numFmtId="42" fontId="19" fillId="71" borderId="0"/>
    <xf numFmtId="171" fontId="66" fillId="0" borderId="0">
      <alignment horizontal="left" wrapText="1"/>
    </xf>
    <xf numFmtId="42" fontId="19" fillId="71" borderId="0"/>
    <xf numFmtId="171" fontId="66" fillId="0" borderId="0">
      <alignment horizontal="left" wrapText="1"/>
    </xf>
    <xf numFmtId="42" fontId="19" fillId="71" borderId="0"/>
    <xf numFmtId="42" fontId="19" fillId="71" borderId="0"/>
    <xf numFmtId="42" fontId="19" fillId="71" borderId="54">
      <alignment vertical="center"/>
    </xf>
    <xf numFmtId="42" fontId="19" fillId="71" borderId="54">
      <alignment vertical="center"/>
    </xf>
    <xf numFmtId="171" fontId="66" fillId="0" borderId="0">
      <alignment horizontal="left" wrapText="1"/>
    </xf>
    <xf numFmtId="42" fontId="19" fillId="71" borderId="54">
      <alignment vertical="center"/>
    </xf>
    <xf numFmtId="171" fontId="66" fillId="0" borderId="0">
      <alignment horizontal="left" wrapText="1"/>
    </xf>
    <xf numFmtId="42" fontId="19" fillId="71" borderId="54">
      <alignment vertical="center"/>
    </xf>
    <xf numFmtId="171" fontId="66" fillId="0" borderId="0">
      <alignment horizontal="left" wrapText="1"/>
    </xf>
    <xf numFmtId="0" fontId="58" fillId="71" borderId="11" applyNumberFormat="0">
      <alignment horizontal="center" vertical="center" wrapText="1"/>
    </xf>
    <xf numFmtId="0" fontId="58" fillId="71" borderId="11" applyNumberFormat="0">
      <alignment horizontal="center" vertical="center" wrapText="1"/>
    </xf>
    <xf numFmtId="0" fontId="58" fillId="71" borderId="11" applyNumberFormat="0">
      <alignment horizontal="center" vertical="center" wrapText="1"/>
    </xf>
    <xf numFmtId="171" fontId="66" fillId="0" borderId="0">
      <alignment horizontal="left" wrapText="1"/>
    </xf>
    <xf numFmtId="10" fontId="19" fillId="71" borderId="0"/>
    <xf numFmtId="10" fontId="19" fillId="71" borderId="0"/>
    <xf numFmtId="10" fontId="19" fillId="71" borderId="0"/>
    <xf numFmtId="171" fontId="66" fillId="0" borderId="0">
      <alignment horizontal="left" wrapText="1"/>
    </xf>
    <xf numFmtId="171" fontId="66" fillId="0" borderId="0">
      <alignment horizontal="left" wrapText="1"/>
    </xf>
    <xf numFmtId="10" fontId="19" fillId="71" borderId="0"/>
    <xf numFmtId="10" fontId="19" fillId="71" borderId="0"/>
    <xf numFmtId="171" fontId="66" fillId="0" borderId="0">
      <alignment horizontal="left" wrapText="1"/>
    </xf>
    <xf numFmtId="10" fontId="19" fillId="71" borderId="0"/>
    <xf numFmtId="171" fontId="66" fillId="0" borderId="0">
      <alignment horizontal="left" wrapText="1"/>
    </xf>
    <xf numFmtId="10" fontId="19" fillId="71" borderId="0"/>
    <xf numFmtId="171" fontId="66" fillId="0" borderId="0">
      <alignment horizontal="left" wrapText="1"/>
    </xf>
    <xf numFmtId="10" fontId="19" fillId="71" borderId="0"/>
    <xf numFmtId="171" fontId="66" fillId="0" borderId="0">
      <alignment horizontal="left" wrapText="1"/>
    </xf>
    <xf numFmtId="171" fontId="66" fillId="0" borderId="0">
      <alignment horizontal="left" wrapText="1"/>
    </xf>
    <xf numFmtId="10" fontId="19" fillId="71" borderId="0"/>
    <xf numFmtId="10" fontId="19" fillId="71" borderId="0"/>
    <xf numFmtId="10" fontId="19" fillId="71" borderId="0"/>
    <xf numFmtId="202" fontId="19" fillId="71" borderId="0"/>
    <xf numFmtId="202" fontId="19" fillId="71" borderId="0"/>
    <xf numFmtId="202" fontId="19" fillId="71" borderId="0"/>
    <xf numFmtId="171" fontId="66" fillId="0" borderId="0">
      <alignment horizontal="left" wrapText="1"/>
    </xf>
    <xf numFmtId="171" fontId="66" fillId="0" borderId="0">
      <alignment horizontal="left" wrapText="1"/>
    </xf>
    <xf numFmtId="202" fontId="19" fillId="71" borderId="0"/>
    <xf numFmtId="202" fontId="19" fillId="71" borderId="0"/>
    <xf numFmtId="171" fontId="66" fillId="0" borderId="0">
      <alignment horizontal="left" wrapText="1"/>
    </xf>
    <xf numFmtId="202" fontId="19" fillId="71" borderId="0"/>
    <xf numFmtId="171" fontId="66" fillId="0" borderId="0">
      <alignment horizontal="left" wrapText="1"/>
    </xf>
    <xf numFmtId="202" fontId="19" fillId="71" borderId="0"/>
    <xf numFmtId="171" fontId="66" fillId="0" borderId="0">
      <alignment horizontal="left" wrapText="1"/>
    </xf>
    <xf numFmtId="202" fontId="19" fillId="71" borderId="0"/>
    <xf numFmtId="171" fontId="66" fillId="0" borderId="0">
      <alignment horizontal="left" wrapText="1"/>
    </xf>
    <xf numFmtId="171" fontId="66" fillId="0" borderId="0">
      <alignment horizontal="left" wrapText="1"/>
    </xf>
    <xf numFmtId="202" fontId="19" fillId="71" borderId="0"/>
    <xf numFmtId="202" fontId="19" fillId="71" borderId="0"/>
    <xf numFmtId="202" fontId="19" fillId="71" borderId="0"/>
    <xf numFmtId="42" fontId="19" fillId="71" borderId="0"/>
    <xf numFmtId="169" fontId="107" fillId="0" borderId="0" applyBorder="0" applyAlignment="0"/>
    <xf numFmtId="169" fontId="107" fillId="0" borderId="0" applyBorder="0" applyAlignment="0"/>
    <xf numFmtId="169" fontId="107" fillId="0" borderId="0" applyBorder="0" applyAlignment="0"/>
    <xf numFmtId="42" fontId="19" fillId="71" borderId="5">
      <alignment horizontal="left"/>
    </xf>
    <xf numFmtId="42" fontId="19" fillId="71" borderId="5">
      <alignment horizontal="left"/>
    </xf>
    <xf numFmtId="171" fontId="66" fillId="0" borderId="0">
      <alignment horizontal="left" wrapText="1"/>
    </xf>
    <xf numFmtId="42" fontId="19" fillId="71" borderId="5">
      <alignment horizontal="left"/>
    </xf>
    <xf numFmtId="171" fontId="66" fillId="0" borderId="0">
      <alignment horizontal="left" wrapText="1"/>
    </xf>
    <xf numFmtId="42" fontId="19" fillId="71" borderId="5">
      <alignment horizontal="left"/>
    </xf>
    <xf numFmtId="171" fontId="66" fillId="0" borderId="0">
      <alignment horizontal="left" wrapText="1"/>
    </xf>
    <xf numFmtId="202" fontId="127" fillId="71" borderId="5">
      <alignment horizontal="left"/>
    </xf>
    <xf numFmtId="171" fontId="66" fillId="0" borderId="0">
      <alignment horizontal="left" wrapText="1"/>
    </xf>
    <xf numFmtId="202" fontId="127" fillId="71" borderId="5">
      <alignment horizontal="left"/>
    </xf>
    <xf numFmtId="169" fontId="107" fillId="0" borderId="0" applyBorder="0" applyAlignment="0"/>
    <xf numFmtId="14" fontId="66" fillId="0" borderId="0" applyNumberFormat="0" applyFill="0" applyBorder="0" applyAlignment="0" applyProtection="0">
      <alignment horizontal="left"/>
    </xf>
    <xf numFmtId="14" fontId="66" fillId="0" borderId="0" applyNumberFormat="0" applyFill="0" applyBorder="0" applyAlignment="0" applyProtection="0">
      <alignment horizontal="left"/>
    </xf>
    <xf numFmtId="203" fontId="19" fillId="0" borderId="0" applyFont="0" applyFill="0" applyAlignment="0">
      <alignment horizontal="right"/>
    </xf>
    <xf numFmtId="203" fontId="19" fillId="0" borderId="0" applyFont="0" applyFill="0" applyAlignment="0">
      <alignment horizontal="right"/>
    </xf>
    <xf numFmtId="203" fontId="19" fillId="0" borderId="0" applyFont="0" applyFill="0" applyAlignment="0">
      <alignment horizontal="right"/>
    </xf>
    <xf numFmtId="171" fontId="66" fillId="0" borderId="0">
      <alignment horizontal="left" wrapText="1"/>
    </xf>
    <xf numFmtId="171" fontId="66" fillId="0" borderId="0">
      <alignment horizontal="left" wrapText="1"/>
    </xf>
    <xf numFmtId="203" fontId="19" fillId="0" borderId="0" applyFont="0" applyFill="0" applyAlignment="0">
      <alignment horizontal="right"/>
    </xf>
    <xf numFmtId="203" fontId="19" fillId="0" borderId="0" applyFont="0" applyFill="0" applyAlignment="0">
      <alignment horizontal="right"/>
    </xf>
    <xf numFmtId="171" fontId="66" fillId="0" borderId="0">
      <alignment horizontal="left" wrapText="1"/>
    </xf>
    <xf numFmtId="203" fontId="19" fillId="0" borderId="0" applyFont="0" applyFill="0" applyAlignment="0">
      <alignment horizontal="right"/>
    </xf>
    <xf numFmtId="171" fontId="66" fillId="0" borderId="0">
      <alignment horizontal="left" wrapText="1"/>
    </xf>
    <xf numFmtId="203" fontId="19" fillId="0" borderId="0" applyFont="0" applyFill="0" applyAlignment="0">
      <alignment horizontal="right"/>
    </xf>
    <xf numFmtId="171" fontId="66" fillId="0" borderId="0">
      <alignment horizontal="left" wrapText="1"/>
    </xf>
    <xf numFmtId="203" fontId="19" fillId="0" borderId="0" applyFont="0" applyFill="0" applyAlignment="0">
      <alignment horizontal="right"/>
    </xf>
    <xf numFmtId="171" fontId="66" fillId="0" borderId="0">
      <alignment horizontal="left" wrapText="1"/>
    </xf>
    <xf numFmtId="171" fontId="66" fillId="0" borderId="0">
      <alignment horizontal="left" wrapText="1"/>
    </xf>
    <xf numFmtId="203" fontId="19" fillId="0" borderId="0" applyFont="0" applyFill="0" applyAlignment="0">
      <alignment horizontal="right"/>
    </xf>
    <xf numFmtId="203" fontId="19" fillId="0" borderId="0" applyFont="0" applyFill="0" applyAlignment="0">
      <alignment horizontal="right"/>
    </xf>
    <xf numFmtId="4" fontId="128" fillId="79" borderId="51" applyNumberFormat="0" applyProtection="0">
      <alignment vertical="center"/>
    </xf>
    <xf numFmtId="171" fontId="66" fillId="0" borderId="0">
      <alignment horizontal="left" wrapText="1"/>
    </xf>
    <xf numFmtId="4" fontId="128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171" fontId="66" fillId="0" borderId="0">
      <alignment horizontal="left" wrapText="1"/>
    </xf>
    <xf numFmtId="4" fontId="129" fillId="79" borderId="51" applyNumberFormat="0" applyProtection="0">
      <alignment vertical="center"/>
    </xf>
    <xf numFmtId="4" fontId="128" fillId="79" borderId="51" applyNumberFormat="0" applyProtection="0">
      <alignment horizontal="left" vertical="center" indent="1"/>
    </xf>
    <xf numFmtId="171" fontId="66" fillId="0" borderId="0">
      <alignment horizontal="left" wrapTex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171" fontId="66" fillId="0" borderId="0">
      <alignment horizontal="left" wrapText="1"/>
    </xf>
    <xf numFmtId="4" fontId="128" fillId="7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85" borderId="0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86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86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87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88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89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90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91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92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93" borderId="51" applyNumberFormat="0" applyProtection="0">
      <alignment horizontal="right" vertical="center"/>
    </xf>
    <xf numFmtId="4" fontId="128" fillId="94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94" borderId="51" applyNumberFormat="0" applyProtection="0">
      <alignment horizontal="right" vertical="center"/>
    </xf>
    <xf numFmtId="4" fontId="130" fillId="95" borderId="51" applyNumberFormat="0" applyProtection="0">
      <alignment horizontal="left" vertical="center" indent="1"/>
    </xf>
    <xf numFmtId="4" fontId="130" fillId="96" borderId="0" applyNumberFormat="0" applyProtection="0">
      <alignment horizontal="left" vertical="center" indent="1"/>
    </xf>
    <xf numFmtId="4" fontId="130" fillId="96" borderId="0" applyNumberFormat="0" applyProtection="0">
      <alignment horizontal="left" vertical="center" indent="1"/>
    </xf>
    <xf numFmtId="4" fontId="130" fillId="95" borderId="51" applyNumberFormat="0" applyProtection="0">
      <alignment horizontal="left" vertical="center" indent="1"/>
    </xf>
    <xf numFmtId="4" fontId="128" fillId="97" borderId="55" applyNumberFormat="0" applyProtection="0">
      <alignment horizontal="left" vertical="center" indent="1"/>
    </xf>
    <xf numFmtId="4" fontId="128" fillId="97" borderId="0" applyNumberFormat="0" applyProtection="0">
      <alignment horizontal="left" vertical="center" indent="1"/>
    </xf>
    <xf numFmtId="4" fontId="128" fillId="97" borderId="0" applyNumberFormat="0" applyProtection="0">
      <alignment horizontal="left" vertical="center" indent="1"/>
    </xf>
    <xf numFmtId="4" fontId="131" fillId="98" borderId="0" applyNumberFormat="0" applyProtection="0">
      <alignment horizontal="left" vertical="center" indent="1"/>
    </xf>
    <xf numFmtId="4" fontId="131" fillId="98" borderId="0" applyNumberFormat="0" applyProtection="0">
      <alignment horizontal="left" vertical="center" indent="1"/>
    </xf>
    <xf numFmtId="4" fontId="131" fillId="98" borderId="0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32" fillId="0" borderId="0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32" fillId="0" borderId="0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99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99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99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73" borderId="17" applyNumberFormat="0">
      <protection locked="0"/>
    </xf>
    <xf numFmtId="0" fontId="19" fillId="73" borderId="17" applyNumberFormat="0">
      <protection locked="0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07" fillId="68" borderId="56" applyBorder="0"/>
    <xf numFmtId="4" fontId="128" fillId="101" borderId="51" applyNumberFormat="0" applyProtection="0">
      <alignment vertical="center"/>
    </xf>
    <xf numFmtId="171" fontId="66" fillId="0" borderId="0">
      <alignment horizontal="left" wrapText="1"/>
    </xf>
    <xf numFmtId="4" fontId="128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171" fontId="66" fillId="0" borderId="0">
      <alignment horizontal="left" wrapText="1"/>
    </xf>
    <xf numFmtId="4" fontId="129" fillId="101" borderId="51" applyNumberFormat="0" applyProtection="0">
      <alignment vertical="center"/>
    </xf>
    <xf numFmtId="4" fontId="128" fillId="101" borderId="51" applyNumberFormat="0" applyProtection="0">
      <alignment horizontal="left" vertical="center" indent="1"/>
    </xf>
    <xf numFmtId="171" fontId="66" fillId="0" borderId="0">
      <alignment horizontal="left" wrapText="1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171" fontId="66" fillId="0" borderId="0">
      <alignment horizontal="left" wrapText="1"/>
    </xf>
    <xf numFmtId="4" fontId="128" fillId="101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171" fontId="66" fillId="0" borderId="0">
      <alignment horizontal="left" wrapText="1"/>
    </xf>
    <xf numFmtId="4" fontId="128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171" fontId="66" fillId="0" borderId="0">
      <alignment horizontal="left" wrapText="1"/>
    </xf>
    <xf numFmtId="4" fontId="129" fillId="97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171" fontId="66" fillId="0" borderId="0">
      <alignment horizontal="left" wrapText="1"/>
    </xf>
    <xf numFmtId="171" fontId="66" fillId="0" borderId="0">
      <alignment horizontal="left" wrapTex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33" fillId="0" borderId="0"/>
    <xf numFmtId="0" fontId="133" fillId="0" borderId="0"/>
    <xf numFmtId="0" fontId="134" fillId="0" borderId="0" applyNumberFormat="0" applyProtection="0">
      <alignment horizontal="left" indent="5"/>
    </xf>
    <xf numFmtId="0" fontId="61" fillId="102" borderId="17"/>
    <xf numFmtId="4" fontId="135" fillId="97" borderId="51" applyNumberFormat="0" applyProtection="0">
      <alignment horizontal="right" vertical="center"/>
    </xf>
    <xf numFmtId="171" fontId="66" fillId="0" borderId="0">
      <alignment horizontal="left" wrapText="1"/>
    </xf>
    <xf numFmtId="4" fontId="135" fillId="97" borderId="51" applyNumberFormat="0" applyProtection="0">
      <alignment horizontal="right" vertical="center"/>
    </xf>
    <xf numFmtId="39" fontId="19" fillId="103" borderId="0"/>
    <xf numFmtId="39" fontId="19" fillId="103" borderId="0"/>
    <xf numFmtId="39" fontId="19" fillId="103" borderId="0"/>
    <xf numFmtId="171" fontId="66" fillId="0" borderId="0">
      <alignment horizontal="left" wrapText="1"/>
    </xf>
    <xf numFmtId="171" fontId="66" fillId="0" borderId="0">
      <alignment horizontal="left" wrapText="1"/>
    </xf>
    <xf numFmtId="39" fontId="19" fillId="103" borderId="0"/>
    <xf numFmtId="39" fontId="19" fillId="103" borderId="0"/>
    <xf numFmtId="171" fontId="66" fillId="0" borderId="0">
      <alignment horizontal="left" wrapText="1"/>
    </xf>
    <xf numFmtId="39" fontId="19" fillId="103" borderId="0"/>
    <xf numFmtId="171" fontId="66" fillId="0" borderId="0">
      <alignment horizontal="left" wrapText="1"/>
    </xf>
    <xf numFmtId="39" fontId="19" fillId="103" borderId="0"/>
    <xf numFmtId="171" fontId="66" fillId="0" borderId="0">
      <alignment horizontal="left" wrapText="1"/>
    </xf>
    <xf numFmtId="39" fontId="19" fillId="103" borderId="0"/>
    <xf numFmtId="171" fontId="66" fillId="0" borderId="0">
      <alignment horizontal="left" wrapText="1"/>
    </xf>
    <xf numFmtId="171" fontId="66" fillId="0" borderId="0">
      <alignment horizontal="left" wrapText="1"/>
    </xf>
    <xf numFmtId="39" fontId="19" fillId="103" borderId="0"/>
    <xf numFmtId="39" fontId="19" fillId="103" borderId="0"/>
    <xf numFmtId="39" fontId="19" fillId="103" borderId="0"/>
    <xf numFmtId="0" fontId="136" fillId="0" borderId="0" applyNumberFormat="0" applyFill="0" applyBorder="0" applyAlignment="0" applyProtection="0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38" fontId="61" fillId="0" borderId="57"/>
    <xf numFmtId="171" fontId="66" fillId="0" borderId="0">
      <alignment horizontal="left" wrapText="1"/>
    </xf>
    <xf numFmtId="38" fontId="61" fillId="0" borderId="57"/>
    <xf numFmtId="0" fontId="61" fillId="0" borderId="57"/>
    <xf numFmtId="38" fontId="61" fillId="0" borderId="57"/>
    <xf numFmtId="38" fontId="61" fillId="0" borderId="57"/>
    <xf numFmtId="38" fontId="61" fillId="0" borderId="57"/>
    <xf numFmtId="38" fontId="107" fillId="0" borderId="5"/>
    <xf numFmtId="38" fontId="107" fillId="0" borderId="5"/>
    <xf numFmtId="38" fontId="107" fillId="0" borderId="5"/>
    <xf numFmtId="38" fontId="107" fillId="0" borderId="5"/>
    <xf numFmtId="171" fontId="66" fillId="0" borderId="0">
      <alignment horizontal="left" wrapText="1"/>
    </xf>
    <xf numFmtId="0" fontId="107" fillId="0" borderId="5"/>
    <xf numFmtId="0" fontId="107" fillId="0" borderId="5"/>
    <xf numFmtId="0" fontId="107" fillId="0" borderId="5"/>
    <xf numFmtId="38" fontId="107" fillId="0" borderId="5"/>
    <xf numFmtId="38" fontId="107" fillId="0" borderId="5"/>
    <xf numFmtId="38" fontId="107" fillId="0" borderId="5"/>
    <xf numFmtId="38" fontId="107" fillId="0" borderId="5"/>
    <xf numFmtId="39" fontId="66" fillId="104" borderId="0"/>
    <xf numFmtId="39" fontId="66" fillId="104" borderId="0"/>
    <xf numFmtId="171" fontId="19" fillId="0" borderId="0">
      <alignment horizontal="left" wrapText="1"/>
    </xf>
    <xf numFmtId="175" fontId="19" fillId="0" borderId="0">
      <alignment horizontal="left" wrapText="1"/>
    </xf>
    <xf numFmtId="198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177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202" fontId="19" fillId="0" borderId="0">
      <alignment horizontal="left" wrapText="1"/>
    </xf>
    <xf numFmtId="202" fontId="19" fillId="0" borderId="0">
      <alignment horizontal="left" wrapText="1"/>
    </xf>
    <xf numFmtId="202" fontId="19" fillId="0" borderId="0">
      <alignment horizontal="left" wrapText="1"/>
    </xf>
    <xf numFmtId="172" fontId="19" fillId="0" borderId="0">
      <alignment horizontal="left" wrapText="1"/>
    </xf>
    <xf numFmtId="202" fontId="19" fillId="0" borderId="0">
      <alignment horizontal="left" wrapText="1"/>
    </xf>
    <xf numFmtId="202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66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1" fontId="66" fillId="0" borderId="0">
      <alignment horizontal="left" wrapText="1"/>
    </xf>
    <xf numFmtId="171" fontId="66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1" fontId="66" fillId="0" borderId="0">
      <alignment horizontal="left" wrapText="1"/>
    </xf>
    <xf numFmtId="199" fontId="19" fillId="0" borderId="0">
      <alignment horizontal="left" wrapText="1"/>
    </xf>
    <xf numFmtId="199" fontId="19" fillId="0" borderId="0">
      <alignment horizontal="left" wrapText="1"/>
    </xf>
    <xf numFmtId="199" fontId="19" fillId="0" borderId="0">
      <alignment horizontal="left" wrapText="1"/>
    </xf>
    <xf numFmtId="199" fontId="19" fillId="0" borderId="0">
      <alignment horizontal="left" wrapText="1"/>
    </xf>
    <xf numFmtId="199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99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28" fillId="0" borderId="0" applyNumberFormat="0" applyBorder="0" applyAlignment="0"/>
    <xf numFmtId="0" fontId="137" fillId="0" borderId="0" applyNumberFormat="0" applyBorder="0" applyAlignment="0"/>
    <xf numFmtId="0" fontId="130" fillId="0" borderId="0" applyNumberFormat="0" applyBorder="0" applyAlignment="0"/>
    <xf numFmtId="0" fontId="138" fillId="0" borderId="0"/>
    <xf numFmtId="0" fontId="98" fillId="0" borderId="53"/>
    <xf numFmtId="40" fontId="139" fillId="0" borderId="0" applyBorder="0">
      <alignment horizontal="right"/>
    </xf>
    <xf numFmtId="41" fontId="140" fillId="71" borderId="0">
      <alignment horizontal="left"/>
    </xf>
    <xf numFmtId="40" fontId="139" fillId="0" borderId="0" applyBorder="0">
      <alignment horizontal="right"/>
    </xf>
    <xf numFmtId="41" fontId="140" fillId="71" borderId="0">
      <alignment horizontal="left"/>
    </xf>
    <xf numFmtId="40" fontId="139" fillId="0" borderId="0" applyBorder="0">
      <alignment horizontal="right"/>
    </xf>
    <xf numFmtId="41" fontId="140" fillId="71" borderId="0">
      <alignment horizontal="left"/>
    </xf>
    <xf numFmtId="0" fontId="141" fillId="0" borderId="0"/>
    <xf numFmtId="0" fontId="19" fillId="0" borderId="0" applyNumberFormat="0" applyBorder="0" applyAlignment="0"/>
    <xf numFmtId="0" fontId="142" fillId="0" borderId="0" applyFill="0" applyBorder="0" applyProtection="0">
      <alignment horizontal="left" vertical="top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/>
    <xf numFmtId="0" fontId="124" fillId="82" borderId="0"/>
    <xf numFmtId="165" fontId="144" fillId="71" borderId="0">
      <alignment horizontal="left" vertical="center"/>
    </xf>
    <xf numFmtId="165" fontId="145" fillId="0" borderId="0">
      <alignment horizontal="left" vertical="center"/>
    </xf>
    <xf numFmtId="165" fontId="145" fillId="0" borderId="0">
      <alignment horizontal="left" vertical="center"/>
    </xf>
    <xf numFmtId="0" fontId="58" fillId="71" borderId="0">
      <alignment horizontal="left" wrapText="1"/>
    </xf>
    <xf numFmtId="0" fontId="58" fillId="71" borderId="0">
      <alignment horizontal="left" wrapText="1"/>
    </xf>
    <xf numFmtId="0" fontId="58" fillId="71" borderId="0">
      <alignment horizontal="left" wrapText="1"/>
    </xf>
    <xf numFmtId="171" fontId="66" fillId="0" borderId="0">
      <alignment horizontal="left" wrapText="1"/>
    </xf>
    <xf numFmtId="0" fontId="146" fillId="0" borderId="0">
      <alignment horizontal="left" vertical="center"/>
    </xf>
    <xf numFmtId="0" fontId="146" fillId="0" borderId="0">
      <alignment horizontal="left" vertical="center"/>
    </xf>
    <xf numFmtId="0" fontId="86" fillId="0" borderId="58" applyNumberFormat="0" applyFon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20" fillId="0" borderId="33" applyNumberFormat="0" applyFill="0" applyAlignment="0" applyProtection="0"/>
    <xf numFmtId="0" fontId="20" fillId="0" borderId="60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0" fontId="20" fillId="0" borderId="60" applyNumberFormat="0" applyFill="0" applyAlignment="0" applyProtection="0"/>
    <xf numFmtId="0" fontId="20" fillId="0" borderId="33" applyNumberFormat="0" applyFill="0" applyAlignment="0" applyProtection="0"/>
    <xf numFmtId="0" fontId="20" fillId="0" borderId="60" applyNumberFormat="0" applyFill="0" applyAlignment="0" applyProtection="0"/>
    <xf numFmtId="171" fontId="66" fillId="0" borderId="0">
      <alignment horizontal="left" wrapText="1"/>
    </xf>
    <xf numFmtId="171" fontId="66" fillId="0" borderId="0">
      <alignment horizontal="left" wrapText="1"/>
    </xf>
    <xf numFmtId="41" fontId="58" fillId="71" borderId="0">
      <alignment horizontal="left"/>
    </xf>
    <xf numFmtId="171" fontId="66" fillId="0" borderId="0">
      <alignment horizontal="left" wrapText="1"/>
    </xf>
    <xf numFmtId="171" fontId="66" fillId="0" borderId="0">
      <alignment horizontal="left" wrapText="1"/>
    </xf>
    <xf numFmtId="41" fontId="58" fillId="71" borderId="0">
      <alignment horizontal="left"/>
    </xf>
    <xf numFmtId="0" fontId="20" fillId="0" borderId="60" applyNumberFormat="0" applyFill="0" applyAlignment="0" applyProtection="0"/>
    <xf numFmtId="0" fontId="20" fillId="0" borderId="33" applyNumberFormat="0" applyFill="0" applyAlignment="0" applyProtection="0"/>
    <xf numFmtId="0" fontId="84" fillId="0" borderId="61"/>
    <xf numFmtId="0" fontId="85" fillId="0" borderId="61"/>
    <xf numFmtId="0" fontId="85" fillId="0" borderId="61"/>
    <xf numFmtId="0" fontId="84" fillId="0" borderId="61"/>
    <xf numFmtId="0" fontId="85" fillId="0" borderId="61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1" fontId="66" fillId="0" borderId="0">
      <alignment horizontal="left" wrapText="1"/>
    </xf>
    <xf numFmtId="0" fontId="3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8" fillId="71" borderId="11" applyNumberFormat="0">
      <alignment horizontal="center" vertical="center" wrapText="1"/>
    </xf>
    <xf numFmtId="0" fontId="19" fillId="0" borderId="0">
      <alignment readingOrder="1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readingOrder="1"/>
    </xf>
    <xf numFmtId="0" fontId="19" fillId="0" borderId="0">
      <alignment readingOrder="1"/>
    </xf>
    <xf numFmtId="43" fontId="19" fillId="0" borderId="0" applyFont="0" applyFill="0" applyBorder="0" applyAlignment="0" applyProtection="0"/>
    <xf numFmtId="3" fontId="18" fillId="0" borderId="0"/>
    <xf numFmtId="9" fontId="19" fillId="0" borderId="0" applyFont="0" applyFill="0" applyBorder="0" applyAlignment="0" applyProtection="0"/>
    <xf numFmtId="0" fontId="19" fillId="92" borderId="0" applyNumberFormat="0" applyFont="0" applyFill="0" applyBorder="0" applyAlignment="0" applyProtection="0"/>
    <xf numFmtId="169" fontId="81" fillId="79" borderId="0" applyFont="0" applyFill="0" applyBorder="0" applyAlignment="0" applyProtection="0">
      <alignment wrapText="1"/>
    </xf>
    <xf numFmtId="3" fontId="18" fillId="0" borderId="0"/>
    <xf numFmtId="0" fontId="19" fillId="0" borderId="0">
      <alignment readingOrder="1"/>
    </xf>
    <xf numFmtId="38" fontId="149" fillId="0" borderId="0" applyNumberFormat="0" applyFont="0" applyFill="0" applyBorder="0">
      <alignment horizontal="left" indent="4"/>
      <protection locked="0"/>
    </xf>
    <xf numFmtId="9" fontId="8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8" fillId="0" borderId="0"/>
    <xf numFmtId="0" fontId="81" fillId="0" borderId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44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47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  <xf numFmtId="0" fontId="65" fillId="0" borderId="0"/>
    <xf numFmtId="0" fontId="151" fillId="80" borderId="0"/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73" borderId="17" applyNumberFormat="0">
      <protection locked="0"/>
    </xf>
    <xf numFmtId="0" fontId="19" fillId="73" borderId="17" applyNumberFormat="0">
      <protection locked="0"/>
    </xf>
    <xf numFmtId="0" fontId="61" fillId="102" borderId="17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0" fontId="61" fillId="71" borderId="62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30" fillId="95" borderId="51" applyNumberFormat="0" applyProtection="0">
      <alignment horizontal="left" vertical="center" indent="1"/>
    </xf>
    <xf numFmtId="38" fontId="107" fillId="0" borderId="5"/>
    <xf numFmtId="38" fontId="107" fillId="0" borderId="5"/>
    <xf numFmtId="4" fontId="130" fillId="95" borderId="51" applyNumberFormat="0" applyProtection="0">
      <alignment horizontal="left" vertical="center" indent="1"/>
    </xf>
    <xf numFmtId="4" fontId="128" fillId="94" borderId="51" applyNumberFormat="0" applyProtection="0">
      <alignment horizontal="right" vertical="center"/>
    </xf>
    <xf numFmtId="38" fontId="107" fillId="0" borderId="5"/>
    <xf numFmtId="4" fontId="128" fillId="94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38" fontId="107" fillId="0" borderId="5"/>
    <xf numFmtId="4" fontId="128" fillId="93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4" fontId="128" fillId="90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4" fontId="128" fillId="89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4" fontId="128" fillId="88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4" fontId="128" fillId="79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8" fillId="79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202" fontId="127" fillId="71" borderId="5">
      <alignment horizontal="left"/>
    </xf>
    <xf numFmtId="4" fontId="135" fillId="97" borderId="51" applyNumberFormat="0" applyProtection="0">
      <alignment horizontal="right" vertical="center"/>
    </xf>
    <xf numFmtId="202" fontId="127" fillId="71" borderId="5">
      <alignment horizontal="left"/>
    </xf>
    <xf numFmtId="42" fontId="19" fillId="71" borderId="5">
      <alignment horizontal="left"/>
    </xf>
    <xf numFmtId="4" fontId="135" fillId="97" borderId="51" applyNumberFormat="0" applyProtection="0">
      <alignment horizontal="right" vertical="center"/>
    </xf>
    <xf numFmtId="42" fontId="19" fillId="71" borderId="5">
      <alignment horizontal="left"/>
    </xf>
    <xf numFmtId="0" fontId="61" fillId="102" borderId="17"/>
    <xf numFmtId="42" fontId="19" fillId="71" borderId="5">
      <alignment horizontal="left"/>
    </xf>
    <xf numFmtId="42" fontId="19" fillId="71" borderId="5">
      <alignment horizontal="left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4" fontId="128" fillId="101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4" fontId="128" fillId="101" borderId="51" applyNumberFormat="0" applyProtection="0">
      <alignment horizontal="left" vertical="center" indent="1"/>
    </xf>
    <xf numFmtId="0" fontId="19" fillId="73" borderId="17" applyNumberFormat="0">
      <protection locked="0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0" fontId="19" fillId="73" borderId="17" applyNumberFormat="0">
      <protection locked="0"/>
    </xf>
    <xf numFmtId="4" fontId="129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4" fontId="128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vertical="center"/>
    </xf>
    <xf numFmtId="0" fontId="126" fillId="82" borderId="53"/>
    <xf numFmtId="0" fontId="125" fillId="83" borderId="52"/>
    <xf numFmtId="0" fontId="107" fillId="68" borderId="56" applyBorder="0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73" borderId="17" applyNumberFormat="0">
      <protection locked="0"/>
    </xf>
    <xf numFmtId="0" fontId="19" fillId="73" borderId="17" applyNumberFormat="0">
      <protection locked="0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73" borderId="17" applyNumberFormat="0">
      <protection locked="0"/>
    </xf>
    <xf numFmtId="0" fontId="19" fillId="37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73" borderId="17" applyNumberFormat="0">
      <protection locked="0"/>
    </xf>
    <xf numFmtId="0" fontId="19" fillId="84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4" fontId="130" fillId="95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30" fillId="95" borderId="51" applyNumberFormat="0" applyProtection="0">
      <alignment horizontal="left" vertical="center" indent="1"/>
    </xf>
    <xf numFmtId="4" fontId="128" fillId="94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4" fontId="128" fillId="94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4" fontId="128" fillId="93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4" fontId="128" fillId="90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4" fontId="128" fillId="88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4" fontId="128" fillId="86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38" fontId="107" fillId="0" borderId="5"/>
    <xf numFmtId="4" fontId="129" fillId="79" borderId="51" applyNumberFormat="0" applyProtection="0">
      <alignment vertical="center"/>
    </xf>
    <xf numFmtId="4" fontId="128" fillId="79" borderId="51" applyNumberFormat="0" applyProtection="0">
      <alignment vertical="center"/>
    </xf>
    <xf numFmtId="0" fontId="19" fillId="99" borderId="51" applyNumberFormat="0" applyProtection="0">
      <alignment horizontal="left" vertical="center" indent="1"/>
    </xf>
    <xf numFmtId="4" fontId="128" fillId="79" borderId="51" applyNumberFormat="0" applyProtection="0">
      <alignment vertical="center"/>
    </xf>
    <xf numFmtId="4" fontId="128" fillId="99" borderId="51" applyNumberFormat="0" applyProtection="0">
      <alignment horizontal="left" vertical="center" indent="1"/>
    </xf>
    <xf numFmtId="38" fontId="107" fillId="0" borderId="5"/>
    <xf numFmtId="4" fontId="128" fillId="99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38" fontId="107" fillId="0" borderId="5"/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07" fillId="0" borderId="5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07" fillId="0" borderId="5"/>
    <xf numFmtId="0" fontId="107" fillId="0" borderId="5"/>
    <xf numFmtId="38" fontId="107" fillId="0" borderId="5"/>
    <xf numFmtId="38" fontId="107" fillId="0" borderId="5"/>
    <xf numFmtId="38" fontId="107" fillId="0" borderId="5"/>
    <xf numFmtId="202" fontId="127" fillId="71" borderId="5">
      <alignment horizontal="left"/>
    </xf>
    <xf numFmtId="4" fontId="130" fillId="95" borderId="51" applyNumberFormat="0" applyProtection="0">
      <alignment horizontal="left" vertical="center" indent="1"/>
    </xf>
    <xf numFmtId="38" fontId="107" fillId="0" borderId="5"/>
    <xf numFmtId="42" fontId="19" fillId="71" borderId="5">
      <alignment horizontal="left"/>
    </xf>
    <xf numFmtId="42" fontId="19" fillId="71" borderId="5">
      <alignment horizontal="left"/>
    </xf>
    <xf numFmtId="4" fontId="130" fillId="95" borderId="51" applyNumberFormat="0" applyProtection="0">
      <alignment horizontal="left" vertical="center" indent="1"/>
    </xf>
    <xf numFmtId="42" fontId="19" fillId="71" borderId="5">
      <alignment horizontal="left"/>
    </xf>
    <xf numFmtId="42" fontId="19" fillId="71" borderId="5">
      <alignment horizontal="left"/>
    </xf>
    <xf numFmtId="4" fontId="128" fillId="94" borderId="51" applyNumberFormat="0" applyProtection="0">
      <alignment horizontal="right" vertical="center"/>
    </xf>
    <xf numFmtId="4" fontId="128" fillId="94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4" fontId="128" fillId="79" borderId="51" applyNumberFormat="0" applyProtection="0">
      <alignment vertical="center"/>
    </xf>
    <xf numFmtId="4" fontId="128" fillId="79" borderId="51" applyNumberFormat="0" applyProtection="0">
      <alignment vertical="center"/>
    </xf>
    <xf numFmtId="0" fontId="126" fillId="82" borderId="53"/>
    <xf numFmtId="0" fontId="125" fillId="83" borderId="52"/>
    <xf numFmtId="4" fontId="135" fillId="97" borderId="51" applyNumberFormat="0" applyProtection="0">
      <alignment horizontal="right" vertical="center"/>
    </xf>
    <xf numFmtId="4" fontId="135" fillId="97" borderId="51" applyNumberFormat="0" applyProtection="0">
      <alignment horizontal="right" vertical="center"/>
    </xf>
    <xf numFmtId="202" fontId="127" fillId="71" borderId="5">
      <alignment horizontal="left"/>
    </xf>
    <xf numFmtId="0" fontId="61" fillId="102" borderId="17"/>
    <xf numFmtId="202" fontId="127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4" fontId="128" fillId="101" borderId="51" applyNumberFormat="0" applyProtection="0">
      <alignment vertical="center"/>
    </xf>
    <xf numFmtId="4" fontId="128" fillId="101" borderId="51" applyNumberFormat="0" applyProtection="0">
      <alignment vertical="center"/>
    </xf>
    <xf numFmtId="0" fontId="19" fillId="73" borderId="17" applyNumberFormat="0">
      <protection locked="0"/>
    </xf>
    <xf numFmtId="0" fontId="19" fillId="73" borderId="17" applyNumberFormat="0">
      <protection locked="0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30" fillId="95" borderId="51" applyNumberFormat="0" applyProtection="0">
      <alignment horizontal="left" vertical="center" indent="1"/>
    </xf>
    <xf numFmtId="4" fontId="128" fillId="94" borderId="51" applyNumberFormat="0" applyProtection="0">
      <alignment horizontal="right" vertical="center"/>
    </xf>
    <xf numFmtId="4" fontId="128" fillId="94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19" fillId="73" borderId="51" applyNumberFormat="0" applyAlignment="0" applyProtection="0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19" fillId="84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4" fontId="128" fillId="79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4" fontId="128" fillId="79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4" fontId="128" fillId="79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4" fontId="129" fillId="79" borderId="51" applyNumberFormat="0" applyProtection="0">
      <alignment vertical="center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4" fontId="129" fillId="79" borderId="51" applyNumberFormat="0" applyProtection="0">
      <alignment vertical="center"/>
    </xf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66" fillId="43" borderId="50" applyNumberFormat="0" applyFont="0" applyAlignment="0" applyProtection="0"/>
    <xf numFmtId="4" fontId="128" fillId="79" borderId="51" applyNumberFormat="0" applyProtection="0">
      <alignment vertical="center"/>
    </xf>
    <xf numFmtId="0" fontId="19" fillId="43" borderId="50" applyNumberFormat="0" applyFont="0" applyAlignment="0" applyProtection="0"/>
    <xf numFmtId="0" fontId="19" fillId="43" borderId="50" applyNumberFormat="0" applyFont="0" applyAlignment="0" applyProtection="0"/>
    <xf numFmtId="0" fontId="19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202" fontId="127" fillId="71" borderId="5">
      <alignment horizontal="left"/>
    </xf>
    <xf numFmtId="202" fontId="127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0" fontId="119" fillId="73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66" fillId="43" borderId="50" applyNumberFormat="0" applyFont="0" applyAlignment="0" applyProtection="0"/>
    <xf numFmtId="0" fontId="19" fillId="43" borderId="50" applyNumberFormat="0" applyFont="0" applyAlignment="0" applyProtection="0"/>
    <xf numFmtId="0" fontId="19" fillId="43" borderId="50" applyNumberFormat="0" applyFont="0" applyAlignment="0" applyProtection="0"/>
    <xf numFmtId="0" fontId="19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119" fillId="73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62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0" fontId="108" fillId="45" borderId="35" applyNumberFormat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0" fontId="108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3" borderId="51" applyNumberFormat="0" applyAlignment="0" applyProtection="0"/>
    <xf numFmtId="0" fontId="71" fillId="43" borderId="50" applyNumberFormat="0" applyFont="0" applyAlignment="0" applyProtection="0"/>
    <xf numFmtId="0" fontId="19" fillId="43" borderId="50" applyNumberFormat="0" applyFont="0" applyAlignment="0" applyProtection="0"/>
    <xf numFmtId="0" fontId="66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9" fontId="9" fillId="0" borderId="0" applyFont="0" applyFill="0" applyBorder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9" fontId="9" fillId="0" borderId="0" applyFont="0" applyFill="0" applyBorder="0" applyAlignment="0" applyProtection="0"/>
    <xf numFmtId="0" fontId="119" fillId="72" borderId="51" applyNumberFormat="0" applyAlignment="0" applyProtection="0"/>
    <xf numFmtId="0" fontId="119" fillId="72" borderId="51" applyNumberFormat="0" applyAlignment="0" applyProtection="0"/>
    <xf numFmtId="0" fontId="119" fillId="73" borderId="5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5" fillId="83" borderId="52"/>
    <xf numFmtId="0" fontId="126" fillId="82" borderId="53"/>
    <xf numFmtId="4" fontId="128" fillId="97" borderId="55" applyNumberFormat="0" applyProtection="0">
      <alignment horizontal="left" vertical="center" indent="1"/>
    </xf>
    <xf numFmtId="4" fontId="128" fillId="97" borderId="55" applyNumberFormat="0" applyProtection="0">
      <alignment horizontal="left" vertical="center" indent="1"/>
    </xf>
    <xf numFmtId="42" fontId="19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202" fontId="127" fillId="71" borderId="5">
      <alignment horizontal="left"/>
    </xf>
    <xf numFmtId="202" fontId="127" fillId="71" borderId="5">
      <alignment horizontal="left"/>
    </xf>
    <xf numFmtId="4" fontId="128" fillId="79" borderId="51" applyNumberFormat="0" applyProtection="0">
      <alignment vertical="center"/>
    </xf>
    <xf numFmtId="4" fontId="128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4" fontId="128" fillId="79" borderId="51" applyNumberFormat="0" applyProtection="0">
      <alignment horizontal="left" vertical="center" indent="1"/>
    </xf>
    <xf numFmtId="4" fontId="128" fillId="97" borderId="55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07" fillId="68" borderId="56" applyBorder="0"/>
    <xf numFmtId="0" fontId="107" fillId="68" borderId="56" applyBorder="0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86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0" fontId="125" fillId="83" borderId="52"/>
    <xf numFmtId="0" fontId="126" fillId="82" borderId="53"/>
    <xf numFmtId="4" fontId="128" fillId="88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7" borderId="55" applyNumberFormat="0" applyProtection="0">
      <alignment horizontal="left" vertical="center" indent="1"/>
    </xf>
    <xf numFmtId="4" fontId="128" fillId="92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4" fontId="128" fillId="94" borderId="51" applyNumberFormat="0" applyProtection="0">
      <alignment horizontal="right" vertical="center"/>
    </xf>
    <xf numFmtId="4" fontId="130" fillId="95" borderId="51" applyNumberFormat="0" applyProtection="0">
      <alignment horizontal="left" vertical="center" indent="1"/>
    </xf>
    <xf numFmtId="4" fontId="130" fillId="95" borderId="51" applyNumberFormat="0" applyProtection="0">
      <alignment horizontal="left" vertical="center" indent="1"/>
    </xf>
    <xf numFmtId="4" fontId="128" fillId="97" borderId="55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07" fillId="68" borderId="56" applyBorder="0"/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2" fontId="19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42" fontId="19" fillId="71" borderId="5">
      <alignment horizontal="left"/>
    </xf>
    <xf numFmtId="0" fontId="19" fillId="99" borderId="51" applyNumberFormat="0" applyProtection="0">
      <alignment horizontal="left" vertical="center" indent="1"/>
    </xf>
    <xf numFmtId="202" fontId="127" fillId="71" borderId="5">
      <alignment horizontal="left"/>
    </xf>
    <xf numFmtId="0" fontId="19" fillId="99" borderId="51" applyNumberFormat="0" applyProtection="0">
      <alignment horizontal="left" vertical="center" indent="1"/>
    </xf>
    <xf numFmtId="202" fontId="127" fillId="71" borderId="5">
      <alignment horizontal="left"/>
    </xf>
    <xf numFmtId="0" fontId="19" fillId="99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07" fillId="68" borderId="56" applyBorder="0"/>
    <xf numFmtId="4" fontId="128" fillId="79" borderId="51" applyNumberFormat="0" applyProtection="0">
      <alignment vertical="center"/>
    </xf>
    <xf numFmtId="0" fontId="19" fillId="37" borderId="51" applyNumberFormat="0" applyProtection="0">
      <alignment horizontal="left" vertical="center" indent="1"/>
    </xf>
    <xf numFmtId="4" fontId="128" fillId="79" borderId="51" applyNumberFormat="0" applyProtection="0">
      <alignment vertical="center"/>
    </xf>
    <xf numFmtId="4" fontId="129" fillId="79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4" fontId="128" fillId="7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73" borderId="17" applyNumberFormat="0">
      <protection locked="0"/>
    </xf>
    <xf numFmtId="0" fontId="19" fillId="73" borderId="17" applyNumberFormat="0">
      <protection locked="0"/>
    </xf>
    <xf numFmtId="4" fontId="128" fillId="7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86" borderId="51" applyNumberFormat="0" applyProtection="0">
      <alignment horizontal="right" vertical="center"/>
    </xf>
    <xf numFmtId="4" fontId="128" fillId="86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7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4" fontId="128" fillId="88" borderId="51" applyNumberFormat="0" applyProtection="0">
      <alignment horizontal="right" vertical="center"/>
    </xf>
    <xf numFmtId="4" fontId="128" fillId="89" borderId="51" applyNumberFormat="0" applyProtection="0">
      <alignment horizontal="right" vertical="center"/>
    </xf>
    <xf numFmtId="0" fontId="107" fillId="68" borderId="56" applyBorder="0"/>
    <xf numFmtId="4" fontId="128" fillId="89" borderId="51" applyNumberFormat="0" applyProtection="0">
      <alignment horizontal="right" vertical="center"/>
    </xf>
    <xf numFmtId="4" fontId="128" fillId="90" borderId="51" applyNumberFormat="0" applyProtection="0">
      <alignment horizontal="right" vertical="center"/>
    </xf>
    <xf numFmtId="4" fontId="128" fillId="101" borderId="51" applyNumberFormat="0" applyProtection="0">
      <alignment vertical="center"/>
    </xf>
    <xf numFmtId="4" fontId="128" fillId="90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1" borderId="51" applyNumberFormat="0" applyProtection="0">
      <alignment horizontal="right" vertical="center"/>
    </xf>
    <xf numFmtId="4" fontId="128" fillId="92" borderId="51" applyNumberFormat="0" applyProtection="0">
      <alignment horizontal="right" vertical="center"/>
    </xf>
    <xf numFmtId="4" fontId="128" fillId="101" borderId="51" applyNumberFormat="0" applyProtection="0">
      <alignment vertical="center"/>
    </xf>
    <xf numFmtId="4" fontId="128" fillId="92" borderId="51" applyNumberFormat="0" applyProtection="0">
      <alignment horizontal="right" vertical="center"/>
    </xf>
    <xf numFmtId="4" fontId="128" fillId="93" borderId="51" applyNumberFormat="0" applyProtection="0">
      <alignment horizontal="right" vertical="center"/>
    </xf>
    <xf numFmtId="4" fontId="129" fillId="101" borderId="51" applyNumberFormat="0" applyProtection="0">
      <alignment vertical="center"/>
    </xf>
    <xf numFmtId="4" fontId="128" fillId="93" borderId="51" applyNumberFormat="0" applyProtection="0">
      <alignment horizontal="right" vertical="center"/>
    </xf>
    <xf numFmtId="4" fontId="128" fillId="94" borderId="51" applyNumberFormat="0" applyProtection="0">
      <alignment horizontal="right" vertical="center"/>
    </xf>
    <xf numFmtId="4" fontId="129" fillId="101" borderId="51" applyNumberFormat="0" applyProtection="0">
      <alignment vertical="center"/>
    </xf>
    <xf numFmtId="4" fontId="128" fillId="94" borderId="51" applyNumberFormat="0" applyProtection="0">
      <alignment horizontal="right" vertical="center"/>
    </xf>
    <xf numFmtId="4" fontId="130" fillId="95" borderId="51" applyNumberFormat="0" applyProtection="0">
      <alignment horizontal="left" vertical="center" indent="1"/>
    </xf>
    <xf numFmtId="4" fontId="130" fillId="95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61" fillId="102" borderId="17"/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4" fontId="128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20" fillId="0" borderId="60" applyNumberFormat="0" applyFill="0" applyAlignment="0" applyProtection="0"/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20" fillId="0" borderId="60" applyNumberFormat="0" applyFill="0" applyAlignment="0" applyProtection="0"/>
    <xf numFmtId="0" fontId="19" fillId="99" borderId="51" applyNumberFormat="0" applyProtection="0">
      <alignment horizontal="left" vertical="center" indent="1"/>
    </xf>
    <xf numFmtId="0" fontId="20" fillId="0" borderId="60" applyNumberFormat="0" applyFill="0" applyAlignment="0" applyProtection="0"/>
    <xf numFmtId="0" fontId="19" fillId="99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20" fillId="0" borderId="60" applyNumberFormat="0" applyFill="0" applyAlignment="0" applyProtection="0"/>
    <xf numFmtId="0" fontId="19" fillId="100" borderId="51" applyNumberFormat="0" applyProtection="0">
      <alignment horizontal="left" vertical="center" indent="1"/>
    </xf>
    <xf numFmtId="10" fontId="61" fillId="71" borderId="17" applyNumberFormat="0" applyBorder="0" applyAlignment="0" applyProtection="0"/>
    <xf numFmtId="4" fontId="128" fillId="86" borderId="51" applyNumberFormat="0" applyProtection="0">
      <alignment horizontal="right" vertical="center"/>
    </xf>
    <xf numFmtId="0" fontId="71" fillId="43" borderId="50" applyNumberFormat="0" applyFon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84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10" fontId="61" fillId="71" borderId="62" applyNumberFormat="0" applyBorder="0" applyAlignment="0" applyProtection="0"/>
    <xf numFmtId="0" fontId="71" fillId="43" borderId="50" applyNumberFormat="0" applyFont="0" applyAlignment="0" applyProtection="0"/>
    <xf numFmtId="0" fontId="71" fillId="43" borderId="50" applyNumberFormat="0" applyFont="0" applyAlignment="0" applyProtection="0"/>
    <xf numFmtId="0" fontId="19" fillId="84" borderId="51" applyNumberFormat="0" applyProtection="0">
      <alignment horizontal="left" vertical="center" indent="1"/>
    </xf>
    <xf numFmtId="0" fontId="19" fillId="43" borderId="50" applyNumberFormat="0" applyFont="0" applyAlignment="0" applyProtection="0"/>
    <xf numFmtId="0" fontId="75" fillId="72" borderId="35" applyNumberForma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4" fontId="128" fillId="79" borderId="51" applyNumberFormat="0" applyProtection="0">
      <alignment horizontal="left" vertical="center" indent="1"/>
    </xf>
    <xf numFmtId="4" fontId="128" fillId="7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7" fillId="0" borderId="5"/>
    <xf numFmtId="0" fontId="107" fillId="0" borderId="5"/>
    <xf numFmtId="0" fontId="107" fillId="0" borderId="5"/>
    <xf numFmtId="38" fontId="107" fillId="0" borderId="5"/>
    <xf numFmtId="38" fontId="107" fillId="0" borderId="5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38" fontId="107" fillId="0" borderId="5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7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0" fontId="61" fillId="102" borderId="17"/>
    <xf numFmtId="4" fontId="128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35" fillId="97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4" fontId="135" fillId="97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73" borderId="17" applyNumberFormat="0">
      <protection locked="0"/>
    </xf>
    <xf numFmtId="0" fontId="19" fillId="73" borderId="17" applyNumberFormat="0">
      <protection locked="0"/>
    </xf>
    <xf numFmtId="0" fontId="19" fillId="73" borderId="62" applyNumberFormat="0">
      <protection locked="0"/>
    </xf>
    <xf numFmtId="4" fontId="128" fillId="101" borderId="51" applyNumberFormat="0" applyProtection="0">
      <alignment vertical="center"/>
    </xf>
    <xf numFmtId="0" fontId="19" fillId="73" borderId="62" applyNumberFormat="0">
      <protection locked="0"/>
    </xf>
    <xf numFmtId="4" fontId="128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61" fillId="102" borderId="17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61" fillId="102" borderId="17"/>
    <xf numFmtId="4" fontId="135" fillId="97" borderId="51" applyNumberFormat="0" applyProtection="0">
      <alignment horizontal="right" vertical="center"/>
    </xf>
    <xf numFmtId="38" fontId="107" fillId="0" borderId="5"/>
    <xf numFmtId="4" fontId="135" fillId="97" borderId="51" applyNumberFormat="0" applyProtection="0">
      <alignment horizontal="right" vertical="center"/>
    </xf>
    <xf numFmtId="38" fontId="107" fillId="0" borderId="5"/>
    <xf numFmtId="38" fontId="107" fillId="0" borderId="5"/>
    <xf numFmtId="0" fontId="107" fillId="0" borderId="5"/>
    <xf numFmtId="0" fontId="107" fillId="0" borderId="5"/>
    <xf numFmtId="0" fontId="98" fillId="0" borderId="53"/>
    <xf numFmtId="0" fontId="107" fillId="0" borderId="5"/>
    <xf numFmtId="38" fontId="107" fillId="0" borderId="5"/>
    <xf numFmtId="38" fontId="107" fillId="0" borderId="5"/>
    <xf numFmtId="38" fontId="107" fillId="0" borderId="5"/>
    <xf numFmtId="0" fontId="94" fillId="0" borderId="59" applyNumberFormat="0" applyFill="0" applyAlignment="0" applyProtection="0"/>
    <xf numFmtId="38" fontId="107" fillId="0" borderId="5"/>
    <xf numFmtId="38" fontId="107" fillId="0" borderId="5"/>
    <xf numFmtId="38" fontId="107" fillId="0" borderId="5"/>
    <xf numFmtId="38" fontId="107" fillId="0" borderId="5"/>
    <xf numFmtId="0" fontId="94" fillId="0" borderId="59" applyNumberFormat="0" applyFill="0" applyAlignment="0" applyProtection="0"/>
    <xf numFmtId="0" fontId="107" fillId="0" borderId="5"/>
    <xf numFmtId="0" fontId="107" fillId="0" borderId="5"/>
    <xf numFmtId="0" fontId="107" fillId="0" borderId="5"/>
    <xf numFmtId="38" fontId="107" fillId="0" borderId="5"/>
    <xf numFmtId="38" fontId="107" fillId="0" borderId="5"/>
    <xf numFmtId="38" fontId="107" fillId="0" borderId="5"/>
    <xf numFmtId="0" fontId="94" fillId="0" borderId="59" applyNumberFormat="0" applyFill="0" applyAlignment="0" applyProtection="0"/>
    <xf numFmtId="0" fontId="61" fillId="102" borderId="62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71" fillId="43" borderId="50" applyNumberFormat="0" applyFont="0" applyAlignment="0" applyProtection="0"/>
    <xf numFmtId="4" fontId="130" fillId="95" borderId="51" applyNumberFormat="0" applyProtection="0">
      <alignment horizontal="left" vertical="center" indent="1"/>
    </xf>
    <xf numFmtId="4" fontId="128" fillId="79" borderId="51" applyNumberFormat="0" applyProtection="0">
      <alignment vertical="center"/>
    </xf>
    <xf numFmtId="0" fontId="98" fillId="0" borderId="53"/>
    <xf numFmtId="0" fontId="75" fillId="72" borderId="35" applyNumberFormat="0" applyAlignment="0" applyProtection="0"/>
    <xf numFmtId="0" fontId="75" fillId="72" borderId="35" applyNumberFormat="0" applyAlignment="0" applyProtection="0"/>
    <xf numFmtId="0" fontId="71" fillId="43" borderId="50" applyNumberFormat="0" applyFont="0" applyAlignment="0" applyProtection="0"/>
    <xf numFmtId="0" fontId="119" fillId="72" borderId="51" applyNumberFormat="0" applyAlignment="0" applyProtection="0"/>
    <xf numFmtId="4" fontId="129" fillId="97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9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202" fontId="127" fillId="71" borderId="5">
      <alignment horizontal="left"/>
    </xf>
    <xf numFmtId="4" fontId="128" fillId="79" borderId="51" applyNumberFormat="0" applyProtection="0">
      <alignment horizontal="left" vertical="center" indent="1"/>
    </xf>
    <xf numFmtId="4" fontId="129" fillId="79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0" fontId="119" fillId="73" borderId="51" applyNumberFormat="0" applyAlignment="0" applyProtection="0"/>
    <xf numFmtId="0" fontId="19" fillId="100" borderId="51" applyNumberFormat="0" applyProtection="0">
      <alignment horizontal="left" vertical="center" indent="1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93" borderId="51" applyNumberFormat="0" applyProtection="0">
      <alignment horizontal="right" vertical="center"/>
    </xf>
    <xf numFmtId="0" fontId="19" fillId="99" borderId="51" applyNumberFormat="0" applyProtection="0">
      <alignment horizontal="left" vertical="center" indent="1"/>
    </xf>
    <xf numFmtId="4" fontId="128" fillId="99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10" fontId="61" fillId="71" borderId="17" applyNumberFormat="0" applyBorder="0" applyAlignment="0" applyProtection="0"/>
    <xf numFmtId="0" fontId="19" fillId="84" borderId="51" applyNumberFormat="0" applyProtection="0">
      <alignment horizontal="left" vertical="center" indent="1"/>
    </xf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42" fontId="19" fillId="71" borderId="5">
      <alignment horizontal="left"/>
    </xf>
    <xf numFmtId="0" fontId="119" fillId="72" borderId="51" applyNumberFormat="0" applyAlignment="0" applyProtection="0"/>
    <xf numFmtId="0" fontId="19" fillId="84" borderId="51" applyNumberFormat="0" applyProtection="0">
      <alignment horizontal="left" vertical="center" indent="1"/>
    </xf>
    <xf numFmtId="0" fontId="119" fillId="72" borderId="51" applyNumberFormat="0" applyAlignment="0" applyProtection="0"/>
    <xf numFmtId="10" fontId="61" fillId="71" borderId="62" applyNumberFormat="0" applyBorder="0" applyAlignment="0" applyProtection="0"/>
    <xf numFmtId="38" fontId="107" fillId="0" borderId="5"/>
    <xf numFmtId="0" fontId="19" fillId="37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100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73" borderId="62" applyNumberFormat="0">
      <protection locked="0"/>
    </xf>
    <xf numFmtId="0" fontId="19" fillId="73" borderId="62" applyNumberFormat="0">
      <protection locked="0"/>
    </xf>
    <xf numFmtId="0" fontId="19" fillId="84" borderId="51" applyNumberFormat="0" applyProtection="0">
      <alignment horizontal="left" vertical="center" indent="1"/>
    </xf>
    <xf numFmtId="0" fontId="107" fillId="68" borderId="56" applyBorder="0"/>
    <xf numFmtId="4" fontId="128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vertical="center"/>
    </xf>
    <xf numFmtId="4" fontId="129" fillId="101" borderId="51" applyNumberFormat="0" applyProtection="0">
      <alignment vertical="center"/>
    </xf>
    <xf numFmtId="0" fontId="19" fillId="84" borderId="51" applyNumberFormat="0" applyProtection="0">
      <alignment horizontal="left" vertical="center" indent="1"/>
    </xf>
    <xf numFmtId="4" fontId="129" fillId="101" borderId="51" applyNumberFormat="0" applyProtection="0">
      <alignment vertical="center"/>
    </xf>
    <xf numFmtId="4" fontId="128" fillId="101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4" fontId="128" fillId="97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4" fontId="129" fillId="97" borderId="51" applyNumberFormat="0" applyProtection="0">
      <alignment horizontal="right" vertical="center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19" fillId="84" borderId="51" applyNumberFormat="0" applyProtection="0">
      <alignment horizontal="left" vertical="center" indent="1"/>
    </xf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61" fillId="102" borderId="62"/>
    <xf numFmtId="0" fontId="20" fillId="0" borderId="60" applyNumberFormat="0" applyFill="0" applyAlignment="0" applyProtection="0"/>
    <xf numFmtId="4" fontId="135" fillId="97" borderId="51" applyNumberFormat="0" applyProtection="0">
      <alignment horizontal="right" vertical="center"/>
    </xf>
    <xf numFmtId="4" fontId="135" fillId="97" borderId="51" applyNumberFormat="0" applyProtection="0">
      <alignment horizontal="right" vertical="center"/>
    </xf>
    <xf numFmtId="0" fontId="20" fillId="0" borderId="60" applyNumberFormat="0" applyFill="0" applyAlignment="0" applyProtection="0"/>
    <xf numFmtId="4" fontId="135" fillId="97" borderId="51" applyNumberFormat="0" applyProtection="0">
      <alignment horizontal="right" vertical="center"/>
    </xf>
    <xf numFmtId="0" fontId="20" fillId="0" borderId="60" applyNumberFormat="0" applyFill="0" applyAlignment="0" applyProtection="0"/>
    <xf numFmtId="4" fontId="135" fillId="97" borderId="51" applyNumberFormat="0" applyProtection="0">
      <alignment horizontal="right" vertical="center"/>
    </xf>
    <xf numFmtId="0" fontId="20" fillId="0" borderId="60" applyNumberFormat="0" applyFill="0" applyAlignment="0" applyProtection="0"/>
    <xf numFmtId="0" fontId="119" fillId="72" borderId="51" applyNumberFormat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37" borderId="51" applyNumberFormat="0" applyProtection="0">
      <alignment horizontal="left" vertical="center" indent="1"/>
    </xf>
    <xf numFmtId="0" fontId="19" fillId="37" borderId="51" applyNumberFormat="0" applyProtection="0">
      <alignment horizontal="left" vertical="center" indent="1"/>
    </xf>
    <xf numFmtId="4" fontId="128" fillId="101" borderId="51" applyNumberFormat="0" applyProtection="0">
      <alignment horizontal="left" vertical="center" indent="1"/>
    </xf>
    <xf numFmtId="0" fontId="19" fillId="43" borderId="50" applyNumberFormat="0" applyFon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84" borderId="51" applyNumberFormat="0" applyProtection="0">
      <alignment horizontal="left" vertical="center" indent="1"/>
    </xf>
    <xf numFmtId="4" fontId="129" fillId="97" borderId="51" applyNumberFormat="0" applyProtection="0">
      <alignment horizontal="right" vertical="center"/>
    </xf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38" fontId="107" fillId="0" borderId="5"/>
    <xf numFmtId="38" fontId="107" fillId="0" borderId="5"/>
    <xf numFmtId="38" fontId="107" fillId="0" borderId="5"/>
    <xf numFmtId="38" fontId="107" fillId="0" borderId="5"/>
    <xf numFmtId="0" fontId="107" fillId="0" borderId="5"/>
    <xf numFmtId="0" fontId="107" fillId="0" borderId="5"/>
    <xf numFmtId="0" fontId="107" fillId="0" borderId="5"/>
    <xf numFmtId="38" fontId="107" fillId="0" borderId="5"/>
    <xf numFmtId="38" fontId="107" fillId="0" borderId="5"/>
    <xf numFmtId="38" fontId="107" fillId="0" borderId="5"/>
    <xf numFmtId="0" fontId="20" fillId="0" borderId="60" applyNumberFormat="0" applyFill="0" applyAlignment="0" applyProtection="0"/>
    <xf numFmtId="0" fontId="19" fillId="43" borderId="50" applyNumberFormat="0" applyFont="0" applyAlignment="0" applyProtection="0"/>
    <xf numFmtId="0" fontId="98" fillId="0" borderId="53"/>
    <xf numFmtId="0" fontId="19" fillId="43" borderId="50" applyNumberFormat="0" applyFont="0" applyAlignment="0" applyProtection="0"/>
    <xf numFmtId="0" fontId="19" fillId="43" borderId="50" applyNumberFormat="0" applyFont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20" fillId="0" borderId="60" applyNumberFormat="0" applyFill="0" applyAlignment="0" applyProtection="0"/>
    <xf numFmtId="10" fontId="61" fillId="71" borderId="17" applyNumberFormat="0" applyBorder="0" applyAlignment="0" applyProtection="0"/>
    <xf numFmtId="4" fontId="128" fillId="94" borderId="51" applyNumberFormat="0" applyProtection="0">
      <alignment horizontal="right" vertical="center"/>
    </xf>
    <xf numFmtId="0" fontId="75" fillId="72" borderId="35" applyNumberFormat="0" applyAlignment="0" applyProtection="0"/>
    <xf numFmtId="0" fontId="75" fillId="72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84" borderId="51" applyNumberFormat="0" applyProtection="0">
      <alignment horizontal="left" vertical="center" indent="1"/>
    </xf>
    <xf numFmtId="4" fontId="128" fillId="97" borderId="51" applyNumberFormat="0" applyProtection="0">
      <alignment horizontal="right" vertical="center"/>
    </xf>
    <xf numFmtId="0" fontId="119" fillId="72" borderId="51" applyNumberFormat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4" fontId="128" fillId="101" borderId="51" applyNumberFormat="0" applyProtection="0">
      <alignment horizontal="left" vertical="center" indent="1"/>
    </xf>
    <xf numFmtId="4" fontId="128" fillId="93" borderId="51" applyNumberFormat="0" applyProtection="0">
      <alignment horizontal="right" vertical="center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99" borderId="51" applyNumberFormat="0" applyProtection="0">
      <alignment horizontal="left" vertical="center" indent="1"/>
    </xf>
    <xf numFmtId="0" fontId="71" fillId="43" borderId="50" applyNumberFormat="0" applyFont="0" applyAlignment="0" applyProtection="0"/>
    <xf numFmtId="0" fontId="66" fillId="43" borderId="50" applyNumberFormat="0" applyFont="0" applyAlignment="0" applyProtection="0"/>
    <xf numFmtId="38" fontId="107" fillId="0" borderId="5"/>
    <xf numFmtId="38" fontId="107" fillId="0" borderId="5"/>
    <xf numFmtId="38" fontId="107" fillId="0" borderId="5"/>
    <xf numFmtId="38" fontId="107" fillId="0" borderId="5"/>
    <xf numFmtId="0" fontId="107" fillId="0" borderId="5"/>
    <xf numFmtId="0" fontId="107" fillId="0" borderId="5"/>
    <xf numFmtId="0" fontId="107" fillId="0" borderId="5"/>
    <xf numFmtId="38" fontId="107" fillId="0" borderId="5"/>
    <xf numFmtId="38" fontId="107" fillId="0" borderId="5"/>
    <xf numFmtId="38" fontId="107" fillId="0" borderId="5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9" fillId="99" borderId="51" applyNumberFormat="0" applyProtection="0">
      <alignment horizontal="left" vertical="center" indent="1"/>
    </xf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10" fontId="61" fillId="71" borderId="17" applyNumberFormat="0" applyBorder="0" applyAlignment="0" applyProtection="0"/>
    <xf numFmtId="0" fontId="98" fillId="0" borderId="53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20" fillId="0" borderId="60" applyNumberFormat="0" applyFill="0" applyAlignment="0" applyProtection="0"/>
    <xf numFmtId="0" fontId="75" fillId="72" borderId="35" applyNumberFormat="0" applyAlignment="0" applyProtection="0"/>
    <xf numFmtId="0" fontId="75" fillId="72" borderId="35" applyNumberFormat="0" applyAlignment="0" applyProtection="0"/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99" fillId="0" borderId="16">
      <alignment horizontal="left"/>
    </xf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0" fontId="108" fillId="45" borderId="35" applyNumberFormat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6" fillId="0" borderId="0">
      <alignment readingOrder="1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0" borderId="0">
      <alignment readingOrder="1"/>
    </xf>
    <xf numFmtId="0" fontId="56" fillId="0" borderId="0">
      <alignment readingOrder="1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2" fillId="0" borderId="0">
      <alignment readingOrder="1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9" fillId="0" borderId="66">
      <alignment horizontal="left"/>
    </xf>
    <xf numFmtId="0" fontId="99" fillId="0" borderId="66">
      <alignment horizontal="left"/>
    </xf>
    <xf numFmtId="0" fontId="99" fillId="0" borderId="66">
      <alignment horizontal="left"/>
    </xf>
    <xf numFmtId="0" fontId="99" fillId="0" borderId="66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68">
    <xf numFmtId="0" fontId="0" fillId="0" borderId="0" xfId="0"/>
    <xf numFmtId="0" fontId="17" fillId="0" borderId="0" xfId="0" applyFont="1"/>
    <xf numFmtId="0" fontId="20" fillId="0" borderId="0" xfId="0" applyFont="1"/>
    <xf numFmtId="0" fontId="21" fillId="0" borderId="4" xfId="0" applyFont="1" applyFill="1" applyBorder="1"/>
    <xf numFmtId="0" fontId="21" fillId="0" borderId="5" xfId="0" applyFont="1" applyFill="1" applyBorder="1"/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1" fillId="0" borderId="0" xfId="0" applyFont="1" applyFill="1" applyBorder="1"/>
    <xf numFmtId="0" fontId="21" fillId="0" borderId="9" xfId="4" applyFont="1" applyFill="1" applyBorder="1" applyAlignment="1">
      <alignment horizontal="center"/>
    </xf>
    <xf numFmtId="0" fontId="21" fillId="0" borderId="10" xfId="4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1" xfId="4" applyFont="1" applyFill="1" applyBorder="1" applyAlignment="1">
      <alignment horizontal="center"/>
    </xf>
    <xf numFmtId="0" fontId="21" fillId="0" borderId="12" xfId="4" applyFont="1" applyFill="1" applyBorder="1" applyAlignment="1">
      <alignment horizontal="center"/>
    </xf>
    <xf numFmtId="0" fontId="21" fillId="0" borderId="14" xfId="4" applyFont="1" applyFill="1" applyBorder="1" applyAlignment="1">
      <alignment horizontal="center"/>
    </xf>
    <xf numFmtId="0" fontId="21" fillId="0" borderId="15" xfId="4" applyFont="1" applyFill="1" applyBorder="1" applyAlignment="1">
      <alignment horizontal="center" wrapText="1"/>
    </xf>
    <xf numFmtId="0" fontId="21" fillId="0" borderId="16" xfId="4" applyFont="1" applyFill="1" applyBorder="1" applyAlignment="1">
      <alignment horizontal="center"/>
    </xf>
    <xf numFmtId="0" fontId="21" fillId="0" borderId="17" xfId="4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2" fillId="0" borderId="0" xfId="0" applyFont="1" applyFill="1" applyBorder="1"/>
    <xf numFmtId="10" fontId="21" fillId="0" borderId="9" xfId="0" applyNumberFormat="1" applyFont="1" applyFill="1" applyBorder="1"/>
    <xf numFmtId="49" fontId="20" fillId="0" borderId="10" xfId="0" applyNumberFormat="1" applyFont="1" applyBorder="1" applyAlignment="1">
      <alignment horizontal="center"/>
    </xf>
    <xf numFmtId="167" fontId="23" fillId="0" borderId="19" xfId="2" applyNumberFormat="1" applyFont="1" applyFill="1" applyBorder="1"/>
    <xf numFmtId="37" fontId="21" fillId="0" borderId="9" xfId="5" applyNumberFormat="1" applyFont="1" applyFill="1" applyBorder="1"/>
    <xf numFmtId="0" fontId="21" fillId="0" borderId="9" xfId="0" applyFont="1" applyFill="1" applyBorder="1"/>
    <xf numFmtId="37" fontId="21" fillId="0" borderId="9" xfId="6" applyNumberFormat="1" applyFont="1" applyFill="1" applyBorder="1"/>
    <xf numFmtId="0" fontId="21" fillId="0" borderId="0" xfId="0" applyFont="1" applyFill="1"/>
    <xf numFmtId="168" fontId="21" fillId="0" borderId="9" xfId="0" applyNumberFormat="1" applyFont="1" applyFill="1" applyBorder="1"/>
    <xf numFmtId="167" fontId="21" fillId="0" borderId="13" xfId="0" applyNumberFormat="1" applyFont="1" applyFill="1" applyBorder="1"/>
    <xf numFmtId="167" fontId="21" fillId="0" borderId="12" xfId="0" applyNumberFormat="1" applyFont="1" applyFill="1" applyBorder="1"/>
    <xf numFmtId="0" fontId="21" fillId="0" borderId="12" xfId="0" applyFont="1" applyFill="1" applyBorder="1"/>
    <xf numFmtId="0" fontId="21" fillId="0" borderId="0" xfId="0" applyFont="1" applyFill="1" applyBorder="1" applyAlignment="1">
      <alignment horizontal="center"/>
    </xf>
    <xf numFmtId="167" fontId="25" fillId="0" borderId="0" xfId="2" applyNumberFormat="1" applyFont="1"/>
    <xf numFmtId="172" fontId="17" fillId="0" borderId="0" xfId="3" applyNumberFormat="1" applyFont="1"/>
    <xf numFmtId="44" fontId="17" fillId="0" borderId="0" xfId="2" applyFont="1"/>
    <xf numFmtId="49" fontId="20" fillId="0" borderId="0" xfId="0" applyNumberFormat="1" applyFont="1" applyBorder="1" applyAlignment="1">
      <alignment horizontal="center"/>
    </xf>
    <xf numFmtId="37" fontId="17" fillId="0" borderId="0" xfId="0" applyNumberFormat="1" applyFont="1"/>
    <xf numFmtId="44" fontId="17" fillId="0" borderId="0" xfId="0" applyNumberFormat="1" applyFont="1"/>
    <xf numFmtId="0" fontId="17" fillId="3" borderId="0" xfId="0" applyFont="1" applyFill="1"/>
    <xf numFmtId="0" fontId="26" fillId="3" borderId="0" xfId="0" applyFont="1" applyFill="1" applyAlignment="1">
      <alignment horizontal="right"/>
    </xf>
    <xf numFmtId="164" fontId="26" fillId="3" borderId="0" xfId="0" applyNumberFormat="1" applyFont="1" applyFill="1"/>
    <xf numFmtId="165" fontId="17" fillId="0" borderId="0" xfId="0" applyNumberFormat="1" applyFont="1"/>
    <xf numFmtId="5" fontId="17" fillId="0" borderId="0" xfId="1" applyNumberFormat="1" applyFont="1"/>
    <xf numFmtId="166" fontId="17" fillId="0" borderId="0" xfId="1" applyNumberFormat="1" applyFont="1"/>
    <xf numFmtId="166" fontId="17" fillId="0" borderId="0" xfId="0" applyNumberFormat="1" applyFont="1"/>
    <xf numFmtId="5" fontId="17" fillId="0" borderId="0" xfId="0" applyNumberFormat="1" applyFont="1"/>
    <xf numFmtId="0" fontId="20" fillId="2" borderId="1" xfId="0" applyFont="1" applyFill="1" applyBorder="1"/>
    <xf numFmtId="0" fontId="20" fillId="2" borderId="2" xfId="0" applyFont="1" applyFill="1" applyBorder="1"/>
    <xf numFmtId="5" fontId="20" fillId="2" borderId="3" xfId="0" applyNumberFormat="1" applyFont="1" applyFill="1" applyBorder="1"/>
    <xf numFmtId="0" fontId="20" fillId="0" borderId="0" xfId="0" applyFont="1" applyFill="1" applyBorder="1"/>
    <xf numFmtId="5" fontId="20" fillId="0" borderId="0" xfId="0" applyNumberFormat="1" applyFont="1" applyFill="1" applyBorder="1"/>
    <xf numFmtId="10" fontId="20" fillId="0" borderId="0" xfId="3" applyNumberFormat="1" applyFont="1" applyFill="1" applyBorder="1"/>
    <xf numFmtId="0" fontId="23" fillId="0" borderId="0" xfId="0" applyFont="1"/>
    <xf numFmtId="17" fontId="17" fillId="0" borderId="0" xfId="0" applyNumberFormat="1" applyFont="1" applyAlignment="1">
      <alignment horizontal="center"/>
    </xf>
    <xf numFmtId="169" fontId="17" fillId="0" borderId="0" xfId="0" applyNumberFormat="1" applyFont="1" applyFill="1"/>
    <xf numFmtId="169" fontId="17" fillId="0" borderId="5" xfId="0" applyNumberFormat="1" applyFont="1" applyBorder="1"/>
    <xf numFmtId="169" fontId="17" fillId="0" borderId="0" xfId="0" applyNumberFormat="1" applyFont="1"/>
    <xf numFmtId="173" fontId="17" fillId="0" borderId="0" xfId="0" applyNumberFormat="1" applyFont="1"/>
    <xf numFmtId="10" fontId="17" fillId="0" borderId="0" xfId="0" applyNumberFormat="1" applyFont="1"/>
    <xf numFmtId="167" fontId="17" fillId="0" borderId="0" xfId="2" applyNumberFormat="1" applyFont="1"/>
    <xf numFmtId="167" fontId="17" fillId="0" borderId="0" xfId="0" applyNumberFormat="1" applyFont="1"/>
    <xf numFmtId="167" fontId="17" fillId="0" borderId="11" xfId="2" applyNumberFormat="1" applyFont="1" applyBorder="1"/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21" fillId="0" borderId="13" xfId="0" applyFont="1" applyFill="1" applyBorder="1" applyAlignment="1">
      <alignment horizontal="center"/>
    </xf>
    <xf numFmtId="0" fontId="21" fillId="0" borderId="14" xfId="0" applyFont="1" applyFill="1" applyBorder="1"/>
    <xf numFmtId="167" fontId="21" fillId="0" borderId="9" xfId="2" applyNumberFormat="1" applyFont="1" applyFill="1" applyBorder="1"/>
    <xf numFmtId="44" fontId="21" fillId="0" borderId="9" xfId="2" applyFont="1" applyFill="1" applyBorder="1"/>
    <xf numFmtId="0" fontId="27" fillId="0" borderId="0" xfId="0" applyFont="1" applyAlignment="1">
      <alignment horizontal="right"/>
    </xf>
    <xf numFmtId="167" fontId="27" fillId="0" borderId="0" xfId="2" applyNumberFormat="1" applyFont="1" applyFill="1"/>
    <xf numFmtId="167" fontId="27" fillId="0" borderId="0" xfId="2" applyNumberFormat="1" applyFont="1" applyAlignment="1">
      <alignment horizontal="right"/>
    </xf>
    <xf numFmtId="167" fontId="27" fillId="0" borderId="0" xfId="0" applyNumberFormat="1" applyFont="1" applyFill="1" applyBorder="1"/>
    <xf numFmtId="167" fontId="27" fillId="0" borderId="11" xfId="0" applyNumberFormat="1" applyFont="1" applyFill="1" applyBorder="1"/>
    <xf numFmtId="167" fontId="27" fillId="0" borderId="0" xfId="0" applyNumberFormat="1" applyFont="1" applyFill="1"/>
    <xf numFmtId="0" fontId="27" fillId="0" borderId="0" xfId="0" applyFont="1"/>
    <xf numFmtId="0" fontId="27" fillId="0" borderId="0" xfId="0" applyFont="1" applyFill="1"/>
    <xf numFmtId="0" fontId="28" fillId="0" borderId="22" xfId="0" applyFont="1" applyFill="1" applyBorder="1"/>
    <xf numFmtId="0" fontId="16" fillId="0" borderId="0" xfId="0" applyFont="1"/>
    <xf numFmtId="170" fontId="24" fillId="0" borderId="0" xfId="0" applyNumberFormat="1" applyFont="1" applyAlignment="1">
      <alignment readingOrder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 indent="1" readingOrder="1"/>
    </xf>
    <xf numFmtId="0" fontId="21" fillId="0" borderId="0" xfId="0" applyFont="1" applyFill="1" applyAlignment="1">
      <alignment horizontal="left" indent="1" readingOrder="1"/>
    </xf>
    <xf numFmtId="0" fontId="21" fillId="0" borderId="0" xfId="0" applyFont="1" applyBorder="1" applyAlignment="1">
      <alignment horizontal="left" indent="1" readingOrder="1"/>
    </xf>
    <xf numFmtId="0" fontId="21" fillId="0" borderId="0" xfId="0" applyFont="1" applyFill="1" applyBorder="1" applyAlignment="1">
      <alignment horizontal="left" indent="1" readingOrder="1"/>
    </xf>
    <xf numFmtId="0" fontId="21" fillId="0" borderId="0" xfId="0" applyFont="1"/>
    <xf numFmtId="169" fontId="16" fillId="0" borderId="0" xfId="0" applyNumberFormat="1" applyFont="1"/>
    <xf numFmtId="169" fontId="21" fillId="0" borderId="0" xfId="0" applyNumberFormat="1" applyFont="1"/>
    <xf numFmtId="9" fontId="16" fillId="0" borderId="0" xfId="3" applyFont="1"/>
    <xf numFmtId="0" fontId="24" fillId="0" borderId="0" xfId="5" applyFont="1"/>
    <xf numFmtId="171" fontId="21" fillId="0" borderId="0" xfId="5" applyNumberFormat="1" applyFont="1"/>
    <xf numFmtId="0" fontId="21" fillId="0" borderId="0" xfId="5" applyFont="1"/>
    <xf numFmtId="0" fontId="30" fillId="0" borderId="0" xfId="5" applyFont="1"/>
    <xf numFmtId="44" fontId="17" fillId="0" borderId="0" xfId="0" applyNumberFormat="1" applyFont="1" applyFill="1"/>
    <xf numFmtId="44" fontId="21" fillId="0" borderId="0" xfId="2" applyFont="1"/>
    <xf numFmtId="168" fontId="17" fillId="0" borderId="0" xfId="2" applyNumberFormat="1" applyFont="1"/>
    <xf numFmtId="168" fontId="21" fillId="0" borderId="0" xfId="2" applyNumberFormat="1" applyFont="1"/>
    <xf numFmtId="0" fontId="26" fillId="0" borderId="0" xfId="0" applyFont="1"/>
    <xf numFmtId="0" fontId="26" fillId="0" borderId="0" xfId="5" applyFont="1"/>
    <xf numFmtId="0" fontId="32" fillId="0" borderId="0" xfId="0" applyFont="1"/>
    <xf numFmtId="0" fontId="32" fillId="0" borderId="0" xfId="5" applyFont="1"/>
    <xf numFmtId="0" fontId="32" fillId="0" borderId="0" xfId="0" applyFont="1" applyFill="1"/>
    <xf numFmtId="172" fontId="15" fillId="0" borderId="0" xfId="3" applyNumberFormat="1" applyFont="1"/>
    <xf numFmtId="0" fontId="28" fillId="0" borderId="20" xfId="0" applyFont="1" applyFill="1" applyBorder="1" applyAlignment="1">
      <alignment vertical="center"/>
    </xf>
    <xf numFmtId="0" fontId="14" fillId="0" borderId="0" xfId="0" applyFont="1" applyFill="1" applyBorder="1"/>
    <xf numFmtId="0" fontId="17" fillId="4" borderId="11" xfId="0" applyFont="1" applyFill="1" applyBorder="1"/>
    <xf numFmtId="165" fontId="17" fillId="4" borderId="11" xfId="0" applyNumberFormat="1" applyFont="1" applyFill="1" applyBorder="1"/>
    <xf numFmtId="5" fontId="17" fillId="4" borderId="11" xfId="1" applyNumberFormat="1" applyFont="1" applyFill="1" applyBorder="1"/>
    <xf numFmtId="166" fontId="17" fillId="4" borderId="11" xfId="1" applyNumberFormat="1" applyFont="1" applyFill="1" applyBorder="1"/>
    <xf numFmtId="0" fontId="17" fillId="4" borderId="4" xfId="0" applyFont="1" applyFill="1" applyBorder="1"/>
    <xf numFmtId="0" fontId="17" fillId="4" borderId="5" xfId="0" applyFont="1" applyFill="1" applyBorder="1"/>
    <xf numFmtId="165" fontId="17" fillId="4" borderId="5" xfId="0" applyNumberFormat="1" applyFont="1" applyFill="1" applyBorder="1"/>
    <xf numFmtId="5" fontId="17" fillId="4" borderId="5" xfId="1" applyNumberFormat="1" applyFont="1" applyFill="1" applyBorder="1"/>
    <xf numFmtId="166" fontId="17" fillId="4" borderId="5" xfId="1" applyNumberFormat="1" applyFont="1" applyFill="1" applyBorder="1"/>
    <xf numFmtId="166" fontId="17" fillId="4" borderId="7" xfId="1" applyNumberFormat="1" applyFont="1" applyFill="1" applyBorder="1"/>
    <xf numFmtId="166" fontId="17" fillId="4" borderId="14" xfId="1" applyNumberFormat="1" applyFont="1" applyFill="1" applyBorder="1"/>
    <xf numFmtId="169" fontId="17" fillId="4" borderId="11" xfId="1" applyNumberFormat="1" applyFont="1" applyFill="1" applyBorder="1"/>
    <xf numFmtId="169" fontId="16" fillId="0" borderId="0" xfId="1" applyNumberFormat="1" applyFont="1"/>
    <xf numFmtId="169" fontId="25" fillId="0" borderId="0" xfId="1" applyNumberFormat="1" applyFont="1" applyFill="1"/>
    <xf numFmtId="169" fontId="25" fillId="0" borderId="0" xfId="0" applyNumberFormat="1" applyFont="1" applyFill="1"/>
    <xf numFmtId="2" fontId="16" fillId="0" borderId="0" xfId="0" applyNumberFormat="1" applyFont="1"/>
    <xf numFmtId="3" fontId="25" fillId="0" borderId="0" xfId="4" applyNumberFormat="1" applyFont="1" applyFill="1"/>
    <xf numFmtId="0" fontId="28" fillId="0" borderId="0" xfId="0" applyFont="1" applyFill="1" applyBorder="1" applyAlignment="1">
      <alignment vertical="center" wrapText="1"/>
    </xf>
    <xf numFmtId="168" fontId="24" fillId="0" borderId="17" xfId="2" applyNumberFormat="1" applyFont="1" applyFill="1" applyBorder="1"/>
    <xf numFmtId="168" fontId="25" fillId="0" borderId="9" xfId="0" applyNumberFormat="1" applyFont="1" applyFill="1" applyBorder="1"/>
    <xf numFmtId="0" fontId="17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/>
    <xf numFmtId="44" fontId="33" fillId="0" borderId="0" xfId="2" applyFont="1"/>
    <xf numFmtId="10" fontId="21" fillId="0" borderId="0" xfId="5" applyNumberFormat="1" applyFont="1" applyFill="1"/>
    <xf numFmtId="171" fontId="25" fillId="0" borderId="0" xfId="0" applyNumberFormat="1" applyFont="1" applyFill="1"/>
    <xf numFmtId="0" fontId="17" fillId="0" borderId="0" xfId="0" applyFont="1" applyAlignment="1">
      <alignment horizontal="center"/>
    </xf>
    <xf numFmtId="5" fontId="20" fillId="0" borderId="3" xfId="0" applyNumberFormat="1" applyFont="1" applyFill="1" applyBorder="1"/>
    <xf numFmtId="174" fontId="28" fillId="0" borderId="23" xfId="0" applyNumberFormat="1" applyFont="1" applyFill="1" applyBorder="1"/>
    <xf numFmtId="0" fontId="13" fillId="3" borderId="0" xfId="0" applyFont="1" applyFill="1"/>
    <xf numFmtId="0" fontId="36" fillId="0" borderId="0" xfId="0" applyFont="1"/>
    <xf numFmtId="0" fontId="36" fillId="0" borderId="0" xfId="0" applyFont="1" applyAlignment="1">
      <alignment wrapText="1"/>
    </xf>
    <xf numFmtId="10" fontId="17" fillId="0" borderId="0" xfId="3" applyNumberFormat="1" applyFont="1"/>
    <xf numFmtId="171" fontId="17" fillId="0" borderId="0" xfId="0" applyNumberFormat="1" applyFont="1" applyFill="1"/>
    <xf numFmtId="171" fontId="31" fillId="0" borderId="24" xfId="5" applyNumberFormat="1" applyFont="1" applyFill="1" applyBorder="1"/>
    <xf numFmtId="171" fontId="24" fillId="0" borderId="0" xfId="5" applyNumberFormat="1" applyFont="1" applyFill="1"/>
    <xf numFmtId="10" fontId="17" fillId="0" borderId="11" xfId="0" applyNumberFormat="1" applyFont="1" applyFill="1" applyBorder="1"/>
    <xf numFmtId="0" fontId="36" fillId="5" borderId="8" xfId="0" quotePrefix="1" applyFont="1" applyFill="1" applyBorder="1" applyAlignment="1">
      <alignment horizontal="center"/>
    </xf>
    <xf numFmtId="0" fontId="36" fillId="5" borderId="0" xfId="0" applyFont="1" applyFill="1" applyBorder="1"/>
    <xf numFmtId="0" fontId="36" fillId="5" borderId="8" xfId="0" applyFont="1" applyFill="1" applyBorder="1" applyAlignment="1">
      <alignment horizontal="center"/>
    </xf>
    <xf numFmtId="0" fontId="37" fillId="5" borderId="15" xfId="0" applyFont="1" applyFill="1" applyBorder="1"/>
    <xf numFmtId="0" fontId="38" fillId="5" borderId="16" xfId="0" applyFont="1" applyFill="1" applyBorder="1"/>
    <xf numFmtId="0" fontId="27" fillId="0" borderId="8" xfId="0" applyFont="1" applyBorder="1"/>
    <xf numFmtId="167" fontId="27" fillId="0" borderId="8" xfId="0" applyNumberFormat="1" applyFont="1" applyBorder="1"/>
    <xf numFmtId="0" fontId="27" fillId="0" borderId="0" xfId="0" applyFont="1" applyBorder="1"/>
    <xf numFmtId="167" fontId="27" fillId="0" borderId="0" xfId="2" applyNumberFormat="1" applyFont="1"/>
    <xf numFmtId="44" fontId="27" fillId="0" borderId="0" xfId="2" applyFont="1"/>
    <xf numFmtId="168" fontId="27" fillId="0" borderId="0" xfId="2" applyNumberFormat="1" applyFont="1"/>
    <xf numFmtId="0" fontId="39" fillId="0" borderId="0" xfId="0" applyFont="1" applyAlignment="1">
      <alignment horizontal="center"/>
    </xf>
    <xf numFmtId="0" fontId="39" fillId="0" borderId="0" xfId="0" applyFont="1"/>
    <xf numFmtId="0" fontId="27" fillId="0" borderId="11" xfId="0" applyFont="1" applyBorder="1"/>
    <xf numFmtId="167" fontId="40" fillId="0" borderId="0" xfId="2" applyNumberFormat="1" applyFont="1" applyFill="1"/>
    <xf numFmtId="167" fontId="27" fillId="0" borderId="11" xfId="2" applyNumberFormat="1" applyFont="1" applyFill="1" applyBorder="1"/>
    <xf numFmtId="167" fontId="27" fillId="0" borderId="14" xfId="0" applyNumberFormat="1" applyFont="1" applyFill="1" applyBorder="1"/>
    <xf numFmtId="167" fontId="27" fillId="0" borderId="0" xfId="2" applyNumberFormat="1" applyFont="1" applyBorder="1"/>
    <xf numFmtId="167" fontId="27" fillId="0" borderId="0" xfId="0" applyNumberFormat="1" applyFont="1"/>
    <xf numFmtId="0" fontId="41" fillId="0" borderId="0" xfId="0" applyFont="1"/>
    <xf numFmtId="0" fontId="42" fillId="0" borderId="0" xfId="0" applyFont="1"/>
    <xf numFmtId="0" fontId="12" fillId="0" borderId="0" xfId="0" applyFont="1"/>
    <xf numFmtId="171" fontId="17" fillId="0" borderId="0" xfId="0" applyNumberFormat="1" applyFont="1"/>
    <xf numFmtId="7" fontId="17" fillId="0" borderId="0" xfId="0" applyNumberFormat="1" applyFont="1" applyFill="1"/>
    <xf numFmtId="44" fontId="17" fillId="0" borderId="0" xfId="2" applyNumberFormat="1" applyFont="1"/>
    <xf numFmtId="167" fontId="43" fillId="0" borderId="0" xfId="2" applyNumberFormat="1" applyFont="1" applyFill="1"/>
    <xf numFmtId="167" fontId="43" fillId="0" borderId="0" xfId="2" applyNumberFormat="1" applyFont="1" applyFill="1" applyBorder="1"/>
    <xf numFmtId="0" fontId="45" fillId="0" borderId="0" xfId="0" applyFont="1" applyFill="1" applyBorder="1"/>
    <xf numFmtId="0" fontId="10" fillId="0" borderId="0" xfId="0" applyFont="1" applyAlignment="1"/>
    <xf numFmtId="0" fontId="9" fillId="0" borderId="0" xfId="0" applyFont="1"/>
    <xf numFmtId="3" fontId="16" fillId="0" borderId="0" xfId="0" applyNumberFormat="1" applyFont="1"/>
    <xf numFmtId="0" fontId="8" fillId="0" borderId="0" xfId="0" applyFont="1"/>
    <xf numFmtId="0" fontId="11" fillId="4" borderId="63" xfId="0" applyFont="1" applyFill="1" applyBorder="1"/>
    <xf numFmtId="0" fontId="17" fillId="4" borderId="64" xfId="0" applyFont="1" applyFill="1" applyBorder="1"/>
    <xf numFmtId="165" fontId="17" fillId="4" borderId="64" xfId="0" applyNumberFormat="1" applyFont="1" applyFill="1" applyBorder="1"/>
    <xf numFmtId="5" fontId="17" fillId="4" borderId="64" xfId="1" applyNumberFormat="1" applyFont="1" applyFill="1" applyBorder="1"/>
    <xf numFmtId="166" fontId="17" fillId="4" borderId="64" xfId="1" applyNumberFormat="1" applyFont="1" applyFill="1" applyBorder="1"/>
    <xf numFmtId="166" fontId="17" fillId="4" borderId="65" xfId="1" applyNumberFormat="1" applyFont="1" applyFill="1" applyBorder="1"/>
    <xf numFmtId="172" fontId="38" fillId="5" borderId="18" xfId="0" applyNumberFormat="1" applyFont="1" applyFill="1" applyBorder="1"/>
    <xf numFmtId="172" fontId="36" fillId="5" borderId="10" xfId="3" applyNumberFormat="1" applyFont="1" applyFill="1" applyBorder="1"/>
    <xf numFmtId="176" fontId="17" fillId="0" borderId="0" xfId="0" applyNumberFormat="1" applyFont="1"/>
    <xf numFmtId="0" fontId="24" fillId="0" borderId="0" xfId="5" applyFont="1" applyFill="1"/>
    <xf numFmtId="14" fontId="24" fillId="0" borderId="0" xfId="5" applyNumberFormat="1" applyFont="1" applyFill="1"/>
    <xf numFmtId="171" fontId="21" fillId="0" borderId="0" xfId="5" applyNumberFormat="1" applyFont="1" applyFill="1"/>
    <xf numFmtId="0" fontId="21" fillId="0" borderId="0" xfId="5" applyFont="1" applyFill="1"/>
    <xf numFmtId="171" fontId="21" fillId="0" borderId="16" xfId="5" applyNumberFormat="1" applyFont="1" applyFill="1" applyBorder="1"/>
    <xf numFmtId="4" fontId="31" fillId="0" borderId="0" xfId="5" applyNumberFormat="1" applyFont="1" applyFill="1" applyAlignment="1">
      <alignment horizontal="left"/>
    </xf>
    <xf numFmtId="0" fontId="7" fillId="0" borderId="0" xfId="0" applyFont="1" applyFill="1" applyAlignment="1"/>
    <xf numFmtId="14" fontId="27" fillId="0" borderId="0" xfId="0" applyNumberFormat="1" applyFont="1" applyFill="1"/>
    <xf numFmtId="198" fontId="29" fillId="0" borderId="21" xfId="3" applyNumberFormat="1" applyFont="1" applyFill="1" applyBorder="1"/>
    <xf numFmtId="0" fontId="7" fillId="4" borderId="13" xfId="0" applyFont="1" applyFill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" fontId="21" fillId="0" borderId="0" xfId="0" quotePrefix="1" applyNumberFormat="1" applyFont="1" applyAlignment="1">
      <alignment horizontal="center"/>
    </xf>
    <xf numFmtId="172" fontId="21" fillId="0" borderId="0" xfId="0" applyNumberFormat="1" applyFont="1"/>
    <xf numFmtId="0" fontId="21" fillId="0" borderId="0" xfId="0" quotePrefix="1" applyFont="1" applyAlignment="1">
      <alignment horizontal="center"/>
    </xf>
    <xf numFmtId="0" fontId="24" fillId="0" borderId="0" xfId="0" applyFont="1"/>
    <xf numFmtId="172" fontId="24" fillId="0" borderId="0" xfId="0" applyNumberFormat="1" applyFont="1"/>
    <xf numFmtId="0" fontId="6" fillId="0" borderId="0" xfId="0" applyFont="1"/>
    <xf numFmtId="0" fontId="36" fillId="5" borderId="4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wrapText="1"/>
    </xf>
    <xf numFmtId="0" fontId="36" fillId="5" borderId="7" xfId="0" applyFont="1" applyFill="1" applyBorder="1" applyAlignment="1">
      <alignment horizontal="center" wrapText="1"/>
    </xf>
    <xf numFmtId="0" fontId="36" fillId="5" borderId="8" xfId="0" applyFont="1" applyFill="1" applyBorder="1"/>
    <xf numFmtId="44" fontId="36" fillId="5" borderId="0" xfId="0" applyNumberFormat="1" applyFont="1" applyFill="1" applyBorder="1"/>
    <xf numFmtId="44" fontId="36" fillId="5" borderId="10" xfId="0" applyNumberFormat="1" applyFont="1" applyFill="1" applyBorder="1"/>
    <xf numFmtId="168" fontId="36" fillId="5" borderId="0" xfId="2" applyNumberFormat="1" applyFont="1" applyFill="1" applyBorder="1"/>
    <xf numFmtId="168" fontId="36" fillId="5" borderId="10" xfId="2" applyNumberFormat="1" applyFont="1" applyFill="1" applyBorder="1"/>
    <xf numFmtId="0" fontId="36" fillId="5" borderId="13" xfId="0" applyFont="1" applyFill="1" applyBorder="1"/>
    <xf numFmtId="168" fontId="36" fillId="5" borderId="11" xfId="2" applyNumberFormat="1" applyFont="1" applyFill="1" applyBorder="1"/>
    <xf numFmtId="168" fontId="36" fillId="5" borderId="14" xfId="2" applyNumberFormat="1" applyFont="1" applyFill="1" applyBorder="1"/>
    <xf numFmtId="0" fontId="5" fillId="0" borderId="0" xfId="0" applyFont="1"/>
    <xf numFmtId="168" fontId="17" fillId="0" borderId="0" xfId="2" applyNumberFormat="1" applyFont="1" applyFill="1"/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43" fontId="36" fillId="0" borderId="0" xfId="1" applyFont="1"/>
    <xf numFmtId="167" fontId="36" fillId="0" borderId="0" xfId="2" applyNumberFormat="1" applyFont="1"/>
    <xf numFmtId="167" fontId="36" fillId="0" borderId="0" xfId="1" applyNumberFormat="1" applyFont="1"/>
    <xf numFmtId="167" fontId="36" fillId="0" borderId="64" xfId="0" applyNumberFormat="1" applyFont="1" applyBorder="1"/>
    <xf numFmtId="43" fontId="36" fillId="0" borderId="64" xfId="1" applyFont="1" applyBorder="1"/>
    <xf numFmtId="169" fontId="36" fillId="0" borderId="0" xfId="1" applyNumberFormat="1" applyFont="1"/>
    <xf numFmtId="43" fontId="17" fillId="0" borderId="0" xfId="1" applyFont="1"/>
    <xf numFmtId="167" fontId="36" fillId="0" borderId="0" xfId="0" applyNumberFormat="1" applyFont="1"/>
    <xf numFmtId="169" fontId="153" fillId="0" borderId="0" xfId="1" applyNumberFormat="1" applyFont="1"/>
    <xf numFmtId="0" fontId="36" fillId="5" borderId="8" xfId="0" quotePrefix="1" applyFont="1" applyFill="1" applyBorder="1" applyAlignment="1">
      <alignment horizontal="left"/>
    </xf>
    <xf numFmtId="204" fontId="36" fillId="5" borderId="10" xfId="1" applyNumberFormat="1" applyFont="1" applyFill="1" applyBorder="1"/>
    <xf numFmtId="190" fontId="36" fillId="5" borderId="10" xfId="2" applyNumberFormat="1" applyFont="1" applyFill="1" applyBorder="1"/>
    <xf numFmtId="204" fontId="36" fillId="5" borderId="14" xfId="1" applyNumberFormat="1" applyFont="1" applyFill="1" applyBorder="1"/>
    <xf numFmtId="0" fontId="36" fillId="5" borderId="16" xfId="0" applyFont="1" applyFill="1" applyBorder="1" applyAlignment="1">
      <alignment horizontal="center" vertical="center"/>
    </xf>
    <xf numFmtId="0" fontId="38" fillId="5" borderId="13" xfId="0" applyFont="1" applyFill="1" applyBorder="1"/>
    <xf numFmtId="190" fontId="38" fillId="5" borderId="14" xfId="2" applyNumberFormat="1" applyFont="1" applyFill="1" applyBorder="1"/>
    <xf numFmtId="0" fontId="36" fillId="5" borderId="67" xfId="0" quotePrefix="1" applyFont="1" applyFill="1" applyBorder="1" applyAlignment="1">
      <alignment horizontal="left"/>
    </xf>
    <xf numFmtId="190" fontId="36" fillId="5" borderId="68" xfId="2" applyNumberFormat="1" applyFont="1" applyFill="1" applyBorder="1"/>
    <xf numFmtId="0" fontId="36" fillId="5" borderId="18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8" fillId="5" borderId="0" xfId="0" applyFont="1" applyFill="1" applyBorder="1"/>
    <xf numFmtId="190" fontId="38" fillId="5" borderId="0" xfId="2" applyNumberFormat="1" applyFont="1" applyFill="1" applyBorder="1"/>
    <xf numFmtId="0" fontId="37" fillId="5" borderId="0" xfId="0" applyFont="1" applyFill="1" applyBorder="1"/>
    <xf numFmtId="172" fontId="38" fillId="5" borderId="0" xfId="0" applyNumberFormat="1" applyFont="1" applyFill="1" applyBorder="1"/>
    <xf numFmtId="17" fontId="27" fillId="0" borderId="20" xfId="0" applyNumberFormat="1" applyFont="1" applyBorder="1" applyAlignment="1">
      <alignment horizontal="right"/>
    </xf>
    <xf numFmtId="198" fontId="27" fillId="0" borderId="69" xfId="0" applyNumberFormat="1" applyFont="1" applyBorder="1"/>
    <xf numFmtId="0" fontId="27" fillId="0" borderId="69" xfId="0" applyFont="1" applyBorder="1"/>
    <xf numFmtId="198" fontId="27" fillId="0" borderId="21" xfId="0" applyNumberFormat="1" applyFont="1" applyBorder="1"/>
    <xf numFmtId="0" fontId="27" fillId="0" borderId="70" xfId="0" applyFont="1" applyBorder="1" applyAlignment="1">
      <alignment horizontal="right"/>
    </xf>
    <xf numFmtId="198" fontId="27" fillId="0" borderId="0" xfId="0" applyNumberFormat="1" applyFont="1" applyBorder="1"/>
    <xf numFmtId="0" fontId="27" fillId="0" borderId="22" xfId="0" applyFont="1" applyBorder="1" applyAlignment="1">
      <alignment horizontal="right"/>
    </xf>
    <xf numFmtId="0" fontId="27" fillId="0" borderId="37" xfId="0" applyFont="1" applyBorder="1"/>
    <xf numFmtId="198" fontId="27" fillId="0" borderId="71" xfId="0" applyNumberFormat="1" applyFont="1" applyBorder="1"/>
    <xf numFmtId="198" fontId="27" fillId="105" borderId="23" xfId="0" applyNumberFormat="1" applyFont="1" applyFill="1" applyBorder="1"/>
    <xf numFmtId="0" fontId="4" fillId="0" borderId="0" xfId="0" applyFont="1" applyFill="1" applyAlignment="1"/>
    <xf numFmtId="17" fontId="4" fillId="0" borderId="0" xfId="0" applyNumberFormat="1" applyFont="1" applyAlignment="1">
      <alignment horizontal="center"/>
    </xf>
    <xf numFmtId="10" fontId="21" fillId="0" borderId="9" xfId="3" applyNumberFormat="1" applyFont="1" applyFill="1" applyBorder="1"/>
    <xf numFmtId="10" fontId="23" fillId="0" borderId="0" xfId="0" applyNumberFormat="1" applyFont="1" applyFill="1" applyBorder="1"/>
    <xf numFmtId="0" fontId="3" fillId="0" borderId="0" xfId="0" applyFont="1" applyFill="1"/>
    <xf numFmtId="0" fontId="16" fillId="0" borderId="0" xfId="0" applyFont="1" applyFill="1"/>
    <xf numFmtId="167" fontId="40" fillId="0" borderId="11" xfId="2" applyNumberFormat="1" applyFont="1" applyFill="1" applyBorder="1"/>
    <xf numFmtId="14" fontId="27" fillId="0" borderId="0" xfId="2" applyNumberFormat="1" applyFont="1"/>
    <xf numFmtId="167" fontId="25" fillId="0" borderId="0" xfId="2" applyNumberFormat="1" applyFont="1" applyFill="1"/>
    <xf numFmtId="0" fontId="2" fillId="0" borderId="0" xfId="0" applyFont="1"/>
    <xf numFmtId="166" fontId="13" fillId="4" borderId="0" xfId="0" applyNumberFormat="1" applyFont="1" applyFill="1" applyBorder="1" applyAlignment="1">
      <alignment horizontal="center"/>
    </xf>
    <xf numFmtId="166" fontId="17" fillId="4" borderId="0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54" fillId="5" borderId="11" xfId="0" applyFont="1" applyFill="1" applyBorder="1" applyAlignment="1">
      <alignment horizontal="center"/>
    </xf>
    <xf numFmtId="0" fontId="154" fillId="5" borderId="11" xfId="0" applyFont="1" applyFill="1" applyBorder="1" applyAlignment="1">
      <alignment horizontal="center" vertical="center"/>
    </xf>
  </cellXfs>
  <cellStyles count="1249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7"/>
  <sheetViews>
    <sheetView tabSelected="1" workbookViewId="0">
      <selection activeCell="C3" sqref="C3"/>
    </sheetView>
  </sheetViews>
  <sheetFormatPr defaultColWidth="9.140625" defaultRowHeight="15"/>
  <cols>
    <col min="1" max="1" width="9.140625" style="1"/>
    <col min="2" max="2" width="36.42578125" style="1" customWidth="1"/>
    <col min="3" max="3" width="17.85546875" style="1" customWidth="1"/>
    <col min="4" max="9" width="17" style="1" customWidth="1"/>
    <col min="10" max="10" width="4.85546875" style="1" customWidth="1"/>
    <col min="11" max="12" width="9.140625" style="1"/>
    <col min="13" max="13" width="10.570312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>
      <c r="C1" s="2" t="s">
        <v>3</v>
      </c>
      <c r="D1" s="2"/>
    </row>
    <row r="3" spans="1:10">
      <c r="A3" s="3"/>
      <c r="B3" s="4"/>
      <c r="C3" s="5"/>
      <c r="D3" s="5"/>
      <c r="E3" s="5"/>
      <c r="F3" s="5"/>
      <c r="G3" s="5"/>
      <c r="H3" s="5"/>
      <c r="I3" s="5"/>
      <c r="J3" s="6"/>
    </row>
    <row r="4" spans="1:10">
      <c r="A4" s="7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1"/>
    </row>
    <row r="5" spans="1:10">
      <c r="A5" s="7"/>
      <c r="B5" s="12" t="s">
        <v>11</v>
      </c>
      <c r="C5" s="13" t="s">
        <v>12</v>
      </c>
      <c r="D5" s="13" t="s">
        <v>114</v>
      </c>
      <c r="E5" s="13" t="s">
        <v>148</v>
      </c>
      <c r="F5" s="13" t="s">
        <v>147</v>
      </c>
      <c r="G5" s="13" t="s">
        <v>190</v>
      </c>
      <c r="H5" s="13" t="s">
        <v>13</v>
      </c>
      <c r="I5" s="13" t="s">
        <v>14</v>
      </c>
      <c r="J5" s="14"/>
    </row>
    <row r="6" spans="1:10">
      <c r="A6" s="15" t="s">
        <v>15</v>
      </c>
      <c r="B6" s="16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17" t="s">
        <v>22</v>
      </c>
      <c r="I6" s="17" t="s">
        <v>23</v>
      </c>
      <c r="J6" s="18" t="s">
        <v>24</v>
      </c>
    </row>
    <row r="7" spans="1:10">
      <c r="A7" s="19">
        <v>1</v>
      </c>
      <c r="B7" s="20" t="s">
        <v>25</v>
      </c>
      <c r="C7" s="9"/>
      <c r="D7" s="9"/>
      <c r="E7" s="9"/>
      <c r="F7" s="9"/>
      <c r="G7" s="9"/>
      <c r="H7" s="9"/>
      <c r="I7" s="9"/>
      <c r="J7" s="10"/>
    </row>
    <row r="8" spans="1:10" ht="15.75" thickBot="1">
      <c r="A8" s="19">
        <f>A7+1</f>
        <v>2</v>
      </c>
      <c r="B8" s="8" t="s">
        <v>26</v>
      </c>
      <c r="C8" s="21">
        <f>SUM(D8:I8)</f>
        <v>0.99999999999999989</v>
      </c>
      <c r="D8" s="253">
        <v>0.44502079821027724</v>
      </c>
      <c r="E8" s="253">
        <v>0.11302726434932626</v>
      </c>
      <c r="F8" s="253">
        <v>0.23126829205880595</v>
      </c>
      <c r="G8" s="253">
        <v>0.17858826299648645</v>
      </c>
      <c r="H8" s="253">
        <v>2.9072115954172154E-2</v>
      </c>
      <c r="I8" s="253">
        <v>3.0232664309319053E-3</v>
      </c>
      <c r="J8" s="22" t="s">
        <v>27</v>
      </c>
    </row>
    <row r="9" spans="1:10" ht="15.75" thickBot="1">
      <c r="A9" s="19">
        <f t="shared" ref="A9:A19" si="0">A8+1</f>
        <v>3</v>
      </c>
      <c r="B9" s="8" t="s">
        <v>137</v>
      </c>
      <c r="C9" s="23">
        <v>-954291.4273863401</v>
      </c>
      <c r="D9" s="67">
        <f>$C$9*D8</f>
        <v>-424679.53274069389</v>
      </c>
      <c r="E9" s="67">
        <f t="shared" ref="E9:I9" si="1">$C$9*E8</f>
        <v>-107860.94942949175</v>
      </c>
      <c r="F9" s="67">
        <f t="shared" si="1"/>
        <v>-220697.34853799891</v>
      </c>
      <c r="G9" s="67">
        <f t="shared" si="1"/>
        <v>-170425.24840936417</v>
      </c>
      <c r="H9" s="67">
        <f t="shared" si="1"/>
        <v>-27743.271031048134</v>
      </c>
      <c r="I9" s="67">
        <f t="shared" si="1"/>
        <v>-2885.077237743214</v>
      </c>
      <c r="J9" s="11"/>
    </row>
    <row r="10" spans="1:10">
      <c r="A10" s="19">
        <f t="shared" si="0"/>
        <v>4</v>
      </c>
      <c r="B10" s="8" t="s">
        <v>28</v>
      </c>
      <c r="C10" s="24">
        <f>SUM(D10:I10)</f>
        <v>5769559428.8537073</v>
      </c>
      <c r="D10" s="24">
        <f>'kWh Forecast'!R22</f>
        <v>2571839024.8467379</v>
      </c>
      <c r="E10" s="24">
        <f>'kWh Forecast'!R23</f>
        <v>680574751.6732415</v>
      </c>
      <c r="F10" s="24">
        <f>'kWh Forecast'!R24</f>
        <v>1317920329.8591602</v>
      </c>
      <c r="G10" s="24">
        <f>'kWh Forecast'!R25</f>
        <v>1035484092</v>
      </c>
      <c r="H10" s="24">
        <f>'kWh Forecast'!R26</f>
        <v>147885233.96393716</v>
      </c>
      <c r="I10" s="24">
        <f>'kWh Forecast'!R27</f>
        <v>15855996.510630269</v>
      </c>
      <c r="J10" s="22" t="s">
        <v>29</v>
      </c>
    </row>
    <row r="11" spans="1:10">
      <c r="A11" s="19">
        <f t="shared" si="0"/>
        <v>5</v>
      </c>
      <c r="B11" s="8" t="s">
        <v>30</v>
      </c>
      <c r="C11" s="25"/>
      <c r="D11" s="123">
        <f>D9/D10</f>
        <v>-1.6512679395476611E-4</v>
      </c>
      <c r="E11" s="123">
        <f t="shared" ref="E11:I11" si="2">E9/E10</f>
        <v>-1.5848508802935744E-4</v>
      </c>
      <c r="F11" s="123">
        <f t="shared" si="2"/>
        <v>-1.6745879362949336E-4</v>
      </c>
      <c r="G11" s="123">
        <f t="shared" si="2"/>
        <v>-1.6458509573062969E-4</v>
      </c>
      <c r="H11" s="123">
        <f t="shared" si="2"/>
        <v>-1.8760000770471461E-4</v>
      </c>
      <c r="I11" s="123">
        <f t="shared" si="2"/>
        <v>-1.8195496169597311E-4</v>
      </c>
      <c r="J11" s="11"/>
    </row>
    <row r="12" spans="1:10">
      <c r="A12" s="19">
        <f t="shared" si="0"/>
        <v>6</v>
      </c>
      <c r="B12" s="8" t="s">
        <v>31</v>
      </c>
      <c r="C12" s="26">
        <f>SUM(D12:I12)</f>
        <v>3233318.405898626</v>
      </c>
      <c r="D12" s="26">
        <f>'kWh Forecast'!R52</f>
        <v>2757141.0465116282</v>
      </c>
      <c r="E12" s="26">
        <f>'kWh Forecast'!R53</f>
        <v>425250.94856512552</v>
      </c>
      <c r="F12" s="26">
        <f>'kWh Forecast'!R54</f>
        <v>20374.023715823154</v>
      </c>
      <c r="G12" s="26">
        <f>'kWh Forecast'!R55</f>
        <v>264</v>
      </c>
      <c r="H12" s="26">
        <f>'kWh Forecast'!R56</f>
        <v>30288.387106049569</v>
      </c>
      <c r="I12" s="26"/>
      <c r="J12" s="22"/>
    </row>
    <row r="13" spans="1:10">
      <c r="A13" s="19">
        <f t="shared" si="0"/>
        <v>7</v>
      </c>
      <c r="B13" s="8" t="s">
        <v>32</v>
      </c>
      <c r="C13" s="25"/>
      <c r="D13" s="68">
        <f t="shared" ref="D13:H13" si="3">(D10/D12)*D11</f>
        <v>-0.15402894722343063</v>
      </c>
      <c r="E13" s="68">
        <f t="shared" si="3"/>
        <v>-0.25364070272725864</v>
      </c>
      <c r="F13" s="68">
        <f t="shared" si="3"/>
        <v>-10.832290745131406</v>
      </c>
      <c r="G13" s="68">
        <f t="shared" si="3"/>
        <v>-645.55018336880357</v>
      </c>
      <c r="H13" s="68">
        <f t="shared" si="3"/>
        <v>-0.9159705643588697</v>
      </c>
      <c r="I13" s="68"/>
      <c r="J13" s="11"/>
    </row>
    <row r="14" spans="1:10">
      <c r="A14" s="19">
        <f t="shared" si="0"/>
        <v>8</v>
      </c>
      <c r="B14" s="8" t="s">
        <v>33</v>
      </c>
      <c r="C14" s="25"/>
      <c r="D14" s="68">
        <f t="shared" ref="D14:H14" si="4">(D10/(D12/12))*D11</f>
        <v>-1.8483473666811678</v>
      </c>
      <c r="E14" s="68">
        <f t="shared" si="4"/>
        <v>-3.0436884327271039</v>
      </c>
      <c r="F14" s="68">
        <f t="shared" si="4"/>
        <v>-129.98748894157686</v>
      </c>
      <c r="G14" s="68">
        <f t="shared" si="4"/>
        <v>-7746.6022004256438</v>
      </c>
      <c r="H14" s="68">
        <f t="shared" si="4"/>
        <v>-10.991646772306435</v>
      </c>
      <c r="I14" s="68"/>
      <c r="J14" s="11"/>
    </row>
    <row r="15" spans="1:10">
      <c r="A15" s="19">
        <f t="shared" si="0"/>
        <v>9</v>
      </c>
      <c r="B15" s="27"/>
      <c r="C15" s="7"/>
      <c r="D15" s="25"/>
      <c r="E15" s="25"/>
      <c r="F15" s="25"/>
      <c r="G15" s="25"/>
      <c r="H15" s="25"/>
      <c r="I15" s="25"/>
      <c r="J15" s="25"/>
    </row>
    <row r="16" spans="1:10">
      <c r="A16" s="19">
        <f t="shared" si="0"/>
        <v>10</v>
      </c>
      <c r="B16" s="27" t="s">
        <v>34</v>
      </c>
      <c r="C16" s="7"/>
      <c r="D16" s="28">
        <f>D11</f>
        <v>-1.6512679395476611E-4</v>
      </c>
      <c r="E16" s="28">
        <f t="shared" ref="E16:I16" si="5">E11</f>
        <v>-1.5848508802935744E-4</v>
      </c>
      <c r="F16" s="28">
        <f t="shared" si="5"/>
        <v>-1.6745879362949336E-4</v>
      </c>
      <c r="G16" s="28">
        <f t="shared" si="5"/>
        <v>-1.6458509573062969E-4</v>
      </c>
      <c r="H16" s="28">
        <f t="shared" si="5"/>
        <v>-1.8760000770471461E-4</v>
      </c>
      <c r="I16" s="28">
        <f t="shared" si="5"/>
        <v>-1.8195496169597311E-4</v>
      </c>
      <c r="J16" s="25"/>
    </row>
    <row r="17" spans="1:14">
      <c r="A17" s="19">
        <f t="shared" si="0"/>
        <v>11</v>
      </c>
      <c r="B17" s="27" t="s">
        <v>35</v>
      </c>
      <c r="C17" s="7"/>
      <c r="D17" s="124">
        <v>-6.1819999999999996E-4</v>
      </c>
      <c r="E17" s="124">
        <v>-5.9999999999999995E-4</v>
      </c>
      <c r="F17" s="124">
        <v>-6.6E-4</v>
      </c>
      <c r="G17" s="124">
        <v>-6.2E-4</v>
      </c>
      <c r="H17" s="124">
        <v>-6.0999999999999997E-4</v>
      </c>
      <c r="I17" s="124">
        <v>-7.1000000000000002E-4</v>
      </c>
      <c r="J17" s="25"/>
    </row>
    <row r="18" spans="1:14">
      <c r="A18" s="19">
        <f t="shared" si="0"/>
        <v>12</v>
      </c>
      <c r="B18" s="27" t="s">
        <v>36</v>
      </c>
      <c r="C18" s="7"/>
      <c r="D18" s="28">
        <f t="shared" ref="D18:I18" si="6">D16-D17</f>
        <v>4.5307320604523384E-4</v>
      </c>
      <c r="E18" s="28">
        <f t="shared" si="6"/>
        <v>4.4151491197064251E-4</v>
      </c>
      <c r="F18" s="28">
        <f t="shared" si="6"/>
        <v>4.9254120637050661E-4</v>
      </c>
      <c r="G18" s="28">
        <f t="shared" si="6"/>
        <v>4.5541490426937033E-4</v>
      </c>
      <c r="H18" s="28">
        <f t="shared" si="6"/>
        <v>4.2239999229528539E-4</v>
      </c>
      <c r="I18" s="28">
        <f t="shared" si="6"/>
        <v>5.2804503830402693E-4</v>
      </c>
      <c r="J18" s="25"/>
    </row>
    <row r="19" spans="1:14">
      <c r="A19" s="65">
        <f t="shared" si="0"/>
        <v>13</v>
      </c>
      <c r="B19" s="66" t="s">
        <v>37</v>
      </c>
      <c r="C19" s="29">
        <f>SUM(D19:I19)</f>
        <v>2657259.613765453</v>
      </c>
      <c r="D19" s="30">
        <f t="shared" ref="D19:I19" si="7">D18*D10</f>
        <v>1165231.3524195594</v>
      </c>
      <c r="E19" s="30">
        <f t="shared" si="7"/>
        <v>300483.90157445311</v>
      </c>
      <c r="F19" s="30">
        <f t="shared" si="7"/>
        <v>649130.06916904671</v>
      </c>
      <c r="G19" s="30">
        <f t="shared" si="7"/>
        <v>471574.88863063586</v>
      </c>
      <c r="H19" s="30">
        <f t="shared" si="7"/>
        <v>62466.721686953533</v>
      </c>
      <c r="I19" s="30">
        <f t="shared" si="7"/>
        <v>8372.6802848042771</v>
      </c>
      <c r="J19" s="31"/>
    </row>
    <row r="20" spans="1:14">
      <c r="A20" s="19"/>
      <c r="B20" s="27"/>
      <c r="C20" s="27"/>
      <c r="D20" s="27"/>
      <c r="E20" s="27"/>
      <c r="F20" s="27"/>
      <c r="G20" s="27"/>
      <c r="H20" s="27"/>
      <c r="I20" s="27"/>
      <c r="J20" s="27"/>
      <c r="N20" s="61"/>
    </row>
    <row r="21" spans="1:14">
      <c r="A21" s="32"/>
      <c r="B21" s="27"/>
      <c r="C21" s="27"/>
      <c r="D21" s="27"/>
      <c r="E21" s="27"/>
      <c r="F21" s="27"/>
      <c r="G21" s="27"/>
      <c r="H21" s="27"/>
      <c r="I21" s="27"/>
      <c r="J21" s="27"/>
    </row>
    <row r="22" spans="1:14">
      <c r="B22" s="8" t="s">
        <v>56</v>
      </c>
      <c r="C22" s="33">
        <f>SUM(D22:I22)</f>
        <v>574128000</v>
      </c>
      <c r="D22" s="259">
        <v>268876000</v>
      </c>
      <c r="E22" s="259">
        <v>86893000</v>
      </c>
      <c r="F22" s="259">
        <v>130352000</v>
      </c>
      <c r="G22" s="259">
        <v>68027000</v>
      </c>
      <c r="H22" s="259">
        <v>13148000</v>
      </c>
      <c r="I22" s="259">
        <v>6832000</v>
      </c>
      <c r="J22" s="27"/>
    </row>
    <row r="23" spans="1:14">
      <c r="B23" s="8" t="s">
        <v>57</v>
      </c>
      <c r="C23" s="34">
        <f>C19/C22</f>
        <v>4.6283400457135917E-3</v>
      </c>
      <c r="D23" s="34">
        <f>D19/D22</f>
        <v>4.3337127613455994E-3</v>
      </c>
      <c r="E23" s="34">
        <f t="shared" ref="E23:I23" si="8">E19/E22</f>
        <v>3.458091003584329E-3</v>
      </c>
      <c r="F23" s="34">
        <f t="shared" si="8"/>
        <v>4.9798243921769262E-3</v>
      </c>
      <c r="G23" s="34">
        <f t="shared" si="8"/>
        <v>6.9321723526046403E-3</v>
      </c>
      <c r="H23" s="34">
        <f t="shared" si="8"/>
        <v>4.7510436330204997E-3</v>
      </c>
      <c r="I23" s="138">
        <f t="shared" si="8"/>
        <v>1.2255094093683075E-3</v>
      </c>
    </row>
    <row r="25" spans="1:14">
      <c r="B25" s="201" t="s">
        <v>158</v>
      </c>
      <c r="D25" s="167">
        <f>ROUND((ROUND(D16,5)-ROUND(D17,5))*932,2)</f>
        <v>0.42</v>
      </c>
    </row>
    <row r="26" spans="1:14">
      <c r="B26" s="1" t="s">
        <v>58</v>
      </c>
      <c r="D26" s="102">
        <f>D25/C42</f>
        <v>4.7286647151542436E-3</v>
      </c>
      <c r="F26" s="61"/>
    </row>
    <row r="27" spans="1:14">
      <c r="H27" s="61"/>
    </row>
    <row r="28" spans="1:14">
      <c r="D28" s="183"/>
      <c r="F28" s="38"/>
    </row>
    <row r="29" spans="1:14">
      <c r="A29" s="36" t="s">
        <v>27</v>
      </c>
      <c r="B29" s="8" t="s">
        <v>179</v>
      </c>
      <c r="C29" s="63"/>
    </row>
    <row r="30" spans="1:14">
      <c r="A30" s="36"/>
      <c r="B30" s="8" t="s">
        <v>112</v>
      </c>
      <c r="C30" s="63"/>
      <c r="G30" s="99"/>
    </row>
    <row r="31" spans="1:14">
      <c r="A31" s="36" t="s">
        <v>29</v>
      </c>
      <c r="B31" s="8" t="s">
        <v>178</v>
      </c>
      <c r="C31" s="63"/>
      <c r="G31" s="37"/>
    </row>
    <row r="32" spans="1:14">
      <c r="A32" s="36"/>
    </row>
    <row r="35" spans="2:22">
      <c r="F35" s="213"/>
    </row>
    <row r="36" spans="2:22">
      <c r="F36" s="213"/>
    </row>
    <row r="37" spans="2:22">
      <c r="F37" s="213"/>
    </row>
    <row r="38" spans="2:22">
      <c r="B38" s="97" t="s">
        <v>97</v>
      </c>
      <c r="M38" s="126"/>
      <c r="N38" s="127"/>
      <c r="O38" s="127"/>
      <c r="P38" s="126"/>
    </row>
    <row r="39" spans="2:22">
      <c r="B39" s="1" t="s">
        <v>98</v>
      </c>
      <c r="C39" s="35">
        <v>9</v>
      </c>
      <c r="M39" s="128"/>
      <c r="N39" s="129"/>
      <c r="O39" s="129"/>
      <c r="P39" s="129"/>
    </row>
    <row r="40" spans="2:22">
      <c r="B40" s="1" t="s">
        <v>99</v>
      </c>
      <c r="C40" s="214">
        <v>8.3549999999999999E-2</v>
      </c>
      <c r="G40" s="85"/>
      <c r="H40" s="85"/>
      <c r="I40" s="85"/>
      <c r="J40" s="85"/>
      <c r="K40" s="85"/>
      <c r="L40" s="85"/>
      <c r="M40" s="85"/>
      <c r="N40" s="96"/>
      <c r="O40" s="96"/>
      <c r="P40" s="96"/>
      <c r="Q40" s="85"/>
      <c r="R40" s="85"/>
      <c r="S40" s="85"/>
      <c r="T40" s="85"/>
      <c r="U40" s="85"/>
      <c r="V40" s="85"/>
    </row>
    <row r="41" spans="2:22">
      <c r="B41" s="1" t="s">
        <v>100</v>
      </c>
      <c r="C41" s="214">
        <v>9.8360000000000003E-2</v>
      </c>
      <c r="G41" s="85"/>
      <c r="H41" s="85"/>
      <c r="I41" s="85"/>
      <c r="J41" s="85"/>
      <c r="K41" s="85"/>
      <c r="L41" s="85"/>
      <c r="M41" s="85"/>
      <c r="N41" s="96"/>
      <c r="O41" s="96"/>
      <c r="P41" s="96"/>
      <c r="Q41" s="85"/>
      <c r="R41" s="85"/>
      <c r="S41" s="85"/>
      <c r="T41" s="85"/>
      <c r="U41" s="85"/>
      <c r="V41" s="85"/>
    </row>
    <row r="42" spans="2:22">
      <c r="B42" s="201" t="s">
        <v>159</v>
      </c>
      <c r="C42" s="35">
        <f>C39+ROUND((800*C40),2)+ROUND(((932-800)*C41),2)</f>
        <v>88.820000000000007</v>
      </c>
      <c r="G42" s="85"/>
      <c r="H42" s="85"/>
      <c r="I42" s="85"/>
      <c r="J42" s="85"/>
      <c r="K42" s="85"/>
      <c r="L42" s="85"/>
      <c r="M42" s="85"/>
      <c r="N42" s="96"/>
      <c r="O42" s="96"/>
      <c r="P42" s="96"/>
      <c r="Q42" s="85"/>
      <c r="R42" s="85"/>
      <c r="S42" s="85"/>
      <c r="T42" s="85"/>
      <c r="U42" s="85"/>
      <c r="V42" s="85"/>
    </row>
    <row r="43" spans="2:22"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2:22">
      <c r="B44" s="174" t="s">
        <v>146</v>
      </c>
      <c r="C44" s="93">
        <f>D25</f>
        <v>0.42</v>
      </c>
      <c r="D44" s="34">
        <f>C44/C42</f>
        <v>4.7286647151542436E-3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</row>
    <row r="45" spans="2:22">
      <c r="G45" s="85"/>
      <c r="H45" s="85"/>
      <c r="I45" s="85"/>
      <c r="J45" s="85"/>
      <c r="K45" s="85"/>
      <c r="L45" s="85"/>
      <c r="M45" s="194"/>
      <c r="N45" s="195"/>
      <c r="O45" s="194"/>
      <c r="P45" s="85"/>
      <c r="Q45" s="85"/>
      <c r="R45" s="85"/>
      <c r="S45" s="85"/>
      <c r="T45" s="85"/>
      <c r="U45" s="85"/>
      <c r="V45" s="85"/>
    </row>
    <row r="46" spans="2:22">
      <c r="B46" s="1" t="s">
        <v>111</v>
      </c>
      <c r="C46" s="38">
        <f>SUM(C42:C45)</f>
        <v>89.240000000000009</v>
      </c>
      <c r="G46" s="85"/>
      <c r="H46" s="85"/>
      <c r="I46" s="85"/>
      <c r="J46" s="85"/>
      <c r="K46" s="85"/>
      <c r="L46" s="85"/>
      <c r="M46" s="196"/>
      <c r="N46" s="85"/>
      <c r="O46" s="197"/>
      <c r="P46" s="85"/>
      <c r="Q46" s="85"/>
      <c r="R46" s="85"/>
      <c r="S46" s="85"/>
      <c r="T46" s="85"/>
      <c r="U46" s="85"/>
      <c r="V46" s="85"/>
    </row>
    <row r="47" spans="2:22">
      <c r="G47" s="85"/>
      <c r="H47" s="85"/>
      <c r="I47" s="85"/>
      <c r="J47" s="85"/>
      <c r="K47" s="85"/>
      <c r="L47" s="85"/>
      <c r="M47" s="198"/>
      <c r="N47" s="85"/>
      <c r="O47" s="197"/>
      <c r="P47" s="85"/>
      <c r="Q47" s="85"/>
      <c r="R47" s="85"/>
      <c r="S47" s="85"/>
      <c r="T47" s="85"/>
      <c r="U47" s="85"/>
      <c r="V47" s="85"/>
    </row>
    <row r="48" spans="2:22">
      <c r="G48" s="85"/>
      <c r="H48" s="85"/>
      <c r="I48" s="85"/>
      <c r="J48" s="85"/>
      <c r="K48" s="85"/>
      <c r="L48" s="85"/>
      <c r="M48" s="198"/>
      <c r="N48" s="85"/>
      <c r="O48" s="197"/>
      <c r="P48" s="85"/>
      <c r="Q48" s="85"/>
      <c r="R48" s="85"/>
      <c r="S48" s="85"/>
      <c r="T48" s="85"/>
      <c r="U48" s="85"/>
      <c r="V48" s="85"/>
    </row>
    <row r="49" spans="7:22">
      <c r="G49" s="85"/>
      <c r="H49" s="85"/>
      <c r="I49" s="85"/>
      <c r="J49" s="85"/>
      <c r="K49" s="85"/>
      <c r="L49" s="85"/>
      <c r="M49" s="198"/>
      <c r="N49" s="85"/>
      <c r="O49" s="197"/>
      <c r="P49" s="85"/>
      <c r="Q49" s="85"/>
      <c r="R49" s="85"/>
      <c r="S49" s="85"/>
      <c r="T49" s="85"/>
      <c r="U49" s="85"/>
      <c r="V49" s="85"/>
    </row>
    <row r="50" spans="7:22">
      <c r="G50" s="85"/>
      <c r="H50" s="85"/>
      <c r="I50" s="85"/>
      <c r="J50" s="85"/>
      <c r="K50" s="85"/>
      <c r="L50" s="85"/>
      <c r="M50" s="198"/>
      <c r="N50" s="85"/>
      <c r="O50" s="197"/>
      <c r="P50" s="85"/>
      <c r="Q50" s="85"/>
      <c r="R50" s="85"/>
      <c r="S50" s="85"/>
      <c r="T50" s="85"/>
      <c r="U50" s="85"/>
      <c r="V50" s="85"/>
    </row>
    <row r="51" spans="7:22">
      <c r="G51" s="85"/>
      <c r="H51" s="85"/>
      <c r="I51" s="85"/>
      <c r="J51" s="85"/>
      <c r="K51" s="85"/>
      <c r="L51" s="85"/>
      <c r="M51" s="198"/>
      <c r="N51" s="85"/>
      <c r="O51" s="197"/>
      <c r="P51" s="85"/>
      <c r="Q51" s="85"/>
      <c r="R51" s="85"/>
      <c r="S51" s="85"/>
      <c r="T51" s="85"/>
      <c r="U51" s="85"/>
      <c r="V51" s="85"/>
    </row>
    <row r="52" spans="7:22">
      <c r="G52" s="85"/>
      <c r="H52" s="85"/>
      <c r="I52" s="85"/>
      <c r="J52" s="85"/>
      <c r="K52" s="85"/>
      <c r="L52" s="85"/>
      <c r="M52" s="85"/>
      <c r="N52" s="199"/>
      <c r="O52" s="200"/>
      <c r="P52" s="85"/>
      <c r="Q52" s="85"/>
      <c r="R52" s="85"/>
      <c r="S52" s="85"/>
      <c r="T52" s="85"/>
      <c r="U52" s="85"/>
      <c r="V52" s="85"/>
    </row>
    <row r="53" spans="7:22"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7:22"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</row>
    <row r="55" spans="7:22"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7:22"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</row>
    <row r="57" spans="7:22"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</row>
  </sheetData>
  <pageMargins left="0.7" right="0.7" top="0.75" bottom="0.75" header="0.3" footer="0.3"/>
  <pageSetup scale="72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workbookViewId="0">
      <selection activeCell="C11" sqref="C11"/>
    </sheetView>
  </sheetViews>
  <sheetFormatPr defaultColWidth="9.140625" defaultRowHeight="15"/>
  <cols>
    <col min="1" max="1" width="9.140625" style="1"/>
    <col min="2" max="2" width="20.7109375" style="1" customWidth="1"/>
    <col min="3" max="4" width="10.28515625" style="1" customWidth="1"/>
    <col min="5" max="5" width="14" style="1" bestFit="1" customWidth="1"/>
    <col min="6" max="9" width="10.85546875" style="1" customWidth="1"/>
    <col min="10" max="16384" width="9.140625" style="1"/>
  </cols>
  <sheetData>
    <row r="1" spans="2:10">
      <c r="C1" s="261" t="s">
        <v>113</v>
      </c>
      <c r="D1" s="262"/>
      <c r="E1" s="262"/>
      <c r="F1" s="262"/>
      <c r="G1" s="262"/>
      <c r="H1" s="262"/>
    </row>
    <row r="3" spans="2:10">
      <c r="C3" s="39"/>
      <c r="D3" s="39"/>
      <c r="E3" s="39"/>
      <c r="F3" s="135"/>
      <c r="G3" s="135"/>
      <c r="H3" s="135"/>
      <c r="I3" s="135"/>
      <c r="J3" s="174"/>
    </row>
    <row r="4" spans="2:10">
      <c r="C4" s="40" t="s">
        <v>1</v>
      </c>
      <c r="D4" s="40" t="s">
        <v>2</v>
      </c>
      <c r="E4" s="40" t="s">
        <v>0</v>
      </c>
      <c r="F4" s="41">
        <v>45017</v>
      </c>
      <c r="G4" s="41">
        <v>45047</v>
      </c>
      <c r="H4" s="41">
        <v>45078</v>
      </c>
      <c r="I4" s="41">
        <v>45108</v>
      </c>
    </row>
    <row r="6" spans="2:10">
      <c r="B6" s="175" t="s">
        <v>141</v>
      </c>
      <c r="C6" s="176"/>
      <c r="D6" s="177"/>
      <c r="E6" s="178"/>
      <c r="F6" s="179"/>
      <c r="G6" s="179"/>
      <c r="H6" s="179"/>
      <c r="I6" s="180"/>
    </row>
    <row r="7" spans="2:10">
      <c r="B7" s="193"/>
      <c r="C7" s="116"/>
      <c r="D7" s="106"/>
      <c r="E7" s="107"/>
      <c r="F7" s="108"/>
      <c r="G7" s="108"/>
      <c r="H7" s="108"/>
      <c r="I7" s="115"/>
    </row>
    <row r="8" spans="2:10" ht="15.75" thickBot="1">
      <c r="E8" s="46"/>
    </row>
    <row r="9" spans="2:10" ht="15.75" thickBot="1">
      <c r="B9" s="47" t="s">
        <v>59</v>
      </c>
      <c r="C9" s="48"/>
      <c r="D9" s="48"/>
      <c r="E9" s="49">
        <v>-1340000</v>
      </c>
      <c r="F9" s="42"/>
      <c r="G9" s="42"/>
    </row>
    <row r="10" spans="2:10">
      <c r="B10" s="50"/>
      <c r="C10" s="50"/>
      <c r="D10" s="50"/>
      <c r="E10" s="51"/>
      <c r="F10" s="132"/>
      <c r="G10" s="132"/>
      <c r="H10" s="132"/>
      <c r="I10" s="132"/>
    </row>
    <row r="11" spans="2:10">
      <c r="B11" s="50" t="s">
        <v>60</v>
      </c>
      <c r="C11" s="50"/>
      <c r="D11" s="50"/>
      <c r="E11" s="51"/>
      <c r="F11" s="142">
        <f>$E$14</f>
        <v>0.65539999999999998</v>
      </c>
      <c r="G11" s="142">
        <f>$E$14</f>
        <v>0.65539999999999998</v>
      </c>
      <c r="H11" s="142">
        <f>$E$14</f>
        <v>0.65539999999999998</v>
      </c>
      <c r="I11" s="142">
        <f>$E$14</f>
        <v>0.65539999999999998</v>
      </c>
    </row>
    <row r="12" spans="2:10">
      <c r="B12" s="50"/>
      <c r="C12" s="104"/>
      <c r="D12" s="122"/>
      <c r="E12" s="52"/>
      <c r="F12" s="45">
        <v>209728</v>
      </c>
      <c r="G12" s="45">
        <v>262160</v>
      </c>
      <c r="H12" s="45">
        <v>222836</v>
      </c>
      <c r="I12" s="45">
        <v>183512</v>
      </c>
    </row>
    <row r="13" spans="2:10">
      <c r="B13" s="50"/>
      <c r="C13" s="50"/>
      <c r="D13" s="50"/>
      <c r="E13" s="52"/>
    </row>
    <row r="14" spans="2:10">
      <c r="B14" s="50" t="s">
        <v>61</v>
      </c>
      <c r="C14" s="50"/>
      <c r="D14" s="251" t="s">
        <v>180</v>
      </c>
      <c r="E14" s="254">
        <v>0.65539999999999998</v>
      </c>
      <c r="F14" s="45">
        <f>-F12</f>
        <v>-209728</v>
      </c>
      <c r="G14" s="45">
        <f>-G12</f>
        <v>-262160</v>
      </c>
      <c r="H14" s="45">
        <f>-H12</f>
        <v>-222836</v>
      </c>
      <c r="I14" s="45">
        <f>-I12</f>
        <v>-183512</v>
      </c>
    </row>
    <row r="15" spans="2:10">
      <c r="B15" s="50"/>
      <c r="C15" s="50"/>
      <c r="D15" s="50"/>
      <c r="E15" s="51"/>
    </row>
    <row r="16" spans="2:10">
      <c r="B16" s="1" t="s">
        <v>38</v>
      </c>
      <c r="C16" s="171"/>
      <c r="D16" s="251" t="s">
        <v>180</v>
      </c>
      <c r="E16" s="131">
        <f>'CF WA Elec'!E21</f>
        <v>0.95606855188236617</v>
      </c>
      <c r="F16" s="139">
        <f>E16</f>
        <v>0.95606855188236617</v>
      </c>
      <c r="G16" s="139">
        <f>F16</f>
        <v>0.95606855188236617</v>
      </c>
      <c r="H16" s="139">
        <f>G16</f>
        <v>0.95606855188236617</v>
      </c>
      <c r="I16" s="63">
        <f>H16</f>
        <v>0.95606855188236617</v>
      </c>
    </row>
    <row r="17" spans="2:9" ht="15.75" thickBot="1"/>
    <row r="18" spans="2:9" ht="15.75" thickBot="1">
      <c r="B18" s="47" t="s">
        <v>39</v>
      </c>
      <c r="C18" s="48"/>
      <c r="D18" s="48"/>
      <c r="E18" s="49">
        <f>SUM(F18:I18)</f>
        <v>-918591.03436764586</v>
      </c>
      <c r="F18" s="133">
        <f>F14/F16</f>
        <v>-219365.02313257213</v>
      </c>
      <c r="G18" s="133">
        <f t="shared" ref="G18:I18" si="0">G14/G16</f>
        <v>-274206.27891571517</v>
      </c>
      <c r="H18" s="133">
        <f t="shared" si="0"/>
        <v>-233075.3370783579</v>
      </c>
      <c r="I18" s="133">
        <f t="shared" si="0"/>
        <v>-191944.39524100063</v>
      </c>
    </row>
    <row r="20" spans="2:9">
      <c r="E20" s="35"/>
    </row>
    <row r="23" spans="2:9">
      <c r="D23" s="172"/>
    </row>
    <row r="24" spans="2:9">
      <c r="D24" s="172"/>
    </row>
    <row r="28" spans="2:9">
      <c r="G28" s="99"/>
    </row>
    <row r="36" spans="2:3">
      <c r="B36" s="97"/>
    </row>
    <row r="37" spans="2:3">
      <c r="C37" s="35"/>
    </row>
    <row r="38" spans="2:3">
      <c r="C38" s="95"/>
    </row>
    <row r="39" spans="2:3">
      <c r="C39" s="95"/>
    </row>
    <row r="44" spans="2:3">
      <c r="B44" s="1" t="s">
        <v>111</v>
      </c>
    </row>
  </sheetData>
  <mergeCells count="1">
    <mergeCell ref="C1:H1"/>
  </mergeCells>
  <pageMargins left="0.7" right="0.7" top="0.75" bottom="0.75" header="0.3" footer="0.3"/>
  <pageSetup scale="77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Q31"/>
  <sheetViews>
    <sheetView workbookViewId="0">
      <selection activeCell="C11" sqref="C11"/>
    </sheetView>
  </sheetViews>
  <sheetFormatPr defaultColWidth="9.140625" defaultRowHeight="15"/>
  <cols>
    <col min="1" max="1" width="9.140625" style="1"/>
    <col min="2" max="2" width="17.85546875" style="1" customWidth="1"/>
    <col min="3" max="4" width="10.28515625" style="1" customWidth="1"/>
    <col min="5" max="6" width="14" style="1" bestFit="1" customWidth="1"/>
    <col min="7" max="17" width="10.85546875" style="1" customWidth="1"/>
    <col min="18" max="16384" width="9.140625" style="1"/>
  </cols>
  <sheetData>
    <row r="1" spans="2:17">
      <c r="D1" s="261" t="s">
        <v>113</v>
      </c>
      <c r="E1" s="262"/>
      <c r="F1" s="262"/>
      <c r="G1" s="262"/>
      <c r="H1" s="262"/>
      <c r="I1" s="262"/>
    </row>
    <row r="3" spans="2:17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7">
      <c r="C4" s="40"/>
      <c r="D4" s="40"/>
      <c r="E4" s="40" t="s">
        <v>0</v>
      </c>
      <c r="F4" s="41">
        <v>45139</v>
      </c>
      <c r="G4" s="41">
        <v>45170</v>
      </c>
      <c r="H4" s="41">
        <v>45200</v>
      </c>
      <c r="I4" s="41">
        <v>45231</v>
      </c>
      <c r="J4" s="41">
        <v>45261</v>
      </c>
      <c r="K4" s="41">
        <v>45292</v>
      </c>
      <c r="L4" s="41">
        <v>45323</v>
      </c>
      <c r="M4" s="41">
        <v>45352</v>
      </c>
      <c r="N4" s="41">
        <v>45383</v>
      </c>
      <c r="O4" s="41">
        <v>45413</v>
      </c>
      <c r="P4" s="41">
        <v>45444</v>
      </c>
      <c r="Q4" s="41">
        <v>45474</v>
      </c>
    </row>
    <row r="6" spans="2:17">
      <c r="B6" s="109" t="s">
        <v>141</v>
      </c>
      <c r="C6" s="110"/>
      <c r="D6" s="111"/>
      <c r="E6" s="11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17">
      <c r="B7" s="193"/>
      <c r="C7" s="105"/>
      <c r="D7" s="106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15"/>
    </row>
    <row r="8" spans="2:17" ht="15.75" thickBot="1"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2:17" ht="15.75" thickBot="1">
      <c r="B9" s="47" t="s">
        <v>59</v>
      </c>
      <c r="C9" s="48"/>
      <c r="D9" s="48"/>
      <c r="E9" s="49">
        <v>-660000</v>
      </c>
    </row>
    <row r="10" spans="2:17">
      <c r="B10" s="50"/>
      <c r="C10" s="50"/>
      <c r="D10" s="50"/>
      <c r="E10" s="51"/>
    </row>
    <row r="11" spans="2:17" ht="17.25">
      <c r="B11" s="50" t="s">
        <v>144</v>
      </c>
      <c r="C11" s="190"/>
      <c r="D11" s="251" t="s">
        <v>180</v>
      </c>
      <c r="E11" s="254">
        <f>'4-2023 thru 7-2023 RECs'!E14</f>
        <v>0.65539999999999998</v>
      </c>
      <c r="F11" s="45">
        <v>131080</v>
      </c>
      <c r="G11" s="45">
        <v>104864</v>
      </c>
      <c r="H11" s="45">
        <v>65540</v>
      </c>
      <c r="I11" s="45">
        <v>65540</v>
      </c>
      <c r="J11" s="45">
        <v>65540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</row>
    <row r="12" spans="2:17">
      <c r="B12" s="50"/>
      <c r="C12" s="50"/>
      <c r="D12" s="50"/>
      <c r="E12" s="52"/>
    </row>
    <row r="13" spans="2:17">
      <c r="B13" s="50" t="s">
        <v>61</v>
      </c>
      <c r="C13" s="50"/>
      <c r="D13" s="50"/>
      <c r="E13" s="51">
        <f>E9*E11</f>
        <v>-432564</v>
      </c>
      <c r="F13" s="223"/>
      <c r="G13" s="63"/>
      <c r="H13" s="63"/>
      <c r="I13" s="63"/>
      <c r="J13" s="63"/>
    </row>
    <row r="14" spans="2:17">
      <c r="B14" s="50"/>
      <c r="C14" s="50"/>
      <c r="D14" s="50"/>
      <c r="E14" s="51"/>
      <c r="G14" s="63"/>
      <c r="H14" s="63"/>
      <c r="I14" s="63"/>
      <c r="J14" s="64"/>
    </row>
    <row r="15" spans="2:17">
      <c r="B15" s="1" t="s">
        <v>83</v>
      </c>
      <c r="C15" s="50"/>
      <c r="D15" s="50"/>
      <c r="E15" s="51">
        <f>-'Forecast Balance'!I8</f>
        <v>-456559.61545645091</v>
      </c>
      <c r="F15" s="223"/>
      <c r="G15" s="63"/>
      <c r="H15" s="166"/>
      <c r="I15" s="63"/>
      <c r="J15" s="64"/>
    </row>
    <row r="16" spans="2:17">
      <c r="B16" s="50"/>
      <c r="C16" s="50"/>
      <c r="D16" s="50"/>
      <c r="E16" s="51"/>
      <c r="G16" s="63"/>
      <c r="H16" s="63"/>
      <c r="I16" s="63"/>
      <c r="J16" s="64"/>
    </row>
    <row r="17" spans="2:10">
      <c r="B17" s="50" t="s">
        <v>87</v>
      </c>
      <c r="C17" s="50"/>
      <c r="D17" s="50"/>
      <c r="E17" s="51">
        <f>E13+E15</f>
        <v>-889123.61545645096</v>
      </c>
      <c r="F17" s="223"/>
      <c r="G17" s="63"/>
      <c r="H17" s="63"/>
      <c r="I17" s="63"/>
      <c r="J17" s="64"/>
    </row>
    <row r="18" spans="2:10">
      <c r="B18" s="50"/>
      <c r="C18" s="50"/>
      <c r="D18" s="50"/>
      <c r="E18" s="51"/>
      <c r="G18" s="101"/>
      <c r="H18" s="63"/>
      <c r="I18" s="63"/>
      <c r="J18" s="64"/>
    </row>
    <row r="19" spans="2:10">
      <c r="B19" s="50" t="s">
        <v>88</v>
      </c>
      <c r="C19" s="50"/>
      <c r="D19" s="50"/>
      <c r="E19" s="51">
        <f>-'Forecast Balance'!B21</f>
        <v>-23244.407598563575</v>
      </c>
      <c r="F19" s="223"/>
      <c r="G19" s="63"/>
      <c r="H19" s="63"/>
      <c r="I19" s="63"/>
      <c r="J19" s="64"/>
    </row>
    <row r="20" spans="2:10">
      <c r="B20" s="50"/>
      <c r="C20" s="50"/>
      <c r="D20" s="50"/>
      <c r="E20" s="51"/>
      <c r="G20" s="63"/>
      <c r="H20" s="63"/>
      <c r="I20" s="63"/>
      <c r="J20" s="63"/>
    </row>
    <row r="21" spans="2:10">
      <c r="B21" s="50" t="s">
        <v>89</v>
      </c>
      <c r="C21" s="50"/>
      <c r="D21" s="50"/>
      <c r="E21" s="51">
        <f>E17+E19</f>
        <v>-912368.02305501455</v>
      </c>
      <c r="F21" s="223"/>
      <c r="H21" s="46"/>
    </row>
    <row r="22" spans="2:10">
      <c r="B22" s="50"/>
      <c r="C22" s="50"/>
      <c r="D22" s="50"/>
      <c r="E22" s="51"/>
    </row>
    <row r="23" spans="2:10">
      <c r="B23" s="1" t="s">
        <v>38</v>
      </c>
      <c r="D23" s="122" t="s">
        <v>181</v>
      </c>
      <c r="E23" s="131">
        <f>'4-2023 thru 7-2023 RECs'!E16</f>
        <v>0.95606855188236617</v>
      </c>
    </row>
    <row r="24" spans="2:10" ht="15.75" thickBot="1"/>
    <row r="25" spans="2:10" ht="15.75" thickBot="1">
      <c r="B25" s="47" t="s">
        <v>39</v>
      </c>
      <c r="C25" s="48"/>
      <c r="D25" s="48"/>
      <c r="E25" s="49">
        <f>E21/E23</f>
        <v>-954291.42738634034</v>
      </c>
      <c r="G25" s="46"/>
    </row>
    <row r="26" spans="2:10">
      <c r="B26" s="97"/>
    </row>
    <row r="27" spans="2:10">
      <c r="C27" s="35"/>
      <c r="E27" s="46"/>
    </row>
    <row r="28" spans="2:10">
      <c r="C28" s="95"/>
    </row>
    <row r="29" spans="2:10" ht="17.25">
      <c r="B29" s="170" t="s">
        <v>145</v>
      </c>
      <c r="C29" s="95"/>
    </row>
    <row r="31" spans="2:10">
      <c r="H31" s="2"/>
    </row>
  </sheetData>
  <mergeCells count="1">
    <mergeCell ref="D1:I1"/>
  </mergeCells>
  <pageMargins left="0.7" right="0.7" top="0.75" bottom="0.75" header="0.3" footer="0.3"/>
  <pageSetup scale="64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44"/>
  <sheetViews>
    <sheetView topLeftCell="B1" workbookViewId="0">
      <selection activeCell="C11" sqref="C11"/>
    </sheetView>
  </sheetViews>
  <sheetFormatPr defaultColWidth="9.140625" defaultRowHeight="12.75"/>
  <cols>
    <col min="1" max="1" width="41.85546875" style="75" bestFit="1" customWidth="1"/>
    <col min="2" max="2" width="13.42578125" style="75" bestFit="1" customWidth="1"/>
    <col min="3" max="10" width="11.5703125" style="75" bestFit="1" customWidth="1"/>
    <col min="11" max="11" width="12.42578125" style="75" bestFit="1" customWidth="1"/>
    <col min="12" max="12" width="11.5703125" style="75" bestFit="1" customWidth="1"/>
    <col min="13" max="13" width="12.140625" style="75" bestFit="1" customWidth="1"/>
    <col min="14" max="14" width="12" style="75" bestFit="1" customWidth="1"/>
    <col min="15" max="20" width="11.5703125" style="75" bestFit="1" customWidth="1"/>
    <col min="21" max="21" width="11.85546875" style="75" bestFit="1" customWidth="1"/>
    <col min="22" max="22" width="11.28515625" style="75" customWidth="1"/>
    <col min="23" max="23" width="10.140625" style="75" bestFit="1" customWidth="1"/>
    <col min="24" max="16384" width="9.140625" style="75"/>
  </cols>
  <sheetData>
    <row r="1" spans="1:23">
      <c r="B1" s="75">
        <v>2022</v>
      </c>
      <c r="C1" s="75">
        <v>2023</v>
      </c>
      <c r="D1" s="75">
        <v>2023</v>
      </c>
      <c r="E1" s="75">
        <v>2023</v>
      </c>
      <c r="F1" s="75">
        <v>2023</v>
      </c>
      <c r="G1" s="75">
        <v>2023</v>
      </c>
      <c r="H1" s="75">
        <v>2023</v>
      </c>
      <c r="I1" s="154" t="s">
        <v>95</v>
      </c>
      <c r="J1" s="75">
        <v>2023</v>
      </c>
      <c r="K1" s="75">
        <v>2023</v>
      </c>
      <c r="L1" s="75">
        <v>2023</v>
      </c>
      <c r="M1" s="75">
        <v>2023</v>
      </c>
      <c r="N1" s="75">
        <v>2023</v>
      </c>
      <c r="O1" s="155" t="s">
        <v>95</v>
      </c>
      <c r="P1" s="75">
        <v>2024</v>
      </c>
      <c r="Q1" s="75">
        <v>2024</v>
      </c>
      <c r="R1" s="75">
        <v>2024</v>
      </c>
      <c r="S1" s="75">
        <v>2024</v>
      </c>
      <c r="T1" s="75">
        <v>2024</v>
      </c>
      <c r="U1" s="154" t="s">
        <v>95</v>
      </c>
    </row>
    <row r="2" spans="1:23">
      <c r="A2" s="156"/>
      <c r="B2" s="156" t="s">
        <v>71</v>
      </c>
      <c r="C2" s="156" t="s">
        <v>72</v>
      </c>
      <c r="D2" s="156" t="s">
        <v>73</v>
      </c>
      <c r="E2" s="156" t="s">
        <v>62</v>
      </c>
      <c r="F2" s="156" t="s">
        <v>63</v>
      </c>
      <c r="G2" s="156" t="s">
        <v>64</v>
      </c>
      <c r="H2" s="156" t="s">
        <v>65</v>
      </c>
      <c r="I2" s="156" t="s">
        <v>66</v>
      </c>
      <c r="J2" s="156" t="s">
        <v>67</v>
      </c>
      <c r="K2" s="156" t="s">
        <v>68</v>
      </c>
      <c r="L2" s="156" t="s">
        <v>69</v>
      </c>
      <c r="M2" s="156" t="s">
        <v>70</v>
      </c>
      <c r="N2" s="156" t="s">
        <v>71</v>
      </c>
      <c r="O2" s="156" t="s">
        <v>72</v>
      </c>
      <c r="P2" s="156" t="s">
        <v>73</v>
      </c>
      <c r="Q2" s="156" t="s">
        <v>62</v>
      </c>
      <c r="R2" s="156" t="s">
        <v>63</v>
      </c>
      <c r="S2" s="156" t="s">
        <v>64</v>
      </c>
      <c r="T2" s="156" t="s">
        <v>65</v>
      </c>
      <c r="U2" s="156" t="s">
        <v>66</v>
      </c>
      <c r="V2" s="148"/>
    </row>
    <row r="3" spans="1:23">
      <c r="A3" s="75" t="s">
        <v>93</v>
      </c>
      <c r="B3" s="157"/>
      <c r="C3" s="157">
        <v>-391171.89</v>
      </c>
      <c r="D3" s="157">
        <v>-257792.73</v>
      </c>
      <c r="E3" s="157">
        <v>-344113.75</v>
      </c>
      <c r="F3" s="168">
        <f>'Forecasted Revenue'!D39</f>
        <v>-256967.54356648275</v>
      </c>
      <c r="G3" s="168">
        <f>'Forecasted Revenue'!E39</f>
        <v>-250939.52856712716</v>
      </c>
      <c r="H3" s="168">
        <f>'Forecasted Revenue'!F39</f>
        <v>-260185.93629821466</v>
      </c>
      <c r="I3" s="168">
        <f>'Forecasted Revenue'!G39</f>
        <v>-294563.40915409027</v>
      </c>
      <c r="J3" s="168">
        <f>'Forecasted Revenue'!H39</f>
        <v>-81176.38656737993</v>
      </c>
      <c r="K3" s="168">
        <f>'Forecasted Revenue'!I39</f>
        <v>-68011.535933029241</v>
      </c>
      <c r="L3" s="168">
        <f>'Forecasted Revenue'!J39</f>
        <v>-70102.724211449982</v>
      </c>
      <c r="M3" s="168">
        <f>'Forecasted Revenue'!K39</f>
        <v>-79010.009299033787</v>
      </c>
      <c r="N3" s="168">
        <f>'Forecasted Revenue'!L39</f>
        <v>-89439.656167443885</v>
      </c>
      <c r="O3" s="168">
        <f>'Forecasted Revenue'!M39</f>
        <v>-90422.802838498174</v>
      </c>
      <c r="P3" s="168">
        <f>'Forecasted Revenue'!N39</f>
        <v>-80309.928334316035</v>
      </c>
      <c r="Q3" s="168">
        <f>'Forecasted Revenue'!O39</f>
        <v>-75564.796115049889</v>
      </c>
      <c r="R3" s="168">
        <f>'Forecasted Revenue'!P39</f>
        <v>-67527.403056659779</v>
      </c>
      <c r="S3" s="168">
        <f>'Forecasted Revenue'!Q39</f>
        <v>-66051.837420411437</v>
      </c>
      <c r="T3" s="168">
        <f>'Forecasted Revenue'!R39</f>
        <v>-68344.649948692997</v>
      </c>
      <c r="U3" s="168">
        <f>'Forecasted Revenue'!S39</f>
        <v>-76406.293163049369</v>
      </c>
      <c r="V3" s="148"/>
      <c r="W3" s="157">
        <f>SUM(J3:V3)</f>
        <v>-912368.02305501443</v>
      </c>
    </row>
    <row r="4" spans="1:23">
      <c r="A4" s="75" t="s">
        <v>188</v>
      </c>
      <c r="B4" s="157"/>
      <c r="C4" s="157">
        <v>-2074.58</v>
      </c>
      <c r="D4" s="157">
        <v>585737.11</v>
      </c>
      <c r="E4" s="157">
        <v>158494.17000000001</v>
      </c>
      <c r="F4" s="168">
        <f>-'4-2023 thru 7-2023 RECs'!F14</f>
        <v>209728</v>
      </c>
      <c r="G4" s="168">
        <f>-'4-2023 thru 7-2023 RECs'!G14</f>
        <v>262160</v>
      </c>
      <c r="H4" s="168">
        <f>-'4-2023 thru 7-2023 RECs'!H14</f>
        <v>222836</v>
      </c>
      <c r="I4" s="168">
        <f>-'4-2023 thru 7-2023 RECs'!I14</f>
        <v>183512</v>
      </c>
      <c r="J4" s="169">
        <f>'8-2023 thru 7-2024 RECs'!F11</f>
        <v>131080</v>
      </c>
      <c r="K4" s="169">
        <f>'8-2023 thru 7-2024 RECs'!G11</f>
        <v>104864</v>
      </c>
      <c r="L4" s="169">
        <f>'8-2023 thru 7-2024 RECs'!H11</f>
        <v>65540</v>
      </c>
      <c r="M4" s="169">
        <f>'8-2023 thru 7-2024 RECs'!I11</f>
        <v>65540</v>
      </c>
      <c r="N4" s="169">
        <f>'8-2023 thru 7-2024 RECs'!J11</f>
        <v>65540</v>
      </c>
      <c r="O4" s="169">
        <f>'8-2023 thru 7-2024 RECs'!K11</f>
        <v>0</v>
      </c>
      <c r="P4" s="169">
        <f>'8-2023 thru 7-2024 RECs'!L11</f>
        <v>0</v>
      </c>
      <c r="Q4" s="169">
        <f>'8-2023 thru 7-2024 RECs'!M11</f>
        <v>0</v>
      </c>
      <c r="R4" s="169">
        <f>'8-2023 thru 7-2024 RECs'!N11</f>
        <v>0</v>
      </c>
      <c r="S4" s="169">
        <f>'8-2023 thru 7-2024 RECs'!O11</f>
        <v>0</v>
      </c>
      <c r="T4" s="169">
        <f>'8-2023 thru 7-2024 RECs'!P11</f>
        <v>0</v>
      </c>
      <c r="U4" s="169">
        <f>'8-2023 thru 7-2024 RECs'!Q11</f>
        <v>0</v>
      </c>
      <c r="V4" s="148"/>
      <c r="W4" s="157">
        <f>SUM(J4:V4)</f>
        <v>432564</v>
      </c>
    </row>
    <row r="5" spans="1:23">
      <c r="A5" s="75" t="s">
        <v>74</v>
      </c>
      <c r="B5" s="158"/>
      <c r="C5" s="158">
        <f>C3+C4</f>
        <v>-393246.47000000003</v>
      </c>
      <c r="D5" s="158">
        <f>D3+D4</f>
        <v>327944.38</v>
      </c>
      <c r="E5" s="158">
        <f>E3+E4</f>
        <v>-185619.58</v>
      </c>
      <c r="F5" s="158">
        <f>F3+F4</f>
        <v>-47239.543566482753</v>
      </c>
      <c r="G5" s="158">
        <f t="shared" ref="G5:U5" si="0">G3+G4</f>
        <v>11220.471432872844</v>
      </c>
      <c r="H5" s="158">
        <f>H3+H4</f>
        <v>-37349.936298214656</v>
      </c>
      <c r="I5" s="158">
        <f>I3+I4</f>
        <v>-111051.40915409027</v>
      </c>
      <c r="J5" s="158">
        <f>J3+J4</f>
        <v>49903.61343262007</v>
      </c>
      <c r="K5" s="158">
        <f t="shared" si="0"/>
        <v>36852.464066970759</v>
      </c>
      <c r="L5" s="158">
        <f t="shared" si="0"/>
        <v>-4562.7242114499822</v>
      </c>
      <c r="M5" s="158">
        <f t="shared" si="0"/>
        <v>-13470.009299033787</v>
      </c>
      <c r="N5" s="158">
        <f t="shared" si="0"/>
        <v>-23899.656167443885</v>
      </c>
      <c r="O5" s="158">
        <f t="shared" si="0"/>
        <v>-90422.802838498174</v>
      </c>
      <c r="P5" s="158">
        <f t="shared" si="0"/>
        <v>-80309.928334316035</v>
      </c>
      <c r="Q5" s="158">
        <f t="shared" si="0"/>
        <v>-75564.796115049889</v>
      </c>
      <c r="R5" s="158">
        <f t="shared" si="0"/>
        <v>-67527.403056659779</v>
      </c>
      <c r="S5" s="158">
        <f t="shared" si="0"/>
        <v>-66051.837420411437</v>
      </c>
      <c r="T5" s="158">
        <f t="shared" si="0"/>
        <v>-68344.649948692997</v>
      </c>
      <c r="U5" s="159">
        <f t="shared" si="0"/>
        <v>-76406.293163049369</v>
      </c>
      <c r="V5" s="148"/>
      <c r="W5" s="157"/>
    </row>
    <row r="6" spans="1:23">
      <c r="A6" s="75" t="s">
        <v>94</v>
      </c>
      <c r="B6" s="70"/>
      <c r="C6" s="70">
        <f>B8+C5</f>
        <v>475512.8299999999</v>
      </c>
      <c r="D6" s="70">
        <f>C6+D5</f>
        <v>803457.21</v>
      </c>
      <c r="E6" s="70">
        <f>D6+E5</f>
        <v>617837.63</v>
      </c>
      <c r="F6" s="70">
        <f>E6+F5</f>
        <v>570598.08643351728</v>
      </c>
      <c r="G6" s="70">
        <f>F6+G5</f>
        <v>581818.5578663901</v>
      </c>
      <c r="H6" s="70">
        <f>G6+H5</f>
        <v>544468.6215681755</v>
      </c>
      <c r="I6" s="70">
        <f>H8+I5</f>
        <v>453796.07790816802</v>
      </c>
      <c r="J6" s="70">
        <f>I6+J5</f>
        <v>503699.69134078809</v>
      </c>
      <c r="K6" s="70">
        <f>J6+K5</f>
        <v>540552.1554077589</v>
      </c>
      <c r="L6" s="70">
        <f>K6+L5</f>
        <v>535989.43119630893</v>
      </c>
      <c r="M6" s="70">
        <f>L6+M5</f>
        <v>522519.42189727514</v>
      </c>
      <c r="N6" s="70">
        <f>M6+N5</f>
        <v>498619.76572983124</v>
      </c>
      <c r="O6" s="70">
        <f>N8+O5</f>
        <v>424953.76926669746</v>
      </c>
      <c r="P6" s="70">
        <f>O6+P5</f>
        <v>344643.84093238146</v>
      </c>
      <c r="Q6" s="70">
        <f>P6+Q5</f>
        <v>269079.0448173316</v>
      </c>
      <c r="R6" s="70">
        <f>Q6+R5</f>
        <v>201551.6417606718</v>
      </c>
      <c r="S6" s="70">
        <f>R6+S5</f>
        <v>135499.80434026037</v>
      </c>
      <c r="T6" s="70">
        <f>S6+T5</f>
        <v>67155.154391567368</v>
      </c>
      <c r="U6" s="70">
        <f>T8+U5</f>
        <v>-206.16843699726451</v>
      </c>
      <c r="V6" s="148"/>
      <c r="W6" s="157"/>
    </row>
    <row r="7" spans="1:23">
      <c r="A7" s="75" t="s">
        <v>86</v>
      </c>
      <c r="B7" s="158"/>
      <c r="C7" s="158">
        <f>(B8+(0.5*C5))*$B$27</f>
        <v>3646.9542773512494</v>
      </c>
      <c r="D7" s="158">
        <f>(C6+(0.5*D5))*$B$27</f>
        <v>3469.7924281016662</v>
      </c>
      <c r="E7" s="158">
        <f>(D6+(0.5*E5))*$B$27</f>
        <v>3855.9136803016663</v>
      </c>
      <c r="F7" s="158">
        <f>(E6+(0.5*F5))*$B$27</f>
        <v>3224.1765805292807</v>
      </c>
      <c r="G7" s="158">
        <f>(F6+(0.5*G5))*$B$27</f>
        <v>3126.4583386254694</v>
      </c>
      <c r="H7" s="158">
        <f>(G6+(0.5*H5))*$B$27</f>
        <v>3055.5701891734998</v>
      </c>
      <c r="I7" s="158">
        <f>(H8+(0.5*I5))*$B$27</f>
        <v>2763.5375482828927</v>
      </c>
      <c r="J7" s="158">
        <f>(I6+(0.5*J5))*$B$27</f>
        <v>2597.646126315366</v>
      </c>
      <c r="K7" s="158">
        <f>(J6+(0.5*K5))*$B$27</f>
        <v>2833.0117497351935</v>
      </c>
      <c r="L7" s="158">
        <f>(K6+(0.5*L5))*$B$27</f>
        <v>2920.6124685573941</v>
      </c>
      <c r="M7" s="158">
        <f>(L6+(0.5*M5))*$B$27</f>
        <v>2871.6904139073481</v>
      </c>
      <c r="N7" s="158">
        <f>(M6+(0.5*N5))*$B$27</f>
        <v>2770.3080685661885</v>
      </c>
      <c r="O7" s="158">
        <f>(N8+(0.5*O5))*$B$27</f>
        <v>2551.0770357110555</v>
      </c>
      <c r="P7" s="158">
        <f>(O6+(0.5*P5))*$B$27</f>
        <v>2087.8862499030092</v>
      </c>
      <c r="Q7" s="158">
        <f>(P6+(0.5*Q5))*$B$27</f>
        <v>1665.0046172520651</v>
      </c>
      <c r="R7" s="158">
        <f>(Q6+(0.5*R5))*$B$27</f>
        <v>1276.8014430741825</v>
      </c>
      <c r="S7" s="158">
        <f>(R6+(0.5*S5))*$B$27</f>
        <v>914.40652946157479</v>
      </c>
      <c r="T7" s="158">
        <f>(S6+(0.5*T5))*$B$27</f>
        <v>549.79445908283481</v>
      </c>
      <c r="U7" s="158">
        <f>(T8+(0.5*U5))*$B$27</f>
        <v>206.1684369973604</v>
      </c>
      <c r="V7" s="149"/>
      <c r="W7" s="157">
        <f>SUM(J7:V7)</f>
        <v>23244.407598563575</v>
      </c>
    </row>
    <row r="8" spans="1:23">
      <c r="A8" s="75" t="s">
        <v>96</v>
      </c>
      <c r="B8" s="70">
        <f>-B14</f>
        <v>868759.29999999993</v>
      </c>
      <c r="C8" s="70">
        <f>C6+C7</f>
        <v>479159.78427735117</v>
      </c>
      <c r="D8" s="70">
        <f>D6+D7+C7</f>
        <v>810573.95670545287</v>
      </c>
      <c r="E8" s="70">
        <f>E6+E7+D7+C7</f>
        <v>628810.29038575455</v>
      </c>
      <c r="F8" s="70">
        <f>F6+F7+E7+D7+C7</f>
        <v>584794.92339980113</v>
      </c>
      <c r="G8" s="70">
        <f>G6+G7+F7+E7+D7+C7</f>
        <v>599141.85317129944</v>
      </c>
      <c r="H8" s="70">
        <f>H6+H7+G7+F7+E7+D7+C7</f>
        <v>564847.4870622583</v>
      </c>
      <c r="I8" s="70">
        <f>I6+I7</f>
        <v>456559.61545645091</v>
      </c>
      <c r="J8" s="70">
        <f>J6+J7+I7</f>
        <v>509060.87501538632</v>
      </c>
      <c r="K8" s="70">
        <f>K6+K7+J7+I7</f>
        <v>548746.35083209234</v>
      </c>
      <c r="L8" s="70">
        <f>L6+L7+K7+J7+I7</f>
        <v>547104.23908919981</v>
      </c>
      <c r="M8" s="70">
        <f>M6+M7+L7+K7+J7+I7</f>
        <v>536505.92020407342</v>
      </c>
      <c r="N8" s="70">
        <f>N6+N7+M7+L7+K7+J7+I7</f>
        <v>515376.57210519561</v>
      </c>
      <c r="O8" s="70">
        <f>O6+O7</f>
        <v>427504.84630240849</v>
      </c>
      <c r="P8" s="70">
        <f>P6+P7+O7</f>
        <v>349282.80421799549</v>
      </c>
      <c r="Q8" s="70">
        <f>Q6+Q7+P7+O7</f>
        <v>275383.01272019767</v>
      </c>
      <c r="R8" s="70">
        <f>R6+R7+Q7+P7+O7</f>
        <v>209132.41110661213</v>
      </c>
      <c r="S8" s="70">
        <f>S6+S7+R7+Q7+P7+O7</f>
        <v>143994.98021566228</v>
      </c>
      <c r="T8" s="70">
        <f>T6+T7+S7+R7+Q7+P7+O7</f>
        <v>76200.124726052105</v>
      </c>
      <c r="U8" s="70">
        <f>U6+U7</f>
        <v>9.5894847618183121E-11</v>
      </c>
      <c r="V8" s="150" t="s">
        <v>90</v>
      </c>
    </row>
    <row r="9" spans="1:23">
      <c r="B9" s="151"/>
      <c r="C9" s="151"/>
      <c r="D9" s="151"/>
      <c r="E9" s="160"/>
      <c r="F9" s="160"/>
      <c r="G9" s="160"/>
      <c r="H9" s="151"/>
      <c r="I9" s="151"/>
      <c r="J9" s="151"/>
      <c r="K9" s="151"/>
      <c r="L9" s="151"/>
      <c r="M9" s="151"/>
      <c r="N9" s="151"/>
      <c r="O9" s="151"/>
      <c r="P9" s="151"/>
      <c r="Q9" s="160"/>
      <c r="R9" s="150"/>
      <c r="S9" s="150"/>
    </row>
    <row r="10" spans="1:23">
      <c r="B10" s="258">
        <v>44926</v>
      </c>
      <c r="C10" s="258">
        <v>44957</v>
      </c>
      <c r="D10" s="258">
        <v>44985</v>
      </c>
      <c r="E10" s="258">
        <v>45016</v>
      </c>
      <c r="F10" s="160"/>
      <c r="G10" s="160"/>
      <c r="H10" s="151"/>
      <c r="I10" s="151"/>
      <c r="J10" s="151"/>
      <c r="K10" s="151"/>
      <c r="L10" s="151"/>
      <c r="M10" s="151"/>
      <c r="N10" s="151"/>
      <c r="O10" s="151"/>
      <c r="P10" s="151"/>
      <c r="Q10" s="160"/>
      <c r="R10" s="150"/>
      <c r="S10" s="150"/>
    </row>
    <row r="11" spans="1:23">
      <c r="A11" s="75" t="s">
        <v>138</v>
      </c>
      <c r="B11" s="157">
        <v>-1107116.8899999999</v>
      </c>
      <c r="C11" s="157">
        <v>-720890.88</v>
      </c>
      <c r="D11" s="157">
        <v>-466283.42</v>
      </c>
      <c r="E11" s="157">
        <v>-123722</v>
      </c>
      <c r="F11" s="160"/>
      <c r="G11" s="160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3">
      <c r="A12" s="75" t="s">
        <v>150</v>
      </c>
      <c r="B12" s="157">
        <v>0</v>
      </c>
      <c r="C12" s="157">
        <v>0</v>
      </c>
      <c r="D12" s="157">
        <v>0</v>
      </c>
      <c r="E12" s="157">
        <v>0</v>
      </c>
      <c r="F12" s="160"/>
      <c r="G12" s="16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3">
      <c r="A13" s="75" t="s">
        <v>183</v>
      </c>
      <c r="B13" s="257">
        <v>238357.59</v>
      </c>
      <c r="C13" s="257">
        <v>241731.1</v>
      </c>
      <c r="D13" s="257">
        <v>-344290.52</v>
      </c>
      <c r="E13" s="257">
        <v>-505088.24</v>
      </c>
      <c r="F13" s="160"/>
      <c r="G13" s="16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1:23">
      <c r="A14" s="75" t="s">
        <v>139</v>
      </c>
      <c r="B14" s="74">
        <f>SUM(B11:B13)</f>
        <v>-868759.29999999993</v>
      </c>
      <c r="C14" s="74">
        <f>SUM(C11:C13)</f>
        <v>-479159.78</v>
      </c>
      <c r="D14" s="74">
        <f>SUM(D11:D13)</f>
        <v>-810573.94</v>
      </c>
      <c r="E14" s="74">
        <f>SUM(E11:E13)</f>
        <v>-628810.23999999999</v>
      </c>
      <c r="F14" s="160"/>
      <c r="G14" s="160"/>
      <c r="H14" s="151"/>
      <c r="I14" s="151"/>
      <c r="J14" s="151"/>
      <c r="K14" s="151"/>
      <c r="L14" s="151"/>
      <c r="M14" s="151"/>
      <c r="N14" s="151"/>
      <c r="O14" s="151"/>
      <c r="P14" s="151"/>
      <c r="Q14" s="151"/>
    </row>
    <row r="15" spans="1:23">
      <c r="C15" s="151">
        <f>C14+C8</f>
        <v>4.2773511377163231E-3</v>
      </c>
      <c r="D15" s="151">
        <f>D14+D8</f>
        <v>1.6705452930182219E-2</v>
      </c>
      <c r="E15" s="151">
        <f>E14+E8</f>
        <v>5.0385754555463791E-2</v>
      </c>
      <c r="F15" s="160"/>
      <c r="G15" s="160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1:23">
      <c r="A16" s="69"/>
      <c r="B16" s="151"/>
      <c r="C16" s="151"/>
      <c r="D16" s="151"/>
      <c r="E16" s="160"/>
      <c r="F16" s="160"/>
      <c r="G16" s="160"/>
      <c r="H16" s="151"/>
      <c r="I16" s="151"/>
      <c r="L16" s="161"/>
      <c r="M16" s="161"/>
      <c r="N16" s="161"/>
      <c r="O16" s="161"/>
      <c r="P16" s="161"/>
    </row>
    <row r="17" spans="1:13">
      <c r="A17" s="69"/>
      <c r="B17" s="70"/>
      <c r="C17" s="151"/>
      <c r="D17" s="151"/>
      <c r="E17" s="160"/>
      <c r="F17" s="160"/>
      <c r="G17" s="160"/>
      <c r="H17" s="151"/>
      <c r="I17" s="151"/>
      <c r="M17" s="161"/>
    </row>
    <row r="18" spans="1:13">
      <c r="A18" s="69" t="s">
        <v>185</v>
      </c>
      <c r="B18" s="70">
        <f>I8</f>
        <v>456559.61545645091</v>
      </c>
      <c r="C18" s="151"/>
      <c r="D18" s="151"/>
      <c r="E18" s="160"/>
      <c r="F18" s="160"/>
      <c r="G18" s="160"/>
    </row>
    <row r="19" spans="1:13">
      <c r="A19" s="71" t="s">
        <v>186</v>
      </c>
      <c r="B19" s="72">
        <f>SUM(J4:U4)</f>
        <v>432564</v>
      </c>
      <c r="C19" s="151"/>
      <c r="D19" s="151"/>
      <c r="E19" s="160"/>
      <c r="F19" s="160"/>
      <c r="G19" s="160"/>
    </row>
    <row r="20" spans="1:13">
      <c r="A20" s="71" t="s">
        <v>187</v>
      </c>
      <c r="B20" s="72">
        <f>SUM(J3:U3)</f>
        <v>-912368.02305501443</v>
      </c>
    </row>
    <row r="21" spans="1:13">
      <c r="A21" s="71" t="s">
        <v>75</v>
      </c>
      <c r="B21" s="73">
        <f>SUM(J7:U7)</f>
        <v>23244.407598563575</v>
      </c>
    </row>
    <row r="22" spans="1:13">
      <c r="A22" s="69" t="s">
        <v>157</v>
      </c>
      <c r="B22" s="74">
        <f>B18+B19+B21+B20</f>
        <v>0</v>
      </c>
      <c r="C22" s="76"/>
    </row>
    <row r="23" spans="1:13">
      <c r="A23" s="69"/>
      <c r="B23" s="74"/>
      <c r="C23" s="76"/>
    </row>
    <row r="24" spans="1:13">
      <c r="B24" s="76" t="s">
        <v>180</v>
      </c>
      <c r="C24" s="76" t="s">
        <v>149</v>
      </c>
    </row>
    <row r="25" spans="1:13" ht="13.5" thickBot="1">
      <c r="B25" s="191">
        <v>44916</v>
      </c>
      <c r="C25" s="191">
        <v>44470</v>
      </c>
    </row>
    <row r="26" spans="1:13">
      <c r="A26" s="103" t="s">
        <v>84</v>
      </c>
      <c r="B26" s="192">
        <v>6.5111000000000002E-2</v>
      </c>
      <c r="C26" s="192">
        <v>6.5813999999999998E-2</v>
      </c>
    </row>
    <row r="27" spans="1:13" ht="13.5" thickBot="1">
      <c r="A27" s="77" t="s">
        <v>85</v>
      </c>
      <c r="B27" s="134">
        <f>B26/12</f>
        <v>5.4259166666666666E-3</v>
      </c>
      <c r="C27" s="134">
        <f>C26/12</f>
        <v>5.4844999999999998E-3</v>
      </c>
    </row>
    <row r="28" spans="1:13" ht="13.5" thickBot="1"/>
    <row r="29" spans="1:13">
      <c r="A29" s="241" t="s">
        <v>175</v>
      </c>
      <c r="B29" s="242">
        <f>C26</f>
        <v>6.5813999999999998E-2</v>
      </c>
      <c r="C29" s="243">
        <f>20/31</f>
        <v>0.64516129032258063</v>
      </c>
      <c r="D29" s="244">
        <f>B29*C29</f>
        <v>4.246064516129032E-2</v>
      </c>
    </row>
    <row r="30" spans="1:13">
      <c r="A30" s="245" t="s">
        <v>176</v>
      </c>
      <c r="B30" s="246">
        <f>B26</f>
        <v>6.5111000000000002E-2</v>
      </c>
      <c r="C30" s="150">
        <f>1-C29</f>
        <v>0.35483870967741937</v>
      </c>
      <c r="D30" s="249">
        <f>B30*C30</f>
        <v>2.3103903225806452E-2</v>
      </c>
    </row>
    <row r="31" spans="1:13" ht="13.5" thickBot="1">
      <c r="A31" s="247" t="s">
        <v>177</v>
      </c>
      <c r="B31" s="248"/>
      <c r="C31" s="248"/>
      <c r="D31" s="250">
        <f>D30+D29</f>
        <v>6.5564548387096772E-2</v>
      </c>
    </row>
    <row r="33" spans="2:7">
      <c r="G33" s="162"/>
    </row>
    <row r="41" spans="2:7">
      <c r="B41" s="163"/>
    </row>
    <row r="42" spans="2:7">
      <c r="C42" s="152"/>
    </row>
    <row r="43" spans="2:7">
      <c r="C43" s="153"/>
    </row>
    <row r="44" spans="2:7">
      <c r="C44" s="153"/>
    </row>
  </sheetData>
  <pageMargins left="0.7" right="0.7" top="0.75" bottom="0.75" header="0.3" footer="0.3"/>
  <pageSetup scale="46" orientation="landscape" r:id="rId1"/>
  <headerFooter>
    <oddFooter>&amp;L&amp;F&amp;RPage: &amp;P of &amp;N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3"/>
  <sheetViews>
    <sheetView workbookViewId="0">
      <selection activeCell="C11" sqref="C11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53" t="s">
        <v>103</v>
      </c>
      <c r="B1" s="53"/>
    </row>
    <row r="4" spans="1:20">
      <c r="A4" s="1" t="s">
        <v>76</v>
      </c>
      <c r="D4" s="54">
        <v>45046</v>
      </c>
      <c r="E4" s="252">
        <f>EOMONTH(D4,1)</f>
        <v>45077</v>
      </c>
      <c r="F4" s="252">
        <f t="shared" ref="F4:S4" si="0">EOMONTH(E4,1)</f>
        <v>45107</v>
      </c>
      <c r="G4" s="252">
        <f t="shared" si="0"/>
        <v>45138</v>
      </c>
      <c r="H4" s="252">
        <f t="shared" si="0"/>
        <v>45169</v>
      </c>
      <c r="I4" s="252">
        <f t="shared" si="0"/>
        <v>45199</v>
      </c>
      <c r="J4" s="252">
        <f t="shared" si="0"/>
        <v>45230</v>
      </c>
      <c r="K4" s="252">
        <f t="shared" si="0"/>
        <v>45260</v>
      </c>
      <c r="L4" s="252">
        <f t="shared" si="0"/>
        <v>45291</v>
      </c>
      <c r="M4" s="252">
        <f t="shared" si="0"/>
        <v>45322</v>
      </c>
      <c r="N4" s="252">
        <f t="shared" si="0"/>
        <v>45351</v>
      </c>
      <c r="O4" s="252">
        <f t="shared" si="0"/>
        <v>45382</v>
      </c>
      <c r="P4" s="252">
        <f t="shared" si="0"/>
        <v>45412</v>
      </c>
      <c r="Q4" s="252">
        <f t="shared" si="0"/>
        <v>45443</v>
      </c>
      <c r="R4" s="252">
        <f t="shared" si="0"/>
        <v>45473</v>
      </c>
      <c r="S4" s="252">
        <f t="shared" si="0"/>
        <v>45504</v>
      </c>
    </row>
    <row r="5" spans="1:20">
      <c r="B5" s="1" t="s">
        <v>116</v>
      </c>
      <c r="D5" s="55">
        <f>'kWh Forecast'!B22</f>
        <v>181583684.5377253</v>
      </c>
      <c r="E5" s="55">
        <f>'kWh Forecast'!C22</f>
        <v>162022515.32896534</v>
      </c>
      <c r="F5" s="55">
        <f>'kWh Forecast'!D22</f>
        <v>159931912.39447597</v>
      </c>
      <c r="G5" s="55">
        <f>'kWh Forecast'!E22</f>
        <v>198158176.60755882</v>
      </c>
      <c r="H5" s="55">
        <f>'kWh Forecast'!F22</f>
        <v>216731951.23623958</v>
      </c>
      <c r="I5" s="55">
        <f>'kWh Forecast'!G22</f>
        <v>164017440.80219781</v>
      </c>
      <c r="J5" s="55">
        <f>'kWh Forecast'!H22</f>
        <v>174053253.52054298</v>
      </c>
      <c r="K5" s="55">
        <f>'kWh Forecast'!I22</f>
        <v>236773377.24326912</v>
      </c>
      <c r="L5" s="55">
        <f>'kWh Forecast'!J22</f>
        <v>298266778.8709479</v>
      </c>
      <c r="M5" s="55">
        <f>'kWh Forecast'!K22</f>
        <v>302171651.63186604</v>
      </c>
      <c r="N5" s="55">
        <f>'kWh Forecast'!L22</f>
        <v>255730233.69181731</v>
      </c>
      <c r="O5" s="55">
        <f>'kWh Forecast'!M22</f>
        <v>225395651.36142737</v>
      </c>
      <c r="P5" s="55">
        <f>'kWh Forecast'!N22</f>
        <v>181906626.94919324</v>
      </c>
      <c r="Q5" s="55">
        <f>'kWh Forecast'!O22</f>
        <v>163109108.5320513</v>
      </c>
      <c r="R5" s="55">
        <f>'kWh Forecast'!P22</f>
        <v>160836285.89153969</v>
      </c>
      <c r="S5" s="55">
        <f>'kWh Forecast'!Q22</f>
        <v>192846665.11564612</v>
      </c>
      <c r="T5" s="57">
        <f>SUM(D5:S5)</f>
        <v>3273535313.7154636</v>
      </c>
    </row>
    <row r="6" spans="1:20">
      <c r="B6" s="1" t="s">
        <v>78</v>
      </c>
      <c r="D6" s="55">
        <f>'kWh Forecast'!B23</f>
        <v>50808435.730159394</v>
      </c>
      <c r="E6" s="55">
        <f>'kWh Forecast'!C23</f>
        <v>49109075.812856637</v>
      </c>
      <c r="F6" s="55">
        <f>'kWh Forecast'!D23</f>
        <v>49953954.79644493</v>
      </c>
      <c r="G6" s="55">
        <f>'kWh Forecast'!E23</f>
        <v>57741452.322056554</v>
      </c>
      <c r="H6" s="55">
        <f>'kWh Forecast'!F23</f>
        <v>57339320.126637816</v>
      </c>
      <c r="I6" s="55">
        <f>'kWh Forecast'!G23</f>
        <v>51272987.222308233</v>
      </c>
      <c r="J6" s="55">
        <f>'kWh Forecast'!H23</f>
        <v>52608254.540086903</v>
      </c>
      <c r="K6" s="55">
        <f>'kWh Forecast'!I23</f>
        <v>59878691.449857406</v>
      </c>
      <c r="L6" s="55">
        <f>'kWh Forecast'!J23</f>
        <v>67435321.272054702</v>
      </c>
      <c r="M6" s="55">
        <f>'kWh Forecast'!K23</f>
        <v>66133910.670872323</v>
      </c>
      <c r="N6" s="55">
        <f>'kWh Forecast'!L23</f>
        <v>60885910.686236769</v>
      </c>
      <c r="O6" s="55">
        <f>'kWh Forecast'!M23</f>
        <v>57688794.160564564</v>
      </c>
      <c r="P6" s="55">
        <f>'kWh Forecast'!N23</f>
        <v>50347560.911027625</v>
      </c>
      <c r="Q6" s="55">
        <f>'kWh Forecast'!O23</f>
        <v>48824704.065570995</v>
      </c>
      <c r="R6" s="55">
        <f>'kWh Forecast'!P23</f>
        <v>50227686.126204953</v>
      </c>
      <c r="S6" s="55">
        <f>'kWh Forecast'!Q23</f>
        <v>57931610.441819154</v>
      </c>
      <c r="T6" s="57">
        <f t="shared" ref="T6:T10" si="1">SUM(D6:S6)</f>
        <v>888187670.334759</v>
      </c>
    </row>
    <row r="7" spans="1:20">
      <c r="B7" s="1" t="s">
        <v>79</v>
      </c>
      <c r="D7" s="55">
        <f>'kWh Forecast'!B24</f>
        <v>104269710.20322296</v>
      </c>
      <c r="E7" s="55">
        <f>'kWh Forecast'!C24</f>
        <v>108413207.35369599</v>
      </c>
      <c r="F7" s="55">
        <f>'kWh Forecast'!D24</f>
        <v>111040385.00889461</v>
      </c>
      <c r="G7" s="55">
        <f>'kWh Forecast'!E24</f>
        <v>120789739.19127303</v>
      </c>
      <c r="H7" s="55">
        <f>'kWh Forecast'!F24</f>
        <v>111952114.90990792</v>
      </c>
      <c r="I7" s="55">
        <f>'kWh Forecast'!G24</f>
        <v>105129211.82162112</v>
      </c>
      <c r="J7" s="55">
        <f>'kWh Forecast'!H24</f>
        <v>116328470.75931405</v>
      </c>
      <c r="K7" s="55">
        <f>'kWh Forecast'!I24</f>
        <v>116509335.80866526</v>
      </c>
      <c r="L7" s="55">
        <f>'kWh Forecast'!J24</f>
        <v>112361609.26844884</v>
      </c>
      <c r="M7" s="55">
        <f>'kWh Forecast'!K24</f>
        <v>108840193.28556219</v>
      </c>
      <c r="N7" s="55">
        <f>'kWh Forecast'!L24</f>
        <v>107061683.44391383</v>
      </c>
      <c r="O7" s="55">
        <f>'kWh Forecast'!M24</f>
        <v>104587213.64796768</v>
      </c>
      <c r="P7" s="55">
        <f>'kWh Forecast'!N24</f>
        <v>101691844.59995094</v>
      </c>
      <c r="Q7" s="55">
        <f>'kWh Forecast'!O24</f>
        <v>106046619.74609959</v>
      </c>
      <c r="R7" s="55">
        <f>'kWh Forecast'!P24</f>
        <v>109214001.77959111</v>
      </c>
      <c r="S7" s="55">
        <f>'kWh Forecast'!Q24</f>
        <v>118198030.78811762</v>
      </c>
      <c r="T7" s="57">
        <f t="shared" si="1"/>
        <v>1762433371.6162469</v>
      </c>
    </row>
    <row r="8" spans="1:20">
      <c r="B8" s="260" t="s">
        <v>191</v>
      </c>
      <c r="D8" s="55">
        <f>'kWh Forecast'!B25</f>
        <v>84867685</v>
      </c>
      <c r="E8" s="55">
        <f>'kWh Forecast'!C25</f>
        <v>84074970</v>
      </c>
      <c r="F8" s="55">
        <f>'kWh Forecast'!D25</f>
        <v>90024038</v>
      </c>
      <c r="G8" s="55">
        <f>'kWh Forecast'!E25</f>
        <v>88297285</v>
      </c>
      <c r="H8" s="55">
        <f>'kWh Forecast'!F25</f>
        <v>95443061</v>
      </c>
      <c r="I8" s="55">
        <f>'kWh Forecast'!G25</f>
        <v>83739469</v>
      </c>
      <c r="J8" s="55">
        <f>'kWh Forecast'!H25</f>
        <v>87408384</v>
      </c>
      <c r="K8" s="55">
        <f>'kWh Forecast'!I25</f>
        <v>84996016</v>
      </c>
      <c r="L8" s="55">
        <f>'kWh Forecast'!J25</f>
        <v>84617796</v>
      </c>
      <c r="M8" s="55">
        <f>'kWh Forecast'!K25</f>
        <v>91017408</v>
      </c>
      <c r="N8" s="55">
        <f>'kWh Forecast'!L25</f>
        <v>79822758</v>
      </c>
      <c r="O8" s="55">
        <f>'kWh Forecast'!M25</f>
        <v>85787474</v>
      </c>
      <c r="P8" s="55">
        <f>'kWh Forecast'!N25</f>
        <v>86045432</v>
      </c>
      <c r="Q8" s="55">
        <f>'kWh Forecast'!O25</f>
        <v>84031959</v>
      </c>
      <c r="R8" s="55">
        <f>'kWh Forecast'!P25</f>
        <v>86651976</v>
      </c>
      <c r="S8" s="55">
        <f>'kWh Forecast'!Q25</f>
        <v>85922359</v>
      </c>
      <c r="T8" s="57">
        <f t="shared" si="1"/>
        <v>1382748070</v>
      </c>
    </row>
    <row r="9" spans="1:20">
      <c r="B9" s="1" t="s">
        <v>80</v>
      </c>
      <c r="D9" s="55">
        <f>'kWh Forecast'!B26</f>
        <v>6023493.2336146021</v>
      </c>
      <c r="E9" s="55">
        <f>'kWh Forecast'!C26</f>
        <v>13502436.753305124</v>
      </c>
      <c r="F9" s="55">
        <f>'kWh Forecast'!D26</f>
        <v>21744100.306249153</v>
      </c>
      <c r="G9" s="55">
        <f>'kWh Forecast'!E26</f>
        <v>25491747.595475763</v>
      </c>
      <c r="H9" s="55">
        <f>'kWh Forecast'!F26</f>
        <v>28414339.756238058</v>
      </c>
      <c r="I9" s="55">
        <f>'kWh Forecast'!G26</f>
        <v>22894573.204752006</v>
      </c>
      <c r="J9" s="55">
        <f>'kWh Forecast'!H26</f>
        <v>11407152.223987106</v>
      </c>
      <c r="K9" s="55">
        <f>'kWh Forecast'!I26</f>
        <v>1659747.4462104633</v>
      </c>
      <c r="L9" s="55">
        <f>'kWh Forecast'!J26</f>
        <v>3324665.2279788703</v>
      </c>
      <c r="M9" s="55">
        <f>'kWh Forecast'!K26</f>
        <v>3996028.926227618</v>
      </c>
      <c r="N9" s="55">
        <f>'kWh Forecast'!L26</f>
        <v>4398901.7123823194</v>
      </c>
      <c r="O9" s="55">
        <f>'kWh Forecast'!M26</f>
        <v>4240882.9001918444</v>
      </c>
      <c r="P9" s="55">
        <f>'kWh Forecast'!N26</f>
        <v>6327667.9602181073</v>
      </c>
      <c r="Q9" s="55">
        <f>'kWh Forecast'!O26</f>
        <v>13808147.840110611</v>
      </c>
      <c r="R9" s="55">
        <f>'kWh Forecast'!P26</f>
        <v>22265301.684893828</v>
      </c>
      <c r="S9" s="55">
        <f>'kWh Forecast'!Q26</f>
        <v>25147825.080746349</v>
      </c>
      <c r="T9" s="57">
        <f t="shared" si="1"/>
        <v>214647011.8525818</v>
      </c>
    </row>
    <row r="10" spans="1:20">
      <c r="B10" s="1" t="s">
        <v>81</v>
      </c>
      <c r="D10" s="55">
        <f>'kWh Forecast'!B27</f>
        <v>1302576.1267940914</v>
      </c>
      <c r="E10" s="55">
        <f>'kWh Forecast'!C27</f>
        <v>1305319.0584098492</v>
      </c>
      <c r="F10" s="55">
        <f>'kWh Forecast'!D27</f>
        <v>1315164.5230185864</v>
      </c>
      <c r="G10" s="55">
        <f>'kWh Forecast'!E27</f>
        <v>1319522.9235993021</v>
      </c>
      <c r="H10" s="55">
        <f>'kWh Forecast'!F27</f>
        <v>1343017.048684244</v>
      </c>
      <c r="I10" s="55">
        <f>'kWh Forecast'!G27</f>
        <v>1345900.7959291809</v>
      </c>
      <c r="J10" s="55">
        <f>'kWh Forecast'!H27</f>
        <v>1314322.6735311958</v>
      </c>
      <c r="K10" s="55">
        <f>'kWh Forecast'!I27</f>
        <v>1330329.7010500454</v>
      </c>
      <c r="L10" s="55">
        <f>'kWh Forecast'!J27</f>
        <v>1338864.1154058825</v>
      </c>
      <c r="M10" s="55">
        <f>'kWh Forecast'!K27</f>
        <v>1340188.064714706</v>
      </c>
      <c r="N10" s="55">
        <f>'kWh Forecast'!L27</f>
        <v>1272098.5856400984</v>
      </c>
      <c r="O10" s="55">
        <f>'kWh Forecast'!M27</f>
        <v>1353925.3824872593</v>
      </c>
      <c r="P10" s="55">
        <f>'kWh Forecast'!N27</f>
        <v>1292839.6562630786</v>
      </c>
      <c r="Q10" s="55">
        <f>'kWh Forecast'!O27</f>
        <v>1297017.5794819526</v>
      </c>
      <c r="R10" s="55">
        <f>'kWh Forecast'!P27</f>
        <v>1313152.508189003</v>
      </c>
      <c r="S10" s="55">
        <f>'kWh Forecast'!Q27</f>
        <v>1314340.3992536208</v>
      </c>
      <c r="T10" s="57">
        <f t="shared" si="1"/>
        <v>21098579.142452095</v>
      </c>
    </row>
    <row r="11" spans="1:20">
      <c r="A11" s="1" t="s">
        <v>82</v>
      </c>
      <c r="D11" s="56">
        <f>SUM(D5:D10)</f>
        <v>428855584.83151639</v>
      </c>
      <c r="E11" s="56">
        <f>SUM(E5:E10)</f>
        <v>418427524.30723298</v>
      </c>
      <c r="F11" s="56">
        <f>SUM(F5:F10)</f>
        <v>434009555.02908325</v>
      </c>
      <c r="G11" s="56">
        <f t="shared" ref="G11:S11" si="2">SUM(G5:G10)</f>
        <v>491797923.63996345</v>
      </c>
      <c r="H11" s="56">
        <f t="shared" si="2"/>
        <v>511223804.07770759</v>
      </c>
      <c r="I11" s="56">
        <f t="shared" si="2"/>
        <v>428399582.84680837</v>
      </c>
      <c r="J11" s="56">
        <f t="shared" si="2"/>
        <v>443119837.71746218</v>
      </c>
      <c r="K11" s="56">
        <f t="shared" si="2"/>
        <v>501147497.64905226</v>
      </c>
      <c r="L11" s="56">
        <f t="shared" si="2"/>
        <v>567345034.7548362</v>
      </c>
      <c r="M11" s="56">
        <f t="shared" si="2"/>
        <v>573499380.57924283</v>
      </c>
      <c r="N11" s="56">
        <f t="shared" si="2"/>
        <v>509171586.11999029</v>
      </c>
      <c r="O11" s="56">
        <f t="shared" si="2"/>
        <v>479053941.45263869</v>
      </c>
      <c r="P11" s="56">
        <f t="shared" si="2"/>
        <v>427611972.076653</v>
      </c>
      <c r="Q11" s="56">
        <f t="shared" si="2"/>
        <v>417117556.76331443</v>
      </c>
      <c r="R11" s="56">
        <f t="shared" si="2"/>
        <v>430508403.99041861</v>
      </c>
      <c r="S11" s="56">
        <f t="shared" si="2"/>
        <v>481360830.82558286</v>
      </c>
      <c r="T11" s="57">
        <f>SUM(T5:T10)</f>
        <v>7542650016.6615038</v>
      </c>
    </row>
    <row r="12" spans="1:20">
      <c r="D12" s="57"/>
      <c r="E12" s="57"/>
      <c r="F12" s="57"/>
      <c r="G12" s="57"/>
      <c r="H12" s="57">
        <f>H11-'kWh Forecast'!F28</f>
        <v>0</v>
      </c>
      <c r="I12" s="57">
        <f>I11-'kWh Forecast'!G28</f>
        <v>0</v>
      </c>
      <c r="J12" s="57">
        <f>J11-'kWh Forecast'!H28</f>
        <v>0</v>
      </c>
      <c r="K12" s="57">
        <f>K11-'kWh Forecast'!I28</f>
        <v>0</v>
      </c>
      <c r="L12" s="57">
        <f>L11-'kWh Forecast'!J28</f>
        <v>0</v>
      </c>
      <c r="M12" s="57">
        <f>M11-'kWh Forecast'!K28</f>
        <v>0</v>
      </c>
      <c r="N12" s="57">
        <f>N11-'kWh Forecast'!L28</f>
        <v>0</v>
      </c>
      <c r="O12" s="57">
        <f>O11-'kWh Forecast'!M28</f>
        <v>0</v>
      </c>
      <c r="P12" s="57">
        <f>P11-'kWh Forecast'!N28</f>
        <v>0</v>
      </c>
      <c r="Q12" s="57">
        <f>Q11-'kWh Forecast'!O28</f>
        <v>0</v>
      </c>
      <c r="R12" s="57">
        <f>R11-'kWh Forecast'!P28</f>
        <v>0</v>
      </c>
      <c r="S12" s="57">
        <f>S11-'kWh Forecast'!Q28</f>
        <v>0</v>
      </c>
    </row>
    <row r="14" spans="1:20">
      <c r="A14" s="1" t="s">
        <v>92</v>
      </c>
      <c r="D14" s="263" t="s">
        <v>134</v>
      </c>
      <c r="E14" s="264"/>
      <c r="F14" s="264"/>
      <c r="G14" s="265"/>
      <c r="H14" s="263" t="s">
        <v>135</v>
      </c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5"/>
    </row>
    <row r="15" spans="1:20">
      <c r="B15" s="1" t="s">
        <v>116</v>
      </c>
      <c r="D15" s="58">
        <f>'Rate Design'!$D$17</f>
        <v>-6.1819999999999996E-4</v>
      </c>
      <c r="E15" s="58">
        <f>'Rate Design'!$D$17</f>
        <v>-6.1819999999999996E-4</v>
      </c>
      <c r="F15" s="58">
        <f>'Rate Design'!$D$17</f>
        <v>-6.1819999999999996E-4</v>
      </c>
      <c r="G15" s="58">
        <f>'Rate Design'!$D$17</f>
        <v>-6.1819999999999996E-4</v>
      </c>
      <c r="H15" s="58">
        <f>'Rate Design'!$D$16</f>
        <v>-1.6512679395476611E-4</v>
      </c>
      <c r="I15" s="58">
        <f>'Rate Design'!$D$16</f>
        <v>-1.6512679395476611E-4</v>
      </c>
      <c r="J15" s="58">
        <f>'Rate Design'!$D$16</f>
        <v>-1.6512679395476611E-4</v>
      </c>
      <c r="K15" s="58">
        <f>'Rate Design'!$D$16</f>
        <v>-1.6512679395476611E-4</v>
      </c>
      <c r="L15" s="58">
        <f>'Rate Design'!$D$16</f>
        <v>-1.6512679395476611E-4</v>
      </c>
      <c r="M15" s="58">
        <f>'Rate Design'!$D$16</f>
        <v>-1.6512679395476611E-4</v>
      </c>
      <c r="N15" s="58">
        <f>'Rate Design'!$D$16</f>
        <v>-1.6512679395476611E-4</v>
      </c>
      <c r="O15" s="58">
        <f>'Rate Design'!$D$16</f>
        <v>-1.6512679395476611E-4</v>
      </c>
      <c r="P15" s="58">
        <f>'Rate Design'!$D$16</f>
        <v>-1.6512679395476611E-4</v>
      </c>
      <c r="Q15" s="58">
        <f>'Rate Design'!$D$16</f>
        <v>-1.6512679395476611E-4</v>
      </c>
      <c r="R15" s="58">
        <f>'Rate Design'!$D$16</f>
        <v>-1.6512679395476611E-4</v>
      </c>
      <c r="S15" s="58">
        <f>'Rate Design'!$D$16</f>
        <v>-1.6512679395476611E-4</v>
      </c>
    </row>
    <row r="16" spans="1:20">
      <c r="B16" s="1" t="s">
        <v>78</v>
      </c>
      <c r="D16" s="58">
        <f>'Rate Design'!$E$17</f>
        <v>-5.9999999999999995E-4</v>
      </c>
      <c r="E16" s="58">
        <f>'Rate Design'!$E$17</f>
        <v>-5.9999999999999995E-4</v>
      </c>
      <c r="F16" s="58">
        <f>'Rate Design'!$E$17</f>
        <v>-5.9999999999999995E-4</v>
      </c>
      <c r="G16" s="58">
        <f>'Rate Design'!$E$17</f>
        <v>-5.9999999999999995E-4</v>
      </c>
      <c r="H16" s="58">
        <f>'Rate Design'!$E$16</f>
        <v>-1.5848508802935744E-4</v>
      </c>
      <c r="I16" s="58">
        <f>'Rate Design'!$E$16</f>
        <v>-1.5848508802935744E-4</v>
      </c>
      <c r="J16" s="58">
        <f>'Rate Design'!$E$16</f>
        <v>-1.5848508802935744E-4</v>
      </c>
      <c r="K16" s="58">
        <f>'Rate Design'!$E$16</f>
        <v>-1.5848508802935744E-4</v>
      </c>
      <c r="L16" s="58">
        <f>'Rate Design'!$E$16</f>
        <v>-1.5848508802935744E-4</v>
      </c>
      <c r="M16" s="58">
        <f>'Rate Design'!$E$16</f>
        <v>-1.5848508802935744E-4</v>
      </c>
      <c r="N16" s="58">
        <f>'Rate Design'!$E$16</f>
        <v>-1.5848508802935744E-4</v>
      </c>
      <c r="O16" s="58">
        <f>'Rate Design'!$E$16</f>
        <v>-1.5848508802935744E-4</v>
      </c>
      <c r="P16" s="58">
        <f>'Rate Design'!$E$16</f>
        <v>-1.5848508802935744E-4</v>
      </c>
      <c r="Q16" s="58">
        <f>'Rate Design'!$E$16</f>
        <v>-1.5848508802935744E-4</v>
      </c>
      <c r="R16" s="58">
        <f>'Rate Design'!$E$16</f>
        <v>-1.5848508802935744E-4</v>
      </c>
      <c r="S16" s="58">
        <f>'Rate Design'!$E$16</f>
        <v>-1.5848508802935744E-4</v>
      </c>
    </row>
    <row r="17" spans="1:21">
      <c r="B17" s="1" t="s">
        <v>79</v>
      </c>
      <c r="D17" s="58">
        <f>'Rate Design'!$F$17</f>
        <v>-6.6E-4</v>
      </c>
      <c r="E17" s="58">
        <f>'Rate Design'!$F$17</f>
        <v>-6.6E-4</v>
      </c>
      <c r="F17" s="58">
        <f>'Rate Design'!$F$17</f>
        <v>-6.6E-4</v>
      </c>
      <c r="G17" s="58">
        <f>'Rate Design'!$F$17</f>
        <v>-6.6E-4</v>
      </c>
      <c r="H17" s="58">
        <f>'Rate Design'!$F$16</f>
        <v>-1.6745879362949336E-4</v>
      </c>
      <c r="I17" s="58">
        <f>'Rate Design'!$F$16</f>
        <v>-1.6745879362949336E-4</v>
      </c>
      <c r="J17" s="58">
        <f>'Rate Design'!$F$16</f>
        <v>-1.6745879362949336E-4</v>
      </c>
      <c r="K17" s="58">
        <f>'Rate Design'!$F$16</f>
        <v>-1.6745879362949336E-4</v>
      </c>
      <c r="L17" s="58">
        <f>'Rate Design'!$F$16</f>
        <v>-1.6745879362949336E-4</v>
      </c>
      <c r="M17" s="58">
        <f>'Rate Design'!$F$16</f>
        <v>-1.6745879362949336E-4</v>
      </c>
      <c r="N17" s="58">
        <f>'Rate Design'!$F$16</f>
        <v>-1.6745879362949336E-4</v>
      </c>
      <c r="O17" s="58">
        <f>'Rate Design'!$F$16</f>
        <v>-1.6745879362949336E-4</v>
      </c>
      <c r="P17" s="58">
        <f>'Rate Design'!$F$16</f>
        <v>-1.6745879362949336E-4</v>
      </c>
      <c r="Q17" s="58">
        <f>'Rate Design'!$F$16</f>
        <v>-1.6745879362949336E-4</v>
      </c>
      <c r="R17" s="58">
        <f>'Rate Design'!$F$16</f>
        <v>-1.6745879362949336E-4</v>
      </c>
      <c r="S17" s="58">
        <f>'Rate Design'!$F$16</f>
        <v>-1.6745879362949336E-4</v>
      </c>
    </row>
    <row r="18" spans="1:21">
      <c r="B18" s="260" t="s">
        <v>191</v>
      </c>
      <c r="D18" s="58">
        <f>'Rate Design'!$G$17</f>
        <v>-6.2E-4</v>
      </c>
      <c r="E18" s="58">
        <f>'Rate Design'!$G$17</f>
        <v>-6.2E-4</v>
      </c>
      <c r="F18" s="58">
        <f>'Rate Design'!$G$17</f>
        <v>-6.2E-4</v>
      </c>
      <c r="G18" s="58">
        <f>'Rate Design'!$G$17</f>
        <v>-6.2E-4</v>
      </c>
      <c r="H18" s="58">
        <f>'Rate Design'!$G$16</f>
        <v>-1.6458509573062969E-4</v>
      </c>
      <c r="I18" s="58">
        <f>'Rate Design'!$G$16</f>
        <v>-1.6458509573062969E-4</v>
      </c>
      <c r="J18" s="58">
        <f>'Rate Design'!$G$16</f>
        <v>-1.6458509573062969E-4</v>
      </c>
      <c r="K18" s="58">
        <f>'Rate Design'!$G$16</f>
        <v>-1.6458509573062969E-4</v>
      </c>
      <c r="L18" s="58">
        <f>'Rate Design'!$G$16</f>
        <v>-1.6458509573062969E-4</v>
      </c>
      <c r="M18" s="58">
        <f>'Rate Design'!$G$16</f>
        <v>-1.6458509573062969E-4</v>
      </c>
      <c r="N18" s="58">
        <f>'Rate Design'!$G$16</f>
        <v>-1.6458509573062969E-4</v>
      </c>
      <c r="O18" s="58">
        <f>'Rate Design'!$G$16</f>
        <v>-1.6458509573062969E-4</v>
      </c>
      <c r="P18" s="58">
        <f>'Rate Design'!$G$16</f>
        <v>-1.6458509573062969E-4</v>
      </c>
      <c r="Q18" s="58">
        <f>'Rate Design'!$G$16</f>
        <v>-1.6458509573062969E-4</v>
      </c>
      <c r="R18" s="58">
        <f>'Rate Design'!$G$16</f>
        <v>-1.6458509573062969E-4</v>
      </c>
      <c r="S18" s="58">
        <f>'Rate Design'!$G$16</f>
        <v>-1.6458509573062969E-4</v>
      </c>
    </row>
    <row r="19" spans="1:21">
      <c r="B19" s="1" t="s">
        <v>80</v>
      </c>
      <c r="D19" s="58">
        <f>'Rate Design'!$H$17</f>
        <v>-6.0999999999999997E-4</v>
      </c>
      <c r="E19" s="58">
        <f>'Rate Design'!$H$17</f>
        <v>-6.0999999999999997E-4</v>
      </c>
      <c r="F19" s="58">
        <f>'Rate Design'!$H$17</f>
        <v>-6.0999999999999997E-4</v>
      </c>
      <c r="G19" s="58">
        <f>'Rate Design'!$H$17</f>
        <v>-6.0999999999999997E-4</v>
      </c>
      <c r="H19" s="58">
        <f>'Rate Design'!$H$16</f>
        <v>-1.8760000770471461E-4</v>
      </c>
      <c r="I19" s="58">
        <f>'Rate Design'!$H$16</f>
        <v>-1.8760000770471461E-4</v>
      </c>
      <c r="J19" s="58">
        <f>'Rate Design'!$H$16</f>
        <v>-1.8760000770471461E-4</v>
      </c>
      <c r="K19" s="58">
        <f>'Rate Design'!$H$16</f>
        <v>-1.8760000770471461E-4</v>
      </c>
      <c r="L19" s="58">
        <f>'Rate Design'!$H$16</f>
        <v>-1.8760000770471461E-4</v>
      </c>
      <c r="M19" s="58">
        <f>'Rate Design'!$H$16</f>
        <v>-1.8760000770471461E-4</v>
      </c>
      <c r="N19" s="58">
        <f>'Rate Design'!$H$16</f>
        <v>-1.8760000770471461E-4</v>
      </c>
      <c r="O19" s="58">
        <f>'Rate Design'!$H$16</f>
        <v>-1.8760000770471461E-4</v>
      </c>
      <c r="P19" s="58">
        <f>'Rate Design'!$H$16</f>
        <v>-1.8760000770471461E-4</v>
      </c>
      <c r="Q19" s="58">
        <f>'Rate Design'!$H$16</f>
        <v>-1.8760000770471461E-4</v>
      </c>
      <c r="R19" s="58">
        <f>'Rate Design'!$H$16</f>
        <v>-1.8760000770471461E-4</v>
      </c>
      <c r="S19" s="58">
        <f>'Rate Design'!$H$16</f>
        <v>-1.8760000770471461E-4</v>
      </c>
    </row>
    <row r="20" spans="1:21">
      <c r="B20" s="1" t="s">
        <v>81</v>
      </c>
      <c r="D20" s="58">
        <f>'Rate Design'!$I$17</f>
        <v>-7.1000000000000002E-4</v>
      </c>
      <c r="E20" s="58">
        <f>'Rate Design'!$I$17</f>
        <v>-7.1000000000000002E-4</v>
      </c>
      <c r="F20" s="58">
        <f>'Rate Design'!$I$17</f>
        <v>-7.1000000000000002E-4</v>
      </c>
      <c r="G20" s="58">
        <f>'Rate Design'!$I$17</f>
        <v>-7.1000000000000002E-4</v>
      </c>
      <c r="H20" s="58">
        <f>'Rate Design'!$I$16</f>
        <v>-1.8195496169597311E-4</v>
      </c>
      <c r="I20" s="58">
        <f>'Rate Design'!$I$16</f>
        <v>-1.8195496169597311E-4</v>
      </c>
      <c r="J20" s="58">
        <f>'Rate Design'!$I$16</f>
        <v>-1.8195496169597311E-4</v>
      </c>
      <c r="K20" s="58">
        <f>'Rate Design'!$I$16</f>
        <v>-1.8195496169597311E-4</v>
      </c>
      <c r="L20" s="58">
        <f>'Rate Design'!$I$16</f>
        <v>-1.8195496169597311E-4</v>
      </c>
      <c r="M20" s="58">
        <f>'Rate Design'!$I$16</f>
        <v>-1.8195496169597311E-4</v>
      </c>
      <c r="N20" s="58">
        <f>'Rate Design'!$I$16</f>
        <v>-1.8195496169597311E-4</v>
      </c>
      <c r="O20" s="58">
        <f>'Rate Design'!$I$16</f>
        <v>-1.8195496169597311E-4</v>
      </c>
      <c r="P20" s="58">
        <f>'Rate Design'!$I$16</f>
        <v>-1.8195496169597311E-4</v>
      </c>
      <c r="Q20" s="58">
        <f>'Rate Design'!$I$16</f>
        <v>-1.8195496169597311E-4</v>
      </c>
      <c r="R20" s="58">
        <f>'Rate Design'!$I$16</f>
        <v>-1.8195496169597311E-4</v>
      </c>
      <c r="S20" s="58">
        <f>'Rate Design'!$I$16</f>
        <v>-1.8195496169597311E-4</v>
      </c>
    </row>
    <row r="21" spans="1:21"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3" spans="1:21">
      <c r="A23" s="1" t="s">
        <v>91</v>
      </c>
      <c r="D23" s="54">
        <f>D4</f>
        <v>45046</v>
      </c>
      <c r="E23" s="54">
        <f t="shared" ref="E23:S23" si="3">E4</f>
        <v>45077</v>
      </c>
      <c r="F23" s="54">
        <f t="shared" si="3"/>
        <v>45107</v>
      </c>
      <c r="G23" s="54">
        <f t="shared" si="3"/>
        <v>45138</v>
      </c>
      <c r="H23" s="54">
        <f t="shared" si="3"/>
        <v>45169</v>
      </c>
      <c r="I23" s="54">
        <f t="shared" si="3"/>
        <v>45199</v>
      </c>
      <c r="J23" s="54">
        <f t="shared" si="3"/>
        <v>45230</v>
      </c>
      <c r="K23" s="54">
        <f t="shared" si="3"/>
        <v>45260</v>
      </c>
      <c r="L23" s="54">
        <f t="shared" si="3"/>
        <v>45291</v>
      </c>
      <c r="M23" s="54">
        <f t="shared" si="3"/>
        <v>45322</v>
      </c>
      <c r="N23" s="54">
        <f t="shared" si="3"/>
        <v>45351</v>
      </c>
      <c r="O23" s="54">
        <f t="shared" si="3"/>
        <v>45382</v>
      </c>
      <c r="P23" s="54">
        <f t="shared" si="3"/>
        <v>45412</v>
      </c>
      <c r="Q23" s="54">
        <f t="shared" si="3"/>
        <v>45443</v>
      </c>
      <c r="R23" s="54">
        <f t="shared" si="3"/>
        <v>45473</v>
      </c>
      <c r="S23" s="54">
        <f t="shared" si="3"/>
        <v>45504</v>
      </c>
    </row>
    <row r="24" spans="1:21">
      <c r="B24" s="1" t="s">
        <v>77</v>
      </c>
      <c r="D24" s="60">
        <f>D5*D15</f>
        <v>-112255.03378122178</v>
      </c>
      <c r="E24" s="60">
        <f>E5*E15</f>
        <v>-100162.31897636637</v>
      </c>
      <c r="F24" s="60">
        <f>F5*F15</f>
        <v>-98869.908242265039</v>
      </c>
      <c r="G24" s="60">
        <f t="shared" ref="G24:S28" si="4">G5*G15</f>
        <v>-122501.38477879285</v>
      </c>
      <c r="H24" s="60">
        <f t="shared" si="4"/>
        <v>-35788.252255200947</v>
      </c>
      <c r="I24" s="60">
        <f t="shared" si="4"/>
        <v>-27083.674152332565</v>
      </c>
      <c r="J24" s="60">
        <f t="shared" si="4"/>
        <v>-28740.85573124337</v>
      </c>
      <c r="K24" s="60">
        <f t="shared" si="4"/>
        <v>-39097.628678023408</v>
      </c>
      <c r="L24" s="60">
        <f t="shared" si="4"/>
        <v>-49251.836938174798</v>
      </c>
      <c r="M24" s="60">
        <f t="shared" si="4"/>
        <v>-49896.636057986507</v>
      </c>
      <c r="N24" s="60">
        <f t="shared" si="4"/>
        <v>-42227.913606832903</v>
      </c>
      <c r="O24" s="60">
        <f t="shared" si="4"/>
        <v>-37218.861280658712</v>
      </c>
      <c r="P24" s="60">
        <f t="shared" si="4"/>
        <v>-30037.658107245938</v>
      </c>
      <c r="Q24" s="60">
        <f t="shared" si="4"/>
        <v>-26933.684156717616</v>
      </c>
      <c r="R24" s="60">
        <f t="shared" si="4"/>
        <v>-26558.38024086213</v>
      </c>
      <c r="S24" s="60">
        <f t="shared" si="4"/>
        <v>-31844.15153541508</v>
      </c>
    </row>
    <row r="25" spans="1:21">
      <c r="B25" s="1" t="s">
        <v>78</v>
      </c>
      <c r="D25" s="60">
        <f>D6*D16</f>
        <v>-30485.061438095632</v>
      </c>
      <c r="E25" s="60">
        <f t="shared" ref="E25:F28" si="5">E6*E16</f>
        <v>-29465.44548771398</v>
      </c>
      <c r="F25" s="60">
        <f t="shared" si="5"/>
        <v>-29972.372877866954</v>
      </c>
      <c r="G25" s="60">
        <f t="shared" si="4"/>
        <v>-34644.871393233931</v>
      </c>
      <c r="H25" s="60">
        <f t="shared" si="4"/>
        <v>-9087.4271978137022</v>
      </c>
      <c r="I25" s="60">
        <f t="shared" si="4"/>
        <v>-8126.0038934556396</v>
      </c>
      <c r="J25" s="60">
        <f t="shared" si="4"/>
        <v>-8337.6238518565169</v>
      </c>
      <c r="K25" s="60">
        <f t="shared" si="4"/>
        <v>-9489.8796855133842</v>
      </c>
      <c r="L25" s="60">
        <f t="shared" si="4"/>
        <v>-10687.492828089589</v>
      </c>
      <c r="M25" s="60">
        <f t="shared" si="4"/>
        <v>-10481.238654398861</v>
      </c>
      <c r="N25" s="60">
        <f t="shared" si="4"/>
        <v>-9649.5089148558291</v>
      </c>
      <c r="O25" s="60">
        <f t="shared" si="4"/>
        <v>-9142.8136208445558</v>
      </c>
      <c r="P25" s="60">
        <f t="shared" si="4"/>
        <v>-7979.3376230476488</v>
      </c>
      <c r="Q25" s="60">
        <f t="shared" si="4"/>
        <v>-7737.9875218393454</v>
      </c>
      <c r="R25" s="60">
        <f t="shared" si="4"/>
        <v>-7960.3392572225275</v>
      </c>
      <c r="S25" s="60">
        <f t="shared" si="4"/>
        <v>-9181.2963805541513</v>
      </c>
    </row>
    <row r="26" spans="1:21">
      <c r="B26" s="1" t="s">
        <v>79</v>
      </c>
      <c r="D26" s="60">
        <f>D7*D17</f>
        <v>-68818.008734127157</v>
      </c>
      <c r="E26" s="60">
        <f t="shared" si="5"/>
        <v>-71552.716853439357</v>
      </c>
      <c r="F26" s="60">
        <f t="shared" si="5"/>
        <v>-73286.654105870446</v>
      </c>
      <c r="G26" s="60">
        <f t="shared" si="4"/>
        <v>-79721.227866240195</v>
      </c>
      <c r="H26" s="60">
        <f t="shared" si="4"/>
        <v>-18747.366107083599</v>
      </c>
      <c r="I26" s="60">
        <f t="shared" si="4"/>
        <v>-17604.810986868146</v>
      </c>
      <c r="J26" s="60">
        <f t="shared" si="4"/>
        <v>-19480.225378118525</v>
      </c>
      <c r="K26" s="60">
        <f t="shared" si="4"/>
        <v>-19510.512821092616</v>
      </c>
      <c r="L26" s="60">
        <f t="shared" si="4"/>
        <v>-18815.939538362945</v>
      </c>
      <c r="M26" s="60">
        <f t="shared" si="4"/>
        <v>-18226.247466001128</v>
      </c>
      <c r="N26" s="60">
        <f t="shared" si="4"/>
        <v>-17928.420353460511</v>
      </c>
      <c r="O26" s="60">
        <f t="shared" si="4"/>
        <v>-17514.048626558753</v>
      </c>
      <c r="P26" s="60">
        <f t="shared" si="4"/>
        <v>-17029.193618665693</v>
      </c>
      <c r="Q26" s="60">
        <f t="shared" si="4"/>
        <v>-17758.439011167447</v>
      </c>
      <c r="R26" s="60">
        <f t="shared" si="4"/>
        <v>-18288.844985459669</v>
      </c>
      <c r="S26" s="60">
        <f t="shared" si="4"/>
        <v>-19793.299645159892</v>
      </c>
    </row>
    <row r="27" spans="1:21">
      <c r="B27" s="260" t="s">
        <v>191</v>
      </c>
      <c r="D27" s="60">
        <f>D8*D18</f>
        <v>-52617.964699999997</v>
      </c>
      <c r="E27" s="60">
        <f t="shared" si="5"/>
        <v>-52126.481399999997</v>
      </c>
      <c r="F27" s="60">
        <f t="shared" si="5"/>
        <v>-55814.903559999999</v>
      </c>
      <c r="G27" s="60">
        <f t="shared" si="4"/>
        <v>-54744.316700000003</v>
      </c>
      <c r="H27" s="60">
        <f t="shared" si="4"/>
        <v>-15708.50533150933</v>
      </c>
      <c r="I27" s="60">
        <f t="shared" si="4"/>
        <v>-13782.268521797097</v>
      </c>
      <c r="J27" s="60">
        <f t="shared" si="4"/>
        <v>-14386.117248299641</v>
      </c>
      <c r="K27" s="60">
        <f t="shared" si="4"/>
        <v>-13989.077430082132</v>
      </c>
      <c r="L27" s="60">
        <f t="shared" si="4"/>
        <v>-13926.828055174894</v>
      </c>
      <c r="M27" s="60">
        <f t="shared" si="4"/>
        <v>-14980.10880883378</v>
      </c>
      <c r="N27" s="60">
        <f t="shared" si="4"/>
        <v>-13137.636266912887</v>
      </c>
      <c r="O27" s="60">
        <f t="shared" si="4"/>
        <v>-14119.339620778906</v>
      </c>
      <c r="P27" s="60">
        <f t="shared" si="4"/>
        <v>-14161.795662903387</v>
      </c>
      <c r="Q27" s="60">
        <f t="shared" si="4"/>
        <v>-13830.408016447349</v>
      </c>
      <c r="R27" s="60">
        <f t="shared" si="4"/>
        <v>-14261.623765208227</v>
      </c>
      <c r="S27" s="60">
        <f t="shared" si="4"/>
        <v>-14141.539681416532</v>
      </c>
    </row>
    <row r="28" spans="1:21">
      <c r="B28" s="1" t="s">
        <v>80</v>
      </c>
      <c r="D28" s="60">
        <f>D9*D19</f>
        <v>-3674.3308725049073</v>
      </c>
      <c r="E28" s="60">
        <f t="shared" si="5"/>
        <v>-8236.4864195161263</v>
      </c>
      <c r="F28" s="60">
        <f t="shared" si="5"/>
        <v>-13263.901186811983</v>
      </c>
      <c r="G28" s="60">
        <f t="shared" si="4"/>
        <v>-15549.966033240215</v>
      </c>
      <c r="H28" s="60">
        <f t="shared" si="4"/>
        <v>-5330.5303571946388</v>
      </c>
      <c r="I28" s="60">
        <f t="shared" si="4"/>
        <v>-4295.0221096076293</v>
      </c>
      <c r="J28" s="60">
        <f t="shared" si="4"/>
        <v>-2139.9818451088336</v>
      </c>
      <c r="K28" s="60">
        <f t="shared" si="4"/>
        <v>-311.36863369696334</v>
      </c>
      <c r="L28" s="60">
        <f t="shared" si="4"/>
        <v>-623.70722238443284</v>
      </c>
      <c r="M28" s="60">
        <f t="shared" si="4"/>
        <v>-749.65505734856356</v>
      </c>
      <c r="N28" s="60">
        <f t="shared" si="4"/>
        <v>-825.23399513520542</v>
      </c>
      <c r="O28" s="60">
        <f t="shared" si="4"/>
        <v>-795.5896647507825</v>
      </c>
      <c r="P28" s="60">
        <f t="shared" si="4"/>
        <v>-1187.0705580897927</v>
      </c>
      <c r="Q28" s="60">
        <f t="shared" si="4"/>
        <v>-2590.4086411925891</v>
      </c>
      <c r="R28" s="60">
        <f t="shared" si="4"/>
        <v>-4176.9707676338776</v>
      </c>
      <c r="S28" s="60">
        <f t="shared" si="4"/>
        <v>-4717.7321789048301</v>
      </c>
    </row>
    <row r="29" spans="1:21">
      <c r="B29" s="1" t="s">
        <v>81</v>
      </c>
      <c r="D29" s="60">
        <f>D10*D20</f>
        <v>-924.82905002380494</v>
      </c>
      <c r="E29" s="60">
        <f t="shared" ref="E29:S29" si="6">E10*E20</f>
        <v>-926.77653147099295</v>
      </c>
      <c r="F29" s="60">
        <f t="shared" si="6"/>
        <v>-933.76681134319642</v>
      </c>
      <c r="G29" s="60">
        <f t="shared" si="6"/>
        <v>-936.86127575550449</v>
      </c>
      <c r="H29" s="60">
        <f t="shared" si="6"/>
        <v>-244.36861565038049</v>
      </c>
      <c r="I29" s="60">
        <f t="shared" si="6"/>
        <v>-244.89332776987385</v>
      </c>
      <c r="J29" s="60">
        <f t="shared" si="6"/>
        <v>-239.14753171851771</v>
      </c>
      <c r="K29" s="60">
        <f t="shared" si="6"/>
        <v>-242.06008979757638</v>
      </c>
      <c r="L29" s="60">
        <f t="shared" si="6"/>
        <v>-243.61296883479028</v>
      </c>
      <c r="M29" s="60">
        <f t="shared" si="6"/>
        <v>-243.85386798056467</v>
      </c>
      <c r="N29" s="60">
        <f t="shared" si="6"/>
        <v>-231.46464942364568</v>
      </c>
      <c r="O29" s="60">
        <f t="shared" si="6"/>
        <v>-246.35344110967503</v>
      </c>
      <c r="P29" s="60">
        <f t="shared" si="6"/>
        <v>-235.23859013438351</v>
      </c>
      <c r="Q29" s="60">
        <f t="shared" si="6"/>
        <v>-235.99878399364243</v>
      </c>
      <c r="R29" s="60">
        <f t="shared" si="6"/>
        <v>-238.93461432850106</v>
      </c>
      <c r="S29" s="60">
        <f t="shared" si="6"/>
        <v>-239.15075700166258</v>
      </c>
    </row>
    <row r="30" spans="1:21">
      <c r="B30" s="1" t="s">
        <v>0</v>
      </c>
      <c r="D30" s="60">
        <f t="shared" ref="D30:S30" si="7">SUM(D24:D29)</f>
        <v>-268775.22857597331</v>
      </c>
      <c r="E30" s="60">
        <f t="shared" si="7"/>
        <v>-262470.22566850681</v>
      </c>
      <c r="F30" s="60">
        <f t="shared" si="7"/>
        <v>-272141.50678415759</v>
      </c>
      <c r="G30" s="60">
        <f t="shared" si="7"/>
        <v>-308098.62804726273</v>
      </c>
      <c r="H30" s="60">
        <f t="shared" si="7"/>
        <v>-84906.449864452603</v>
      </c>
      <c r="I30" s="60">
        <f t="shared" si="7"/>
        <v>-71136.672991830943</v>
      </c>
      <c r="J30" s="60">
        <f t="shared" si="7"/>
        <v>-73323.951586345414</v>
      </c>
      <c r="K30" s="60">
        <f t="shared" si="7"/>
        <v>-82640.527338206099</v>
      </c>
      <c r="L30" s="60">
        <f t="shared" si="7"/>
        <v>-93549.417551021441</v>
      </c>
      <c r="M30" s="60">
        <f t="shared" si="7"/>
        <v>-94577.739912549398</v>
      </c>
      <c r="N30" s="60">
        <f t="shared" si="7"/>
        <v>-84000.177786620989</v>
      </c>
      <c r="O30" s="60">
        <f t="shared" si="7"/>
        <v>-79037.00625470138</v>
      </c>
      <c r="P30" s="60">
        <f t="shared" si="7"/>
        <v>-70630.294160086836</v>
      </c>
      <c r="Q30" s="60">
        <f t="shared" si="7"/>
        <v>-69086.926131357977</v>
      </c>
      <c r="R30" s="60">
        <f t="shared" si="7"/>
        <v>-71485.093630714939</v>
      </c>
      <c r="S30" s="60">
        <f t="shared" si="7"/>
        <v>-79917.170178452143</v>
      </c>
      <c r="U30" s="61">
        <f>SUM(H30:S30)-'8-2023 thru 7-2024 RECs'!E25</f>
        <v>0</v>
      </c>
    </row>
    <row r="31" spans="1:21">
      <c r="B31" s="164"/>
      <c r="C31" s="165"/>
      <c r="D31" s="164"/>
    </row>
    <row r="32" spans="1:21" ht="36" customHeight="1">
      <c r="A32" s="1" t="s">
        <v>117</v>
      </c>
      <c r="B32" s="125"/>
      <c r="C32" s="139">
        <f>'CF WA Elec'!E21</f>
        <v>0.95606855188236617</v>
      </c>
      <c r="D32" s="54">
        <f>D4</f>
        <v>45046</v>
      </c>
      <c r="E32" s="54">
        <f t="shared" ref="E32:R32" si="8">E4</f>
        <v>45077</v>
      </c>
      <c r="F32" s="54">
        <f t="shared" si="8"/>
        <v>45107</v>
      </c>
      <c r="G32" s="54">
        <f t="shared" si="8"/>
        <v>45138</v>
      </c>
      <c r="H32" s="54">
        <f t="shared" si="8"/>
        <v>45169</v>
      </c>
      <c r="I32" s="54">
        <f t="shared" si="8"/>
        <v>45199</v>
      </c>
      <c r="J32" s="54">
        <f t="shared" si="8"/>
        <v>45230</v>
      </c>
      <c r="K32" s="54">
        <f t="shared" si="8"/>
        <v>45260</v>
      </c>
      <c r="L32" s="54">
        <f t="shared" si="8"/>
        <v>45291</v>
      </c>
      <c r="M32" s="54">
        <f t="shared" si="8"/>
        <v>45322</v>
      </c>
      <c r="N32" s="54">
        <f t="shared" si="8"/>
        <v>45351</v>
      </c>
      <c r="O32" s="54">
        <f t="shared" si="8"/>
        <v>45382</v>
      </c>
      <c r="P32" s="54">
        <f t="shared" si="8"/>
        <v>45412</v>
      </c>
      <c r="Q32" s="54">
        <f t="shared" si="8"/>
        <v>45443</v>
      </c>
      <c r="R32" s="54">
        <f t="shared" si="8"/>
        <v>45473</v>
      </c>
      <c r="S32" s="54">
        <f>S4</f>
        <v>45504</v>
      </c>
    </row>
    <row r="33" spans="2:21">
      <c r="B33" s="1" t="s">
        <v>77</v>
      </c>
      <c r="D33" s="60">
        <f>D24*$C$32</f>
        <v>-107323.5075887188</v>
      </c>
      <c r="E33" s="60">
        <f>E24*$C$32</f>
        <v>-95762.043256914243</v>
      </c>
      <c r="F33" s="60">
        <f>F24*$C$32</f>
        <v>-94526.409997924755</v>
      </c>
      <c r="G33" s="60">
        <f t="shared" ref="G33:S38" si="9">G24*$C$32</f>
        <v>-117119.72154904502</v>
      </c>
      <c r="H33" s="60">
        <f>H24*$C$32</f>
        <v>-34216.022508030794</v>
      </c>
      <c r="I33" s="60">
        <f t="shared" si="9"/>
        <v>-25893.849126474466</v>
      </c>
      <c r="J33" s="60">
        <f t="shared" si="9"/>
        <v>-27478.228318829853</v>
      </c>
      <c r="K33" s="60">
        <f t="shared" si="9"/>
        <v>-37380.013232232312</v>
      </c>
      <c r="L33" s="60">
        <f t="shared" si="9"/>
        <v>-47088.132419027213</v>
      </c>
      <c r="M33" s="60">
        <f t="shared" si="9"/>
        <v>-47704.604579760613</v>
      </c>
      <c r="N33" s="60">
        <f t="shared" si="9"/>
        <v>-40372.780211098398</v>
      </c>
      <c r="O33" s="60">
        <f t="shared" si="9"/>
        <v>-35583.782807310046</v>
      </c>
      <c r="P33" s="60">
        <f t="shared" si="9"/>
        <v>-28718.060288532241</v>
      </c>
      <c r="Q33" s="60">
        <f t="shared" si="9"/>
        <v>-25750.448408570039</v>
      </c>
      <c r="R33" s="60">
        <f t="shared" si="9"/>
        <v>-25391.632137222303</v>
      </c>
      <c r="S33" s="60">
        <f t="shared" si="9"/>
        <v>-30445.191844386922</v>
      </c>
    </row>
    <row r="34" spans="2:21">
      <c r="B34" s="1" t="s">
        <v>78</v>
      </c>
      <c r="D34" s="60">
        <f t="shared" ref="D34" si="10">D25*$C$32</f>
        <v>-29145.808543165054</v>
      </c>
      <c r="E34" s="60">
        <f t="shared" ref="E34:F38" si="11">E25*$C$32</f>
        <v>-28170.985798007507</v>
      </c>
      <c r="F34" s="60">
        <f t="shared" si="11"/>
        <v>-28655.643133820566</v>
      </c>
      <c r="G34" s="60">
        <f t="shared" si="9"/>
        <v>-33122.872023079981</v>
      </c>
      <c r="H34" s="60">
        <f t="shared" si="9"/>
        <v>-8688.2033613501753</v>
      </c>
      <c r="I34" s="60">
        <f t="shared" si="9"/>
        <v>-7769.016775006603</v>
      </c>
      <c r="J34" s="60">
        <f t="shared" si="9"/>
        <v>-7971.3399621843364</v>
      </c>
      <c r="K34" s="60">
        <f t="shared" si="9"/>
        <v>-9072.9755284666662</v>
      </c>
      <c r="L34" s="60">
        <f t="shared" si="9"/>
        <v>-10217.975791404788</v>
      </c>
      <c r="M34" s="60">
        <f t="shared" si="9"/>
        <v>-10020.782662244599</v>
      </c>
      <c r="N34" s="60">
        <f t="shared" si="9"/>
        <v>-9225.5920146021945</v>
      </c>
      <c r="O34" s="60">
        <f t="shared" si="9"/>
        <v>-8741.1565786112278</v>
      </c>
      <c r="P34" s="60">
        <f t="shared" si="9"/>
        <v>-7628.793766247647</v>
      </c>
      <c r="Q34" s="60">
        <f t="shared" si="9"/>
        <v>-7398.0465244887619</v>
      </c>
      <c r="R34" s="60">
        <f t="shared" si="9"/>
        <v>-7610.6300261450924</v>
      </c>
      <c r="S34" s="60">
        <f t="shared" si="9"/>
        <v>-8777.9487349592164</v>
      </c>
    </row>
    <row r="35" spans="2:21">
      <c r="B35" s="1" t="s">
        <v>79</v>
      </c>
      <c r="D35" s="60">
        <f t="shared" ref="D35" si="12">D26*$C$32</f>
        <v>-65794.733953864983</v>
      </c>
      <c r="E35" s="60">
        <f t="shared" si="11"/>
        <v>-68409.30238531674</v>
      </c>
      <c r="F35" s="60">
        <f t="shared" si="11"/>
        <v>-70067.065263303419</v>
      </c>
      <c r="G35" s="60">
        <f t="shared" si="9"/>
        <v>-76218.958880360398</v>
      </c>
      <c r="H35" s="60">
        <f t="shared" si="9"/>
        <v>-17923.767165607969</v>
      </c>
      <c r="I35" s="60">
        <f t="shared" si="9"/>
        <v>-16831.406146377798</v>
      </c>
      <c r="J35" s="60">
        <f t="shared" si="9"/>
        <v>-18624.430867599898</v>
      </c>
      <c r="K35" s="60">
        <f t="shared" si="9"/>
        <v>-18653.387739344354</v>
      </c>
      <c r="L35" s="60">
        <f t="shared" si="9"/>
        <v>-17989.328066748818</v>
      </c>
      <c r="M35" s="60">
        <f t="shared" si="9"/>
        <v>-17425.542021069345</v>
      </c>
      <c r="N35" s="60">
        <f t="shared" si="9"/>
        <v>-17140.798884871332</v>
      </c>
      <c r="O35" s="60">
        <f t="shared" si="9"/>
        <v>-16744.631107991372</v>
      </c>
      <c r="P35" s="60">
        <f t="shared" si="9"/>
        <v>-16281.076482722139</v>
      </c>
      <c r="Q35" s="60">
        <f t="shared" si="9"/>
        <v>-16978.28506909818</v>
      </c>
      <c r="R35" s="60">
        <f t="shared" si="9"/>
        <v>-17485.389540849501</v>
      </c>
      <c r="S35" s="60">
        <f t="shared" si="9"/>
        <v>-18923.75132872177</v>
      </c>
    </row>
    <row r="36" spans="2:21">
      <c r="B36" s="260" t="s">
        <v>191</v>
      </c>
      <c r="D36" s="60">
        <f t="shared" ref="D36" si="13">D27*$C$32</f>
        <v>-50306.381313726459</v>
      </c>
      <c r="E36" s="60">
        <f t="shared" si="11"/>
        <v>-49836.489586821095</v>
      </c>
      <c r="F36" s="60">
        <f t="shared" si="11"/>
        <v>-53362.874020063122</v>
      </c>
      <c r="G36" s="60">
        <f t="shared" si="9"/>
        <v>-52339.319591158637</v>
      </c>
      <c r="H36" s="60">
        <f t="shared" si="9"/>
        <v>-15018.407944532553</v>
      </c>
      <c r="I36" s="60">
        <f t="shared" si="9"/>
        <v>-13176.79350728847</v>
      </c>
      <c r="J36" s="60">
        <f t="shared" si="9"/>
        <v>-13754.114284791767</v>
      </c>
      <c r="K36" s="60">
        <f t="shared" si="9"/>
        <v>-13374.517000748916</v>
      </c>
      <c r="L36" s="60">
        <f t="shared" si="9"/>
        <v>-13315.002331025771</v>
      </c>
      <c r="M36" s="60">
        <f t="shared" si="9"/>
        <v>-14322.01093590199</v>
      </c>
      <c r="N36" s="60">
        <f t="shared" si="9"/>
        <v>-12560.480880864659</v>
      </c>
      <c r="O36" s="60">
        <f t="shared" si="9"/>
        <v>-13499.056584773407</v>
      </c>
      <c r="P36" s="60">
        <f t="shared" si="9"/>
        <v>-13539.647471486014</v>
      </c>
      <c r="Q36" s="60">
        <f t="shared" si="9"/>
        <v>-13222.818164227085</v>
      </c>
      <c r="R36" s="60">
        <f t="shared" si="9"/>
        <v>-13635.089980693769</v>
      </c>
      <c r="S36" s="60">
        <f t="shared" si="9"/>
        <v>-13520.281364598923</v>
      </c>
    </row>
    <row r="37" spans="2:21">
      <c r="B37" s="1" t="s">
        <v>80</v>
      </c>
      <c r="D37" s="60">
        <f t="shared" ref="D37" si="14">D28*$C$32</f>
        <v>-3512.9121964124379</v>
      </c>
      <c r="E37" s="60">
        <f t="shared" si="11"/>
        <v>-7874.6456437055576</v>
      </c>
      <c r="F37" s="60">
        <f t="shared" si="11"/>
        <v>-12681.19879998613</v>
      </c>
      <c r="G37" s="60">
        <f t="shared" si="9"/>
        <v>-14866.833507219953</v>
      </c>
      <c r="H37" s="60">
        <f t="shared" si="9"/>
        <v>-5096.35243936807</v>
      </c>
      <c r="I37" s="60">
        <f t="shared" si="9"/>
        <v>-4106.3355686353116</v>
      </c>
      <c r="J37" s="60">
        <f t="shared" si="9"/>
        <v>-2045.9693437077565</v>
      </c>
      <c r="K37" s="60">
        <f t="shared" si="9"/>
        <v>-297.68975872024669</v>
      </c>
      <c r="L37" s="60">
        <f t="shared" si="9"/>
        <v>-596.30686090365759</v>
      </c>
      <c r="M37" s="60">
        <f t="shared" si="9"/>
        <v>-716.72162509053328</v>
      </c>
      <c r="N37" s="60">
        <f t="shared" si="9"/>
        <v>-788.98027069301543</v>
      </c>
      <c r="O37" s="60">
        <f t="shared" si="9"/>
        <v>-760.63825867085779</v>
      </c>
      <c r="P37" s="60">
        <f t="shared" si="9"/>
        <v>-1134.9208294551004</v>
      </c>
      <c r="Q37" s="60">
        <f t="shared" si="9"/>
        <v>-2476.6082383685666</v>
      </c>
      <c r="R37" s="60">
        <f t="shared" si="9"/>
        <v>-3993.4703930666969</v>
      </c>
      <c r="S37" s="60">
        <f t="shared" si="9"/>
        <v>-4510.4753724543807</v>
      </c>
    </row>
    <row r="38" spans="2:21">
      <c r="B38" s="97" t="s">
        <v>81</v>
      </c>
      <c r="D38" s="62">
        <f t="shared" ref="D38" si="15">D29*$C$32</f>
        <v>-884.19997059500361</v>
      </c>
      <c r="E38" s="62">
        <f t="shared" si="11"/>
        <v>-886.06189636203442</v>
      </c>
      <c r="F38" s="62">
        <f t="shared" si="11"/>
        <v>-892.74508311670445</v>
      </c>
      <c r="G38" s="62">
        <f t="shared" si="9"/>
        <v>-895.70360322623128</v>
      </c>
      <c r="H38" s="62">
        <f t="shared" si="9"/>
        <v>-233.6331484903578</v>
      </c>
      <c r="I38" s="62">
        <f t="shared" si="9"/>
        <v>-234.13480924659694</v>
      </c>
      <c r="J38" s="62">
        <f t="shared" si="9"/>
        <v>-228.64143433636545</v>
      </c>
      <c r="K38" s="62">
        <f t="shared" si="9"/>
        <v>-231.42603952128437</v>
      </c>
      <c r="L38" s="62">
        <f t="shared" si="9"/>
        <v>-232.91069833364193</v>
      </c>
      <c r="M38" s="62">
        <f t="shared" si="9"/>
        <v>-233.14101443109217</v>
      </c>
      <c r="N38" s="62">
        <f t="shared" si="9"/>
        <v>-221.29607218642448</v>
      </c>
      <c r="O38" s="62">
        <f t="shared" si="9"/>
        <v>-235.53077769296479</v>
      </c>
      <c r="P38" s="62">
        <f t="shared" si="9"/>
        <v>-224.90421821662952</v>
      </c>
      <c r="Q38" s="62">
        <f t="shared" si="9"/>
        <v>-225.63101565880106</v>
      </c>
      <c r="R38" s="62">
        <f t="shared" si="9"/>
        <v>-228.43787071562167</v>
      </c>
      <c r="S38" s="62">
        <f t="shared" si="9"/>
        <v>-228.64451792815117</v>
      </c>
    </row>
    <row r="39" spans="2:21">
      <c r="B39" s="1" t="s">
        <v>0</v>
      </c>
      <c r="C39" s="35"/>
      <c r="D39" s="61">
        <f>SUM(D33:D38)</f>
        <v>-256967.54356648275</v>
      </c>
      <c r="E39" s="61">
        <f>SUM(E33:E38)</f>
        <v>-250939.52856712716</v>
      </c>
      <c r="F39" s="61">
        <f>SUM(F33:F38)</f>
        <v>-260185.93629821466</v>
      </c>
      <c r="G39" s="61">
        <f t="shared" ref="G39:S39" si="16">SUM(G33:G38)</f>
        <v>-294563.40915409027</v>
      </c>
      <c r="H39" s="61">
        <f t="shared" si="16"/>
        <v>-81176.38656737993</v>
      </c>
      <c r="I39" s="61">
        <f t="shared" si="16"/>
        <v>-68011.535933029241</v>
      </c>
      <c r="J39" s="61">
        <f t="shared" si="16"/>
        <v>-70102.724211449982</v>
      </c>
      <c r="K39" s="61">
        <f t="shared" si="16"/>
        <v>-79010.009299033787</v>
      </c>
      <c r="L39" s="61">
        <f t="shared" si="16"/>
        <v>-89439.656167443885</v>
      </c>
      <c r="M39" s="61">
        <f t="shared" si="16"/>
        <v>-90422.802838498174</v>
      </c>
      <c r="N39" s="61">
        <f t="shared" si="16"/>
        <v>-80309.928334316035</v>
      </c>
      <c r="O39" s="61">
        <f t="shared" si="16"/>
        <v>-75564.796115049889</v>
      </c>
      <c r="P39" s="61">
        <f t="shared" si="16"/>
        <v>-67527.403056659779</v>
      </c>
      <c r="Q39" s="61">
        <f t="shared" si="16"/>
        <v>-66051.837420411437</v>
      </c>
      <c r="R39" s="61">
        <f t="shared" si="16"/>
        <v>-68344.649948692997</v>
      </c>
      <c r="S39" s="61">
        <f t="shared" si="16"/>
        <v>-76406.293163049369</v>
      </c>
      <c r="U39" s="61">
        <f>SUM(H39:S39)-'8-2023 thru 7-2024 RECs'!E21</f>
        <v>0</v>
      </c>
    </row>
    <row r="40" spans="2:21">
      <c r="C40" s="95"/>
    </row>
    <row r="41" spans="2:21">
      <c r="C41" s="95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3" spans="2:21"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</sheetData>
  <mergeCells count="2">
    <mergeCell ref="D14:G14"/>
    <mergeCell ref="H14:S14"/>
  </mergeCells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U106"/>
  <sheetViews>
    <sheetView workbookViewId="0">
      <selection activeCell="C11" sqref="C11"/>
    </sheetView>
  </sheetViews>
  <sheetFormatPr defaultColWidth="9.140625" defaultRowHeight="15"/>
  <cols>
    <col min="1" max="1" width="16.5703125" style="78" customWidth="1"/>
    <col min="2" max="2" width="19" style="78" bestFit="1" customWidth="1"/>
    <col min="3" max="4" width="15.140625" style="78" bestFit="1" customWidth="1"/>
    <col min="5" max="5" width="15" style="78" customWidth="1"/>
    <col min="6" max="9" width="12.5703125" style="78" bestFit="1" customWidth="1"/>
    <col min="10" max="12" width="14.28515625" style="78" customWidth="1"/>
    <col min="13" max="17" width="12.5703125" style="78" bestFit="1" customWidth="1"/>
    <col min="18" max="18" width="15.5703125" style="78" customWidth="1"/>
    <col min="19" max="19" width="9.28515625" style="78" bestFit="1" customWidth="1"/>
    <col min="20" max="20" width="14.5703125" style="78" customWidth="1"/>
    <col min="21" max="16384" width="9.140625" style="78"/>
  </cols>
  <sheetData>
    <row r="1" spans="1:20">
      <c r="A1" s="255" t="s">
        <v>184</v>
      </c>
      <c r="B1" s="256"/>
    </row>
    <row r="3" spans="1:20">
      <c r="A3" s="2" t="s">
        <v>50</v>
      </c>
    </row>
    <row r="4" spans="1:20">
      <c r="A4" s="78" t="s">
        <v>101</v>
      </c>
    </row>
    <row r="6" spans="1:20">
      <c r="B6" s="79">
        <v>45046</v>
      </c>
      <c r="C6" s="79">
        <f>EOMONTH(B6,1)</f>
        <v>45077</v>
      </c>
      <c r="D6" s="79">
        <f t="shared" ref="D6:Q6" si="0">EOMONTH(C6,1)</f>
        <v>45107</v>
      </c>
      <c r="E6" s="79">
        <f t="shared" si="0"/>
        <v>45138</v>
      </c>
      <c r="F6" s="79">
        <f t="shared" si="0"/>
        <v>45169</v>
      </c>
      <c r="G6" s="79">
        <f t="shared" si="0"/>
        <v>45199</v>
      </c>
      <c r="H6" s="79">
        <f t="shared" si="0"/>
        <v>45230</v>
      </c>
      <c r="I6" s="79">
        <f t="shared" si="0"/>
        <v>45260</v>
      </c>
      <c r="J6" s="79">
        <f t="shared" si="0"/>
        <v>45291</v>
      </c>
      <c r="K6" s="79">
        <f t="shared" si="0"/>
        <v>45322</v>
      </c>
      <c r="L6" s="79">
        <f t="shared" si="0"/>
        <v>45351</v>
      </c>
      <c r="M6" s="79">
        <f t="shared" si="0"/>
        <v>45382</v>
      </c>
      <c r="N6" s="79">
        <f t="shared" si="0"/>
        <v>45412</v>
      </c>
      <c r="O6" s="79">
        <f t="shared" si="0"/>
        <v>45443</v>
      </c>
      <c r="P6" s="79">
        <f t="shared" si="0"/>
        <v>45473</v>
      </c>
      <c r="Q6" s="79">
        <f t="shared" si="0"/>
        <v>45504</v>
      </c>
      <c r="R6" s="80" t="s">
        <v>0</v>
      </c>
    </row>
    <row r="7" spans="1:20">
      <c r="A7" s="81" t="s">
        <v>40</v>
      </c>
      <c r="B7" s="121">
        <v>180715613.01082048</v>
      </c>
      <c r="C7" s="121">
        <v>161321283.90873438</v>
      </c>
      <c r="D7" s="121">
        <v>159319735.32611519</v>
      </c>
      <c r="E7" s="121">
        <v>197442822.07256678</v>
      </c>
      <c r="F7" s="121">
        <v>215964347.43382889</v>
      </c>
      <c r="G7" s="121">
        <v>163391526.49107701</v>
      </c>
      <c r="H7" s="121">
        <v>173248744.32296532</v>
      </c>
      <c r="I7" s="121">
        <v>235502311.9539113</v>
      </c>
      <c r="J7" s="121">
        <v>296641772.79846901</v>
      </c>
      <c r="K7" s="121">
        <v>300497880.48562527</v>
      </c>
      <c r="L7" s="121">
        <v>254319298.08319306</v>
      </c>
      <c r="M7" s="121">
        <v>224138226.68638775</v>
      </c>
      <c r="N7" s="121">
        <v>180941546.84277141</v>
      </c>
      <c r="O7" s="121">
        <v>162327132.18002027</v>
      </c>
      <c r="P7" s="121">
        <v>160154659.35601419</v>
      </c>
      <c r="Q7" s="121">
        <v>192076001.7725718</v>
      </c>
      <c r="R7" s="119">
        <f t="shared" ref="R7:R15" si="1">SUM(F7:Q7)</f>
        <v>2559203448.4068356</v>
      </c>
      <c r="T7" s="117"/>
    </row>
    <row r="8" spans="1:20">
      <c r="A8" s="81" t="s">
        <v>151</v>
      </c>
      <c r="B8" s="121">
        <v>868071.5269048122</v>
      </c>
      <c r="C8" s="121">
        <v>701231.42023094965</v>
      </c>
      <c r="D8" s="121">
        <v>612177.06836078654</v>
      </c>
      <c r="E8" s="121">
        <v>715354.53499203478</v>
      </c>
      <c r="F8" s="121">
        <v>767603.80241069314</v>
      </c>
      <c r="G8" s="121">
        <v>625914.31112080265</v>
      </c>
      <c r="H8" s="121">
        <v>804509.19757766975</v>
      </c>
      <c r="I8" s="121">
        <v>1271065.2893578052</v>
      </c>
      <c r="J8" s="121">
        <v>1625006.0724788732</v>
      </c>
      <c r="K8" s="121">
        <v>1673771.1462407915</v>
      </c>
      <c r="L8" s="121">
        <v>1410935.6086242364</v>
      </c>
      <c r="M8" s="121">
        <v>1257424.6750396215</v>
      </c>
      <c r="N8" s="121">
        <v>965080.10642182571</v>
      </c>
      <c r="O8" s="121">
        <v>781976.35203102161</v>
      </c>
      <c r="P8" s="121">
        <v>681626.53552548971</v>
      </c>
      <c r="Q8" s="121">
        <v>770663.34307433187</v>
      </c>
      <c r="R8" s="119">
        <f t="shared" si="1"/>
        <v>12635576.439903162</v>
      </c>
      <c r="T8" s="117"/>
    </row>
    <row r="9" spans="1:20">
      <c r="A9" s="81" t="s">
        <v>41</v>
      </c>
      <c r="B9" s="121">
        <v>45729902.624365315</v>
      </c>
      <c r="C9" s="121">
        <v>44683753.748157345</v>
      </c>
      <c r="D9" s="121">
        <v>45758736.455357552</v>
      </c>
      <c r="E9" s="121">
        <v>53109995.09978269</v>
      </c>
      <c r="F9" s="121">
        <v>52690979.026777737</v>
      </c>
      <c r="G9" s="121">
        <v>47040434.802319512</v>
      </c>
      <c r="H9" s="121">
        <v>47650785.261439428</v>
      </c>
      <c r="I9" s="121">
        <v>53241542.30516015</v>
      </c>
      <c r="J9" s="121">
        <v>58775783.453839511</v>
      </c>
      <c r="K9" s="121">
        <v>57488164.673747778</v>
      </c>
      <c r="L9" s="121">
        <v>53470920.199419357</v>
      </c>
      <c r="M9" s="121">
        <v>50995486.676600583</v>
      </c>
      <c r="N9" s="121">
        <v>45299434.44646962</v>
      </c>
      <c r="O9" s="121">
        <v>44417998.907250829</v>
      </c>
      <c r="P9" s="121">
        <v>45959655.885884635</v>
      </c>
      <c r="Q9" s="121">
        <v>53264593.980985068</v>
      </c>
      <c r="R9" s="119">
        <f t="shared" si="1"/>
        <v>610295779.61989415</v>
      </c>
      <c r="T9" s="117"/>
    </row>
    <row r="10" spans="1:20">
      <c r="A10" s="81" t="s">
        <v>42</v>
      </c>
      <c r="B10" s="121">
        <v>5064376.913087599</v>
      </c>
      <c r="C10" s="121">
        <v>4410366.5172429327</v>
      </c>
      <c r="D10" s="121">
        <v>4180242.2051773993</v>
      </c>
      <c r="E10" s="121">
        <v>4616435.6570833009</v>
      </c>
      <c r="F10" s="121">
        <v>4633169.9473407511</v>
      </c>
      <c r="G10" s="121">
        <v>4217380.8432672685</v>
      </c>
      <c r="H10" s="121">
        <v>4942219.585167747</v>
      </c>
      <c r="I10" s="121">
        <v>6622348.8039218001</v>
      </c>
      <c r="J10" s="121">
        <v>8644665.0554123595</v>
      </c>
      <c r="K10" s="121">
        <v>8630798.789235767</v>
      </c>
      <c r="L10" s="121">
        <v>7399988.7550973222</v>
      </c>
      <c r="M10" s="121">
        <v>6678278.2387968879</v>
      </c>
      <c r="N10" s="121">
        <v>5033094.9987900192</v>
      </c>
      <c r="O10" s="121">
        <v>4391677.7782937083</v>
      </c>
      <c r="P10" s="121">
        <v>4253014.1265764944</v>
      </c>
      <c r="Q10" s="121">
        <v>4652019.0315518631</v>
      </c>
      <c r="R10" s="119">
        <f t="shared" si="1"/>
        <v>70098655.953451991</v>
      </c>
      <c r="T10" s="117"/>
    </row>
    <row r="11" spans="1:20">
      <c r="A11" s="81" t="s">
        <v>154</v>
      </c>
      <c r="B11" s="121">
        <v>14156.192706481061</v>
      </c>
      <c r="C11" s="121">
        <v>14955.547456357652</v>
      </c>
      <c r="D11" s="121">
        <v>14976.135909979357</v>
      </c>
      <c r="E11" s="121">
        <v>15021.565190560295</v>
      </c>
      <c r="F11" s="121">
        <v>15171.152519330233</v>
      </c>
      <c r="G11" s="121">
        <v>15171.576721452222</v>
      </c>
      <c r="H11" s="121">
        <v>15249.693479725467</v>
      </c>
      <c r="I11" s="121">
        <v>14800.340775449076</v>
      </c>
      <c r="J11" s="121">
        <v>14872.76280284112</v>
      </c>
      <c r="K11" s="121">
        <v>14947.207888777773</v>
      </c>
      <c r="L11" s="121">
        <v>15001.731720092279</v>
      </c>
      <c r="M11" s="121">
        <v>15029.245167094754</v>
      </c>
      <c r="N11" s="121">
        <v>15031.465767987291</v>
      </c>
      <c r="O11" s="121">
        <v>15027.380026457709</v>
      </c>
      <c r="P11" s="121">
        <v>15016.113743829746</v>
      </c>
      <c r="Q11" s="121">
        <v>14997.429282225816</v>
      </c>
      <c r="R11" s="119">
        <f t="shared" si="1"/>
        <v>180316.0998952635</v>
      </c>
      <c r="T11" s="117"/>
    </row>
    <row r="12" spans="1:20">
      <c r="A12" s="81" t="s">
        <v>43</v>
      </c>
      <c r="B12" s="121">
        <v>102004250.1949463</v>
      </c>
      <c r="C12" s="121">
        <v>106325839.4657533</v>
      </c>
      <c r="D12" s="121">
        <v>108987481.8309983</v>
      </c>
      <c r="E12" s="121">
        <v>118334568.4293232</v>
      </c>
      <c r="F12" s="121">
        <v>109520059.87731317</v>
      </c>
      <c r="G12" s="121">
        <v>102966272.41617309</v>
      </c>
      <c r="H12" s="121">
        <v>113962274.07070746</v>
      </c>
      <c r="I12" s="121">
        <v>113806679.99331298</v>
      </c>
      <c r="J12" s="121">
        <v>108773700.17452888</v>
      </c>
      <c r="K12" s="121">
        <v>105340641.69095209</v>
      </c>
      <c r="L12" s="121">
        <v>104161136.78194897</v>
      </c>
      <c r="M12" s="121">
        <v>101878153.70752978</v>
      </c>
      <c r="N12" s="121">
        <v>99491399.95267044</v>
      </c>
      <c r="O12" s="121">
        <v>104009059.30394998</v>
      </c>
      <c r="P12" s="121">
        <v>107197902.98717341</v>
      </c>
      <c r="Q12" s="121">
        <v>115763892.11629774</v>
      </c>
      <c r="R12" s="119">
        <f t="shared" si="1"/>
        <v>1286871173.0725577</v>
      </c>
      <c r="T12" s="117"/>
    </row>
    <row r="13" spans="1:20">
      <c r="A13" s="81" t="s">
        <v>44</v>
      </c>
      <c r="B13" s="121">
        <v>2233774.4975537243</v>
      </c>
      <c r="C13" s="121">
        <v>2053519.2929798481</v>
      </c>
      <c r="D13" s="121">
        <v>2020973.5793590075</v>
      </c>
      <c r="E13" s="121">
        <v>2423417.6667202874</v>
      </c>
      <c r="F13" s="121">
        <v>2400047.260242857</v>
      </c>
      <c r="G13" s="121">
        <v>2130880.7665769961</v>
      </c>
      <c r="H13" s="121">
        <v>2334350.9443000741</v>
      </c>
      <c r="I13" s="121">
        <v>2669540.0301297675</v>
      </c>
      <c r="J13" s="121">
        <v>3555637.569247325</v>
      </c>
      <c r="K13" s="121">
        <v>3467317.4700519154</v>
      </c>
      <c r="L13" s="121">
        <v>2868366.5394542208</v>
      </c>
      <c r="M13" s="121">
        <v>2676781.7231439715</v>
      </c>
      <c r="N13" s="121">
        <v>2168200.2358674454</v>
      </c>
      <c r="O13" s="121">
        <v>2005371.4001196711</v>
      </c>
      <c r="P13" s="121">
        <v>1983874.9958394058</v>
      </c>
      <c r="Q13" s="121">
        <v>2401874.3594639832</v>
      </c>
      <c r="R13" s="119">
        <f t="shared" si="1"/>
        <v>30662243.294437632</v>
      </c>
      <c r="T13" s="117"/>
    </row>
    <row r="14" spans="1:20">
      <c r="A14" s="81" t="s">
        <v>153</v>
      </c>
      <c r="B14" s="121">
        <v>31685.510722929688</v>
      </c>
      <c r="C14" s="121">
        <v>33848.594962835617</v>
      </c>
      <c r="D14" s="121">
        <v>31929.598537300139</v>
      </c>
      <c r="E14" s="121">
        <v>31753.095229550323</v>
      </c>
      <c r="F14" s="121">
        <v>32007.772351903888</v>
      </c>
      <c r="G14" s="121">
        <v>32058.638871043197</v>
      </c>
      <c r="H14" s="121">
        <v>31845.744306512996</v>
      </c>
      <c r="I14" s="121">
        <v>33115.785222522187</v>
      </c>
      <c r="J14" s="121">
        <v>32271.524672647713</v>
      </c>
      <c r="K14" s="121">
        <v>32234.124558181371</v>
      </c>
      <c r="L14" s="121">
        <v>32180.122510648922</v>
      </c>
      <c r="M14" s="121">
        <v>32278.217293927126</v>
      </c>
      <c r="N14" s="121">
        <v>32244.411413059857</v>
      </c>
      <c r="O14" s="121">
        <v>32189.04202992783</v>
      </c>
      <c r="P14" s="121">
        <v>32223.796578307669</v>
      </c>
      <c r="Q14" s="121">
        <v>32264.312355892445</v>
      </c>
      <c r="R14" s="119">
        <f t="shared" si="1"/>
        <v>386913.4921645752</v>
      </c>
      <c r="T14" s="117"/>
    </row>
    <row r="15" spans="1:20">
      <c r="A15" s="82" t="s">
        <v>45</v>
      </c>
      <c r="B15" s="121">
        <v>47749334</v>
      </c>
      <c r="C15" s="121">
        <v>49004982</v>
      </c>
      <c r="D15" s="121">
        <v>54326500</v>
      </c>
      <c r="E15" s="121">
        <v>51917113</v>
      </c>
      <c r="F15" s="121">
        <v>58885543</v>
      </c>
      <c r="G15" s="121">
        <v>49947496</v>
      </c>
      <c r="H15" s="121">
        <v>50764195</v>
      </c>
      <c r="I15" s="121">
        <v>49541955</v>
      </c>
      <c r="J15" s="121">
        <v>49979591</v>
      </c>
      <c r="K15" s="121">
        <v>55440542</v>
      </c>
      <c r="L15" s="121">
        <v>48854215</v>
      </c>
      <c r="M15" s="121">
        <v>52560911</v>
      </c>
      <c r="N15" s="121">
        <v>49147173</v>
      </c>
      <c r="O15" s="121">
        <v>49713670</v>
      </c>
      <c r="P15" s="121">
        <v>52029033</v>
      </c>
      <c r="Q15" s="121">
        <v>51512338</v>
      </c>
      <c r="R15" s="119">
        <f t="shared" si="1"/>
        <v>618376662</v>
      </c>
      <c r="T15" s="117"/>
    </row>
    <row r="16" spans="1:20">
      <c r="A16" s="81" t="s">
        <v>46</v>
      </c>
      <c r="B16" s="118">
        <v>5669280.3190070223</v>
      </c>
      <c r="C16" s="118">
        <v>12685652.335243315</v>
      </c>
      <c r="D16" s="118">
        <v>20513636.605746172</v>
      </c>
      <c r="E16" s="118">
        <v>23243125.848242655</v>
      </c>
      <c r="F16" s="118">
        <v>26681374.849876352</v>
      </c>
      <c r="G16" s="118">
        <v>21732769.521663133</v>
      </c>
      <c r="H16" s="118">
        <v>10999451.058034116</v>
      </c>
      <c r="I16" s="118">
        <v>1476234.9872278925</v>
      </c>
      <c r="J16" s="118">
        <v>3064442.5273882858</v>
      </c>
      <c r="K16" s="118">
        <v>3662899.8908313029</v>
      </c>
      <c r="L16" s="118">
        <v>4056846.0333502125</v>
      </c>
      <c r="M16" s="118">
        <v>3908471.7938298704</v>
      </c>
      <c r="N16" s="118">
        <v>5916364.9560479326</v>
      </c>
      <c r="O16" s="118">
        <v>13081620.328505801</v>
      </c>
      <c r="P16" s="118">
        <v>21216531.300471239</v>
      </c>
      <c r="Q16" s="118">
        <v>23397790.192905441</v>
      </c>
      <c r="R16" s="119">
        <f t="shared" ref="R16:R29" si="2">SUM(F16:Q16)</f>
        <v>139194797.4401316</v>
      </c>
      <c r="T16" s="117"/>
    </row>
    <row r="17" spans="1:20">
      <c r="A17" s="81" t="s">
        <v>47</v>
      </c>
      <c r="B17" s="118">
        <v>354212.91460757988</v>
      </c>
      <c r="C17" s="118">
        <v>816784.41806181031</v>
      </c>
      <c r="D17" s="118">
        <v>1230463.7005029814</v>
      </c>
      <c r="E17" s="118">
        <v>2248621.7472331091</v>
      </c>
      <c r="F17" s="118">
        <v>1732964.9063617077</v>
      </c>
      <c r="G17" s="118">
        <v>1161803.6830888728</v>
      </c>
      <c r="H17" s="118">
        <v>407701.16595299018</v>
      </c>
      <c r="I17" s="118">
        <v>183512.45898257082</v>
      </c>
      <c r="J17" s="118">
        <v>260222.70059058437</v>
      </c>
      <c r="K17" s="118">
        <v>333129.03539631527</v>
      </c>
      <c r="L17" s="118">
        <v>342055.67903210729</v>
      </c>
      <c r="M17" s="118">
        <v>332411.10636197421</v>
      </c>
      <c r="N17" s="118">
        <v>411303.00417017506</v>
      </c>
      <c r="O17" s="118">
        <v>726527.51160481083</v>
      </c>
      <c r="P17" s="118">
        <v>1048770.3844225882</v>
      </c>
      <c r="Q17" s="118">
        <v>1750034.8878409066</v>
      </c>
      <c r="R17" s="119">
        <f t="shared" si="2"/>
        <v>8690436.5238056034</v>
      </c>
      <c r="T17" s="117"/>
    </row>
    <row r="18" spans="1:20">
      <c r="A18" s="83" t="s">
        <v>48</v>
      </c>
      <c r="B18" s="118">
        <v>1302576.1267940914</v>
      </c>
      <c r="C18" s="118">
        <v>1305319.0584098492</v>
      </c>
      <c r="D18" s="118">
        <v>1315164.5230185864</v>
      </c>
      <c r="E18" s="118">
        <v>1319522.9235993021</v>
      </c>
      <c r="F18" s="118">
        <v>1343017.048684244</v>
      </c>
      <c r="G18" s="118">
        <v>1345900.7959291809</v>
      </c>
      <c r="H18" s="118">
        <v>1314322.6735311958</v>
      </c>
      <c r="I18" s="118">
        <v>1330329.7010500454</v>
      </c>
      <c r="J18" s="118">
        <v>1338864.1154058825</v>
      </c>
      <c r="K18" s="118">
        <v>1340188.064714706</v>
      </c>
      <c r="L18" s="118">
        <v>1272098.5856400984</v>
      </c>
      <c r="M18" s="118">
        <v>1353925.3824872593</v>
      </c>
      <c r="N18" s="118">
        <v>1292839.6562630786</v>
      </c>
      <c r="O18" s="118">
        <v>1297017.5794819526</v>
      </c>
      <c r="P18" s="118">
        <v>1313152.508189003</v>
      </c>
      <c r="Q18" s="118">
        <v>1314340.3992536208</v>
      </c>
      <c r="R18" s="119">
        <f>SUM(F18:Q18)</f>
        <v>15855996.510630269</v>
      </c>
      <c r="T18" s="117"/>
    </row>
    <row r="19" spans="1:20">
      <c r="A19" s="83" t="s">
        <v>152</v>
      </c>
      <c r="B19" s="118">
        <v>37118351</v>
      </c>
      <c r="C19" s="118">
        <v>35069988</v>
      </c>
      <c r="D19" s="118">
        <v>35697538</v>
      </c>
      <c r="E19" s="118">
        <v>36380172</v>
      </c>
      <c r="F19" s="118">
        <v>36557518</v>
      </c>
      <c r="G19" s="118">
        <v>33791973</v>
      </c>
      <c r="H19" s="118">
        <v>36644189</v>
      </c>
      <c r="I19" s="118">
        <v>35454061</v>
      </c>
      <c r="J19" s="118">
        <v>34638205</v>
      </c>
      <c r="K19" s="118">
        <v>35576866</v>
      </c>
      <c r="L19" s="118">
        <v>30968543</v>
      </c>
      <c r="M19" s="118">
        <v>33226563</v>
      </c>
      <c r="N19" s="118">
        <v>36898259</v>
      </c>
      <c r="O19" s="118">
        <v>34318289</v>
      </c>
      <c r="P19" s="118">
        <v>34622943</v>
      </c>
      <c r="Q19" s="118">
        <v>34410021</v>
      </c>
      <c r="R19" s="119">
        <f>SUM(F19:Q19)</f>
        <v>417107430</v>
      </c>
      <c r="T19" s="117"/>
    </row>
    <row r="20" spans="1:20">
      <c r="A20" s="84" t="s">
        <v>0</v>
      </c>
      <c r="B20" s="87">
        <f t="shared" ref="B20:Q20" si="3">SUM(B7:B19)</f>
        <v>428855584.83151639</v>
      </c>
      <c r="C20" s="87">
        <f t="shared" si="3"/>
        <v>418427524.30723298</v>
      </c>
      <c r="D20" s="87">
        <f t="shared" si="3"/>
        <v>434009555.02908325</v>
      </c>
      <c r="E20" s="87">
        <f t="shared" si="3"/>
        <v>491797923.63996345</v>
      </c>
      <c r="F20" s="87">
        <f t="shared" si="3"/>
        <v>511223804.07770759</v>
      </c>
      <c r="G20" s="87">
        <f t="shared" si="3"/>
        <v>428399582.84680837</v>
      </c>
      <c r="H20" s="87">
        <f t="shared" si="3"/>
        <v>443119837.71746218</v>
      </c>
      <c r="I20" s="87">
        <f t="shared" si="3"/>
        <v>501147497.64905238</v>
      </c>
      <c r="J20" s="87">
        <f t="shared" si="3"/>
        <v>567345034.75483608</v>
      </c>
      <c r="K20" s="87">
        <f t="shared" si="3"/>
        <v>573499380.57924294</v>
      </c>
      <c r="L20" s="87">
        <f t="shared" si="3"/>
        <v>509171586.11999035</v>
      </c>
      <c r="M20" s="87">
        <f t="shared" si="3"/>
        <v>479053941.45263869</v>
      </c>
      <c r="N20" s="87">
        <f t="shared" si="3"/>
        <v>427611972.076653</v>
      </c>
      <c r="O20" s="87">
        <f t="shared" si="3"/>
        <v>417117556.76331437</v>
      </c>
      <c r="P20" s="87">
        <f t="shared" si="3"/>
        <v>430508403.99041867</v>
      </c>
      <c r="Q20" s="87">
        <f t="shared" si="3"/>
        <v>481360830.82558286</v>
      </c>
      <c r="R20" s="87">
        <f>SUM(R7:R19)</f>
        <v>5769559428.8537073</v>
      </c>
    </row>
    <row r="21" spans="1:20">
      <c r="A21" s="85"/>
      <c r="B21" s="85"/>
      <c r="F21" s="85"/>
      <c r="R21" s="86"/>
    </row>
    <row r="22" spans="1:20">
      <c r="A22" s="84" t="s">
        <v>115</v>
      </c>
      <c r="B22" s="87">
        <f>B7+B8</f>
        <v>181583684.5377253</v>
      </c>
      <c r="C22" s="87">
        <f t="shared" ref="C22:Q22" si="4">C7+C8</f>
        <v>162022515.32896534</v>
      </c>
      <c r="D22" s="87">
        <f t="shared" si="4"/>
        <v>159931912.39447597</v>
      </c>
      <c r="E22" s="87">
        <f t="shared" si="4"/>
        <v>198158176.60755882</v>
      </c>
      <c r="F22" s="87">
        <f t="shared" si="4"/>
        <v>216731951.23623958</v>
      </c>
      <c r="G22" s="87">
        <f t="shared" si="4"/>
        <v>164017440.80219781</v>
      </c>
      <c r="H22" s="87">
        <f t="shared" si="4"/>
        <v>174053253.52054298</v>
      </c>
      <c r="I22" s="87">
        <f t="shared" si="4"/>
        <v>236773377.24326912</v>
      </c>
      <c r="J22" s="87">
        <f t="shared" si="4"/>
        <v>298266778.8709479</v>
      </c>
      <c r="K22" s="87">
        <f t="shared" si="4"/>
        <v>302171651.63186604</v>
      </c>
      <c r="L22" s="87">
        <f t="shared" si="4"/>
        <v>255730233.69181731</v>
      </c>
      <c r="M22" s="87">
        <f t="shared" si="4"/>
        <v>225395651.36142737</v>
      </c>
      <c r="N22" s="87">
        <f t="shared" si="4"/>
        <v>181906626.94919324</v>
      </c>
      <c r="O22" s="87">
        <f t="shared" si="4"/>
        <v>163109108.5320513</v>
      </c>
      <c r="P22" s="87">
        <f t="shared" si="4"/>
        <v>160836285.89153969</v>
      </c>
      <c r="Q22" s="87">
        <f t="shared" si="4"/>
        <v>192846665.11564612</v>
      </c>
      <c r="R22" s="86">
        <f t="shared" si="2"/>
        <v>2571839024.8467379</v>
      </c>
      <c r="S22" s="88"/>
    </row>
    <row r="23" spans="1:20">
      <c r="A23" s="84" t="s">
        <v>155</v>
      </c>
      <c r="B23" s="87">
        <f>B9+B10+B11</f>
        <v>50808435.730159394</v>
      </c>
      <c r="C23" s="87">
        <f t="shared" ref="C23:Q23" si="5">C9+C10+C11</f>
        <v>49109075.812856637</v>
      </c>
      <c r="D23" s="87">
        <f t="shared" si="5"/>
        <v>49953954.79644493</v>
      </c>
      <c r="E23" s="87">
        <f t="shared" si="5"/>
        <v>57741452.322056554</v>
      </c>
      <c r="F23" s="87">
        <f t="shared" si="5"/>
        <v>57339320.126637816</v>
      </c>
      <c r="G23" s="87">
        <f t="shared" si="5"/>
        <v>51272987.222308233</v>
      </c>
      <c r="H23" s="87">
        <f t="shared" si="5"/>
        <v>52608254.540086903</v>
      </c>
      <c r="I23" s="87">
        <f t="shared" si="5"/>
        <v>59878691.449857406</v>
      </c>
      <c r="J23" s="87">
        <f t="shared" si="5"/>
        <v>67435321.272054702</v>
      </c>
      <c r="K23" s="87">
        <f t="shared" si="5"/>
        <v>66133910.670872323</v>
      </c>
      <c r="L23" s="87">
        <f t="shared" si="5"/>
        <v>60885910.686236769</v>
      </c>
      <c r="M23" s="87">
        <f t="shared" si="5"/>
        <v>57688794.160564564</v>
      </c>
      <c r="N23" s="87">
        <f t="shared" si="5"/>
        <v>50347560.911027625</v>
      </c>
      <c r="O23" s="87">
        <f t="shared" si="5"/>
        <v>48824704.065570995</v>
      </c>
      <c r="P23" s="87">
        <f t="shared" si="5"/>
        <v>50227686.126204953</v>
      </c>
      <c r="Q23" s="87">
        <f t="shared" si="5"/>
        <v>57931610.441819154</v>
      </c>
      <c r="R23" s="86">
        <f t="shared" si="2"/>
        <v>680574751.6732415</v>
      </c>
    </row>
    <row r="24" spans="1:20">
      <c r="A24" s="84" t="s">
        <v>156</v>
      </c>
      <c r="B24" s="87">
        <f>B12+B13+B14</f>
        <v>104269710.20322296</v>
      </c>
      <c r="C24" s="87">
        <f t="shared" ref="C24:Q24" si="6">C12+C13+C14</f>
        <v>108413207.35369599</v>
      </c>
      <c r="D24" s="87">
        <f t="shared" si="6"/>
        <v>111040385.00889461</v>
      </c>
      <c r="E24" s="87">
        <f t="shared" si="6"/>
        <v>120789739.19127303</v>
      </c>
      <c r="F24" s="87">
        <f t="shared" si="6"/>
        <v>111952114.90990792</v>
      </c>
      <c r="G24" s="87">
        <f t="shared" si="6"/>
        <v>105129211.82162112</v>
      </c>
      <c r="H24" s="87">
        <f t="shared" si="6"/>
        <v>116328470.75931405</v>
      </c>
      <c r="I24" s="87">
        <f t="shared" si="6"/>
        <v>116509335.80866526</v>
      </c>
      <c r="J24" s="87">
        <f t="shared" si="6"/>
        <v>112361609.26844884</v>
      </c>
      <c r="K24" s="87">
        <f t="shared" si="6"/>
        <v>108840193.28556219</v>
      </c>
      <c r="L24" s="87">
        <f t="shared" si="6"/>
        <v>107061683.44391383</v>
      </c>
      <c r="M24" s="87">
        <f t="shared" si="6"/>
        <v>104587213.64796768</v>
      </c>
      <c r="N24" s="87">
        <f t="shared" si="6"/>
        <v>101691844.59995094</v>
      </c>
      <c r="O24" s="87">
        <f t="shared" si="6"/>
        <v>106046619.74609959</v>
      </c>
      <c r="P24" s="87">
        <f t="shared" si="6"/>
        <v>109214001.77959111</v>
      </c>
      <c r="Q24" s="87">
        <f t="shared" si="6"/>
        <v>118198030.78811762</v>
      </c>
      <c r="R24" s="86">
        <f t="shared" si="2"/>
        <v>1317920329.8591602</v>
      </c>
    </row>
    <row r="25" spans="1:20">
      <c r="A25" s="84" t="s">
        <v>189</v>
      </c>
      <c r="B25" s="87">
        <f>B15+B19</f>
        <v>84867685</v>
      </c>
      <c r="C25" s="87">
        <f t="shared" ref="C25:Q25" si="7">C15+C19</f>
        <v>84074970</v>
      </c>
      <c r="D25" s="87">
        <f t="shared" si="7"/>
        <v>90024038</v>
      </c>
      <c r="E25" s="87">
        <f t="shared" si="7"/>
        <v>88297285</v>
      </c>
      <c r="F25" s="87">
        <f t="shared" si="7"/>
        <v>95443061</v>
      </c>
      <c r="G25" s="87">
        <f t="shared" si="7"/>
        <v>83739469</v>
      </c>
      <c r="H25" s="87">
        <f t="shared" si="7"/>
        <v>87408384</v>
      </c>
      <c r="I25" s="87">
        <f t="shared" si="7"/>
        <v>84996016</v>
      </c>
      <c r="J25" s="87">
        <f t="shared" si="7"/>
        <v>84617796</v>
      </c>
      <c r="K25" s="87">
        <f t="shared" si="7"/>
        <v>91017408</v>
      </c>
      <c r="L25" s="87">
        <f t="shared" si="7"/>
        <v>79822758</v>
      </c>
      <c r="M25" s="87">
        <f t="shared" si="7"/>
        <v>85787474</v>
      </c>
      <c r="N25" s="87">
        <f t="shared" si="7"/>
        <v>86045432</v>
      </c>
      <c r="O25" s="87">
        <f t="shared" si="7"/>
        <v>84031959</v>
      </c>
      <c r="P25" s="87">
        <f t="shared" si="7"/>
        <v>86651976</v>
      </c>
      <c r="Q25" s="87">
        <f t="shared" si="7"/>
        <v>85922359</v>
      </c>
      <c r="R25" s="86">
        <f t="shared" si="2"/>
        <v>1035484092</v>
      </c>
    </row>
    <row r="26" spans="1:20">
      <c r="A26" s="84" t="s">
        <v>49</v>
      </c>
      <c r="B26" s="87">
        <f t="shared" ref="B26:Q26" si="8">B16+B17</f>
        <v>6023493.2336146021</v>
      </c>
      <c r="C26" s="87">
        <f t="shared" si="8"/>
        <v>13502436.753305124</v>
      </c>
      <c r="D26" s="87">
        <f t="shared" si="8"/>
        <v>21744100.306249153</v>
      </c>
      <c r="E26" s="87">
        <f t="shared" si="8"/>
        <v>25491747.595475763</v>
      </c>
      <c r="F26" s="87">
        <f t="shared" si="8"/>
        <v>28414339.756238058</v>
      </c>
      <c r="G26" s="87">
        <f t="shared" si="8"/>
        <v>22894573.204752006</v>
      </c>
      <c r="H26" s="87">
        <f t="shared" si="8"/>
        <v>11407152.223987106</v>
      </c>
      <c r="I26" s="87">
        <f t="shared" si="8"/>
        <v>1659747.4462104633</v>
      </c>
      <c r="J26" s="87">
        <f t="shared" si="8"/>
        <v>3324665.2279788703</v>
      </c>
      <c r="K26" s="87">
        <f t="shared" si="8"/>
        <v>3996028.926227618</v>
      </c>
      <c r="L26" s="87">
        <f t="shared" si="8"/>
        <v>4398901.7123823194</v>
      </c>
      <c r="M26" s="87">
        <f t="shared" si="8"/>
        <v>4240882.9001918444</v>
      </c>
      <c r="N26" s="87">
        <f t="shared" si="8"/>
        <v>6327667.9602181073</v>
      </c>
      <c r="O26" s="87">
        <f t="shared" si="8"/>
        <v>13808147.840110611</v>
      </c>
      <c r="P26" s="87">
        <f t="shared" si="8"/>
        <v>22265301.684893828</v>
      </c>
      <c r="Q26" s="87">
        <f t="shared" si="8"/>
        <v>25147825.080746349</v>
      </c>
      <c r="R26" s="86">
        <f t="shared" si="2"/>
        <v>147885233.96393716</v>
      </c>
    </row>
    <row r="27" spans="1:20">
      <c r="A27" s="84" t="s">
        <v>48</v>
      </c>
      <c r="B27" s="87">
        <f t="shared" ref="B27:Q27" si="9">B18</f>
        <v>1302576.1267940914</v>
      </c>
      <c r="C27" s="87">
        <f t="shared" si="9"/>
        <v>1305319.0584098492</v>
      </c>
      <c r="D27" s="87">
        <f t="shared" si="9"/>
        <v>1315164.5230185864</v>
      </c>
      <c r="E27" s="87">
        <f t="shared" si="9"/>
        <v>1319522.9235993021</v>
      </c>
      <c r="F27" s="87">
        <f t="shared" si="9"/>
        <v>1343017.048684244</v>
      </c>
      <c r="G27" s="87">
        <f t="shared" si="9"/>
        <v>1345900.7959291809</v>
      </c>
      <c r="H27" s="87">
        <f t="shared" si="9"/>
        <v>1314322.6735311958</v>
      </c>
      <c r="I27" s="87">
        <f t="shared" si="9"/>
        <v>1330329.7010500454</v>
      </c>
      <c r="J27" s="87">
        <f t="shared" si="9"/>
        <v>1338864.1154058825</v>
      </c>
      <c r="K27" s="87">
        <f t="shared" si="9"/>
        <v>1340188.064714706</v>
      </c>
      <c r="L27" s="87">
        <f t="shared" si="9"/>
        <v>1272098.5856400984</v>
      </c>
      <c r="M27" s="87">
        <f t="shared" si="9"/>
        <v>1353925.3824872593</v>
      </c>
      <c r="N27" s="87">
        <f t="shared" si="9"/>
        <v>1292839.6562630786</v>
      </c>
      <c r="O27" s="87">
        <f t="shared" si="9"/>
        <v>1297017.5794819526</v>
      </c>
      <c r="P27" s="87">
        <f t="shared" si="9"/>
        <v>1313152.508189003</v>
      </c>
      <c r="Q27" s="87">
        <f t="shared" si="9"/>
        <v>1314340.3992536208</v>
      </c>
      <c r="R27" s="86">
        <f t="shared" si="2"/>
        <v>15855996.510630269</v>
      </c>
    </row>
    <row r="28" spans="1:20">
      <c r="A28" s="84" t="s">
        <v>0</v>
      </c>
      <c r="B28" s="87">
        <f t="shared" ref="B28:R28" si="10">SUM(B22:B27)</f>
        <v>428855584.83151639</v>
      </c>
      <c r="C28" s="86">
        <f t="shared" si="10"/>
        <v>418427524.30723298</v>
      </c>
      <c r="D28" s="86">
        <f t="shared" si="10"/>
        <v>434009555.02908325</v>
      </c>
      <c r="E28" s="86">
        <f t="shared" si="10"/>
        <v>491797923.63996345</v>
      </c>
      <c r="F28" s="87">
        <f t="shared" si="10"/>
        <v>511223804.07770759</v>
      </c>
      <c r="G28" s="86">
        <f t="shared" si="10"/>
        <v>428399582.84680837</v>
      </c>
      <c r="H28" s="86">
        <f t="shared" si="10"/>
        <v>443119837.71746218</v>
      </c>
      <c r="I28" s="86">
        <f t="shared" si="10"/>
        <v>501147497.64905226</v>
      </c>
      <c r="J28" s="86">
        <f t="shared" si="10"/>
        <v>567345034.7548362</v>
      </c>
      <c r="K28" s="86">
        <f t="shared" si="10"/>
        <v>573499380.57924283</v>
      </c>
      <c r="L28" s="86">
        <f t="shared" si="10"/>
        <v>509171586.11999029</v>
      </c>
      <c r="M28" s="86">
        <f t="shared" si="10"/>
        <v>479053941.45263869</v>
      </c>
      <c r="N28" s="86">
        <f t="shared" si="10"/>
        <v>427611972.076653</v>
      </c>
      <c r="O28" s="86">
        <f t="shared" si="10"/>
        <v>417117556.76331443</v>
      </c>
      <c r="P28" s="86">
        <f t="shared" si="10"/>
        <v>430508403.99041861</v>
      </c>
      <c r="Q28" s="86">
        <f t="shared" si="10"/>
        <v>481360830.82558286</v>
      </c>
      <c r="R28" s="86">
        <f t="shared" si="10"/>
        <v>5769559428.8537073</v>
      </c>
    </row>
    <row r="29" spans="1:20">
      <c r="A29" s="85"/>
      <c r="B29" s="85"/>
      <c r="F29" s="85"/>
      <c r="R29" s="86">
        <f t="shared" si="2"/>
        <v>0</v>
      </c>
    </row>
    <row r="30" spans="1:20">
      <c r="A30" s="84" t="s">
        <v>110</v>
      </c>
      <c r="B30" s="86">
        <f t="shared" ref="B30:R30" si="11">SUM(B7:B19)-SUM(B22:B27)</f>
        <v>0</v>
      </c>
      <c r="C30" s="86">
        <f t="shared" si="11"/>
        <v>0</v>
      </c>
      <c r="D30" s="86">
        <f t="shared" si="11"/>
        <v>0</v>
      </c>
      <c r="E30" s="86">
        <f t="shared" si="11"/>
        <v>0</v>
      </c>
      <c r="F30" s="86">
        <f t="shared" si="11"/>
        <v>0</v>
      </c>
      <c r="G30" s="86">
        <f t="shared" si="11"/>
        <v>0</v>
      </c>
      <c r="H30" s="86">
        <f t="shared" si="11"/>
        <v>0</v>
      </c>
      <c r="I30" s="86">
        <f t="shared" si="11"/>
        <v>0</v>
      </c>
      <c r="J30" s="86">
        <f t="shared" si="11"/>
        <v>0</v>
      </c>
      <c r="K30" s="86">
        <f t="shared" si="11"/>
        <v>0</v>
      </c>
      <c r="L30" s="86">
        <f t="shared" si="11"/>
        <v>0</v>
      </c>
      <c r="M30" s="86">
        <f t="shared" si="11"/>
        <v>0</v>
      </c>
      <c r="N30" s="86">
        <f t="shared" si="11"/>
        <v>0</v>
      </c>
      <c r="O30" s="86">
        <f t="shared" si="11"/>
        <v>0</v>
      </c>
      <c r="P30" s="86">
        <f t="shared" si="11"/>
        <v>0</v>
      </c>
      <c r="Q30" s="86">
        <f t="shared" si="11"/>
        <v>0</v>
      </c>
      <c r="R30" s="86">
        <f t="shared" si="11"/>
        <v>0</v>
      </c>
    </row>
    <row r="33" spans="1:21">
      <c r="A33" s="2" t="s">
        <v>51</v>
      </c>
    </row>
    <row r="34" spans="1:21">
      <c r="A34" s="78" t="s">
        <v>102</v>
      </c>
      <c r="F34" s="99"/>
    </row>
    <row r="36" spans="1:21">
      <c r="B36" s="79">
        <f t="shared" ref="B36:Q36" si="12">B6</f>
        <v>45046</v>
      </c>
      <c r="C36" s="79">
        <f t="shared" si="12"/>
        <v>45077</v>
      </c>
      <c r="D36" s="79">
        <f t="shared" si="12"/>
        <v>45107</v>
      </c>
      <c r="E36" s="79">
        <f t="shared" si="12"/>
        <v>45138</v>
      </c>
      <c r="F36" s="79">
        <f t="shared" si="12"/>
        <v>45169</v>
      </c>
      <c r="G36" s="79">
        <f t="shared" si="12"/>
        <v>45199</v>
      </c>
      <c r="H36" s="79">
        <f t="shared" si="12"/>
        <v>45230</v>
      </c>
      <c r="I36" s="79">
        <f t="shared" si="12"/>
        <v>45260</v>
      </c>
      <c r="J36" s="79">
        <f t="shared" si="12"/>
        <v>45291</v>
      </c>
      <c r="K36" s="79">
        <f t="shared" si="12"/>
        <v>45322</v>
      </c>
      <c r="L36" s="79">
        <f t="shared" si="12"/>
        <v>45351</v>
      </c>
      <c r="M36" s="79">
        <f t="shared" si="12"/>
        <v>45382</v>
      </c>
      <c r="N36" s="79">
        <f t="shared" si="12"/>
        <v>45412</v>
      </c>
      <c r="O36" s="79">
        <f t="shared" si="12"/>
        <v>45443</v>
      </c>
      <c r="P36" s="79">
        <f t="shared" si="12"/>
        <v>45473</v>
      </c>
      <c r="Q36" s="79">
        <f t="shared" si="12"/>
        <v>45504</v>
      </c>
      <c r="R36" s="80" t="s">
        <v>0</v>
      </c>
    </row>
    <row r="37" spans="1:21">
      <c r="A37" s="81" t="s">
        <v>40</v>
      </c>
      <c r="B37" s="121">
        <v>227438</v>
      </c>
      <c r="C37" s="121">
        <v>227332</v>
      </c>
      <c r="D37" s="121">
        <v>227455</v>
      </c>
      <c r="E37" s="121">
        <v>227357</v>
      </c>
      <c r="F37" s="121">
        <v>227969</v>
      </c>
      <c r="G37" s="121">
        <v>228222</v>
      </c>
      <c r="H37" s="121">
        <v>228459</v>
      </c>
      <c r="I37" s="121">
        <v>228224</v>
      </c>
      <c r="J37" s="121">
        <v>228854</v>
      </c>
      <c r="K37" s="121">
        <v>229261</v>
      </c>
      <c r="L37" s="121">
        <v>229083</v>
      </c>
      <c r="M37" s="121">
        <v>229051</v>
      </c>
      <c r="N37" s="121">
        <v>229282</v>
      </c>
      <c r="O37" s="121">
        <v>229066</v>
      </c>
      <c r="P37" s="121">
        <v>229123</v>
      </c>
      <c r="Q37" s="121">
        <v>229071</v>
      </c>
      <c r="R37" s="119">
        <f>SUM(F37:Q37)</f>
        <v>2745665</v>
      </c>
      <c r="T37" s="117"/>
      <c r="U37" s="120"/>
    </row>
    <row r="38" spans="1:21">
      <c r="A38" s="81" t="s">
        <v>151</v>
      </c>
      <c r="B38" s="121">
        <v>871.7209302325582</v>
      </c>
      <c r="C38" s="121">
        <v>880.62790697674427</v>
      </c>
      <c r="D38" s="121">
        <v>889.53488372093034</v>
      </c>
      <c r="E38" s="121">
        <v>898.44186046511641</v>
      </c>
      <c r="F38" s="121">
        <v>907.34883720930247</v>
      </c>
      <c r="G38" s="121">
        <v>916.25581395348854</v>
      </c>
      <c r="H38" s="121">
        <v>925.16279069767461</v>
      </c>
      <c r="I38" s="121">
        <v>934.06976744186068</v>
      </c>
      <c r="J38" s="121">
        <v>942.97674418604674</v>
      </c>
      <c r="K38" s="121">
        <v>951.88372093023281</v>
      </c>
      <c r="L38" s="121">
        <v>960.79069767441888</v>
      </c>
      <c r="M38" s="121">
        <v>969.69767441860495</v>
      </c>
      <c r="N38" s="121">
        <v>978.60465116279101</v>
      </c>
      <c r="O38" s="121">
        <v>987.51162790697708</v>
      </c>
      <c r="P38" s="121">
        <v>996.41860465116315</v>
      </c>
      <c r="Q38" s="121">
        <v>1005.3255813953492</v>
      </c>
      <c r="R38" s="119">
        <f t="shared" ref="R38:R49" si="13">SUM(F38:Q38)</f>
        <v>11476.04651162791</v>
      </c>
      <c r="T38" s="117"/>
      <c r="U38" s="120"/>
    </row>
    <row r="39" spans="1:21">
      <c r="A39" s="81" t="s">
        <v>41</v>
      </c>
      <c r="B39" s="121">
        <v>24246.166087962964</v>
      </c>
      <c r="C39" s="121">
        <v>24236.179928626545</v>
      </c>
      <c r="D39" s="121">
        <v>24370.361589345423</v>
      </c>
      <c r="E39" s="121">
        <v>24298.433388457539</v>
      </c>
      <c r="F39" s="121">
        <v>24269.386170829002</v>
      </c>
      <c r="G39" s="121">
        <v>24378.335018398084</v>
      </c>
      <c r="H39" s="121">
        <v>24483.279603264593</v>
      </c>
      <c r="I39" s="121">
        <v>24444.46957020331</v>
      </c>
      <c r="J39" s="121">
        <v>24632.550367720251</v>
      </c>
      <c r="K39" s="121">
        <v>24586.512898363606</v>
      </c>
      <c r="L39" s="121">
        <v>24567.305639893904</v>
      </c>
      <c r="M39" s="121">
        <v>24580.33805432951</v>
      </c>
      <c r="N39" s="121">
        <v>24657.359859782893</v>
      </c>
      <c r="O39" s="121">
        <v>24620.376007434556</v>
      </c>
      <c r="P39" s="121">
        <v>24745.392347335222</v>
      </c>
      <c r="Q39" s="121">
        <v>24677.39491050104</v>
      </c>
      <c r="R39" s="119">
        <f t="shared" si="13"/>
        <v>294642.70044805593</v>
      </c>
      <c r="T39" s="117"/>
      <c r="U39" s="120"/>
    </row>
    <row r="40" spans="1:21">
      <c r="A40" s="81" t="s">
        <v>42</v>
      </c>
      <c r="B40" s="121">
        <v>10685</v>
      </c>
      <c r="C40" s="121">
        <v>10705</v>
      </c>
      <c r="D40" s="121">
        <v>10738</v>
      </c>
      <c r="E40" s="121">
        <v>10770</v>
      </c>
      <c r="F40" s="121">
        <v>10764</v>
      </c>
      <c r="G40" s="121">
        <v>10769</v>
      </c>
      <c r="H40" s="121">
        <v>10843</v>
      </c>
      <c r="I40" s="121">
        <v>10813</v>
      </c>
      <c r="J40" s="121">
        <v>10880</v>
      </c>
      <c r="K40" s="121">
        <v>10873</v>
      </c>
      <c r="L40" s="121">
        <v>10891</v>
      </c>
      <c r="M40" s="121">
        <v>10917</v>
      </c>
      <c r="N40" s="121">
        <v>10903</v>
      </c>
      <c r="O40" s="121">
        <v>10928</v>
      </c>
      <c r="P40" s="121">
        <v>10962</v>
      </c>
      <c r="Q40" s="121">
        <v>10991</v>
      </c>
      <c r="R40" s="119">
        <f t="shared" si="13"/>
        <v>130534</v>
      </c>
      <c r="T40" s="117"/>
      <c r="U40" s="120"/>
    </row>
    <row r="41" spans="1:21">
      <c r="A41" s="81" t="s">
        <v>154</v>
      </c>
      <c r="B41" s="121">
        <v>5.9602194787379972</v>
      </c>
      <c r="C41" s="121">
        <v>6.0669105319311081</v>
      </c>
      <c r="D41" s="121">
        <v>6.1854561465901199</v>
      </c>
      <c r="E41" s="121">
        <v>6.2060623851001333</v>
      </c>
      <c r="F41" s="121">
        <v>6.2289582056668147</v>
      </c>
      <c r="G41" s="121">
        <v>6.2543980062964604</v>
      </c>
      <c r="H41" s="121">
        <v>6.2826644514405121</v>
      </c>
      <c r="I41" s="121">
        <v>6.0918493904894575</v>
      </c>
      <c r="J41" s="121">
        <v>6.1267462363463112</v>
      </c>
      <c r="K41" s="121">
        <v>6.1559183147332126</v>
      </c>
      <c r="L41" s="121">
        <v>6.177662629843792</v>
      </c>
      <c r="M41" s="121">
        <v>6.189968418500758</v>
      </c>
      <c r="N41" s="121">
        <v>6.1904697820463843</v>
      </c>
      <c r="O41" s="121">
        <v>6.1887372705959676</v>
      </c>
      <c r="P41" s="121">
        <v>6.1842682778103173</v>
      </c>
      <c r="Q41" s="121">
        <v>6.1764760857563017</v>
      </c>
      <c r="R41" s="119">
        <f t="shared" si="13"/>
        <v>74.248117069526288</v>
      </c>
      <c r="T41" s="117"/>
      <c r="U41" s="120"/>
    </row>
    <row r="42" spans="1:21">
      <c r="A42" s="81" t="s">
        <v>43</v>
      </c>
      <c r="B42" s="121">
        <v>1661.7984528019956</v>
      </c>
      <c r="C42" s="121">
        <v>1660.59361485414</v>
      </c>
      <c r="D42" s="121">
        <v>1660.3893904992781</v>
      </c>
      <c r="E42" s="121">
        <v>1659.1857778993894</v>
      </c>
      <c r="F42" s="121">
        <v>1657.9827752219594</v>
      </c>
      <c r="G42" s="121">
        <v>1655.7803806399625</v>
      </c>
      <c r="H42" s="121">
        <v>1658.578592331846</v>
      </c>
      <c r="I42" s="121">
        <v>1650.3774084815138</v>
      </c>
      <c r="J42" s="121">
        <v>1654.1768272783099</v>
      </c>
      <c r="K42" s="121">
        <v>1653.9768469170021</v>
      </c>
      <c r="L42" s="121">
        <v>1652.777465597766</v>
      </c>
      <c r="M42" s="121">
        <v>1648.5786815261681</v>
      </c>
      <c r="N42" s="121">
        <v>1647.3804929131506</v>
      </c>
      <c r="O42" s="121">
        <v>1646.1828979750146</v>
      </c>
      <c r="P42" s="121">
        <v>1645.9858949334043</v>
      </c>
      <c r="Q42" s="121">
        <v>1644.7894820152908</v>
      </c>
      <c r="R42" s="119">
        <f t="shared" si="13"/>
        <v>19816.567745831388</v>
      </c>
      <c r="T42" s="117"/>
      <c r="U42" s="120"/>
    </row>
    <row r="43" spans="1:21">
      <c r="A43" s="81" t="s">
        <v>44</v>
      </c>
      <c r="B43" s="121">
        <v>43.52575231481481</v>
      </c>
      <c r="C43" s="121">
        <v>43.486231674382715</v>
      </c>
      <c r="D43" s="121">
        <v>43.443417647247941</v>
      </c>
      <c r="E43" s="121">
        <v>43.397035784518607</v>
      </c>
      <c r="F43" s="121">
        <v>43.346788766561822</v>
      </c>
      <c r="G43" s="121">
        <v>43.292354497108647</v>
      </c>
      <c r="H43" s="121">
        <v>43.233384038534361</v>
      </c>
      <c r="I43" s="121">
        <v>43.169499375078892</v>
      </c>
      <c r="J43" s="121">
        <v>43.516957656335471</v>
      </c>
      <c r="K43" s="121">
        <v>43.476704127696756</v>
      </c>
      <c r="L43" s="121">
        <v>43.433096138338158</v>
      </c>
      <c r="M43" s="121">
        <v>43.410159705421883</v>
      </c>
      <c r="N43" s="121">
        <v>43.394281810503337</v>
      </c>
      <c r="O43" s="121">
        <v>43.38332593514405</v>
      </c>
      <c r="P43" s="121">
        <v>43.37475045687416</v>
      </c>
      <c r="Q43" s="121">
        <v>43.369028191009676</v>
      </c>
      <c r="R43" s="119">
        <f t="shared" si="13"/>
        <v>520.40033069860726</v>
      </c>
      <c r="T43" s="117"/>
      <c r="U43" s="120"/>
    </row>
    <row r="44" spans="1:21">
      <c r="A44" s="81" t="s">
        <v>153</v>
      </c>
      <c r="B44" s="121">
        <v>3.0209999999999999</v>
      </c>
      <c r="C44" s="121">
        <v>3.1231</v>
      </c>
      <c r="D44" s="121">
        <v>3.1354100000000003</v>
      </c>
      <c r="E44" s="121">
        <v>3.0489510000000002</v>
      </c>
      <c r="F44" s="121">
        <v>3.0538461000000003</v>
      </c>
      <c r="G44" s="121">
        <v>3.0592307100000005</v>
      </c>
      <c r="H44" s="121">
        <v>3.0651537810000002</v>
      </c>
      <c r="I44" s="121">
        <v>3.1716691591000004</v>
      </c>
      <c r="J44" s="121">
        <v>3.0888360750100006</v>
      </c>
      <c r="K44" s="121">
        <v>3.0877196825110005</v>
      </c>
      <c r="L44" s="121">
        <v>3.0854916507621004</v>
      </c>
      <c r="M44" s="121">
        <v>3.0919408158383108</v>
      </c>
      <c r="N44" s="121">
        <v>3.0888248974221417</v>
      </c>
      <c r="O44" s="121">
        <v>3.0841663871643559</v>
      </c>
      <c r="P44" s="121">
        <v>3.087687925880791</v>
      </c>
      <c r="Q44" s="121">
        <v>3.0910721084688699</v>
      </c>
      <c r="R44" s="119">
        <f t="shared" si="13"/>
        <v>37.055639293157576</v>
      </c>
      <c r="T44" s="117"/>
      <c r="U44" s="120"/>
    </row>
    <row r="45" spans="1:21">
      <c r="A45" s="82" t="s">
        <v>45</v>
      </c>
      <c r="B45" s="121">
        <v>21</v>
      </c>
      <c r="C45" s="121">
        <v>21</v>
      </c>
      <c r="D45" s="121">
        <v>21</v>
      </c>
      <c r="E45" s="121">
        <v>21</v>
      </c>
      <c r="F45" s="121">
        <v>21</v>
      </c>
      <c r="G45" s="121">
        <v>21</v>
      </c>
      <c r="H45" s="121">
        <v>21</v>
      </c>
      <c r="I45" s="121">
        <v>21</v>
      </c>
      <c r="J45" s="121">
        <v>21</v>
      </c>
      <c r="K45" s="121">
        <v>21</v>
      </c>
      <c r="L45" s="121">
        <v>21</v>
      </c>
      <c r="M45" s="121">
        <v>21</v>
      </c>
      <c r="N45" s="121">
        <v>21</v>
      </c>
      <c r="O45" s="121">
        <v>21</v>
      </c>
      <c r="P45" s="121">
        <v>21</v>
      </c>
      <c r="Q45" s="121">
        <v>21</v>
      </c>
      <c r="R45" s="119">
        <f t="shared" si="13"/>
        <v>252</v>
      </c>
      <c r="T45" s="117"/>
      <c r="U45" s="120"/>
    </row>
    <row r="46" spans="1:21">
      <c r="A46" s="81" t="s">
        <v>46</v>
      </c>
      <c r="B46" s="118">
        <v>1262.751668282099</v>
      </c>
      <c r="C46" s="118">
        <v>1259.2601451250457</v>
      </c>
      <c r="D46" s="118">
        <v>1263.1561868927618</v>
      </c>
      <c r="E46" s="118">
        <v>1251.5689582574955</v>
      </c>
      <c r="F46" s="118">
        <v>1259.6948459882337</v>
      </c>
      <c r="G46" s="118">
        <v>1258.0575274587238</v>
      </c>
      <c r="H46" s="118">
        <v>1266.0896698644938</v>
      </c>
      <c r="I46" s="118">
        <v>1256.9908960412954</v>
      </c>
      <c r="J46" s="118">
        <v>1257.4685391017485</v>
      </c>
      <c r="K46" s="118">
        <v>1260.3438849583722</v>
      </c>
      <c r="L46" s="118">
        <v>1251.2976933902032</v>
      </c>
      <c r="M46" s="118">
        <v>1266.7916736427433</v>
      </c>
      <c r="N46" s="118">
        <v>1260.1315866982713</v>
      </c>
      <c r="O46" s="118">
        <v>1255.9402802199177</v>
      </c>
      <c r="P46" s="118">
        <v>1268.4864053493602</v>
      </c>
      <c r="Q46" s="118">
        <v>1258.7559759799647</v>
      </c>
      <c r="R46" s="119">
        <f t="shared" si="13"/>
        <v>15120.048978693329</v>
      </c>
      <c r="T46" s="117"/>
      <c r="U46" s="120"/>
    </row>
    <row r="47" spans="1:21">
      <c r="A47" s="81" t="s">
        <v>47</v>
      </c>
      <c r="B47" s="118">
        <v>1261.3220486111109</v>
      </c>
      <c r="C47" s="118">
        <v>1262.3488859953704</v>
      </c>
      <c r="D47" s="118">
        <v>1263.0446264949846</v>
      </c>
      <c r="E47" s="118">
        <v>1262.2983453695667</v>
      </c>
      <c r="F47" s="118">
        <v>1264.0732074836974</v>
      </c>
      <c r="G47" s="118">
        <v>1264.1626414406719</v>
      </c>
      <c r="H47" s="118">
        <v>1264.5928615607277</v>
      </c>
      <c r="I47" s="118">
        <v>1264.4756000241216</v>
      </c>
      <c r="J47" s="118">
        <v>1264.2235666927986</v>
      </c>
      <c r="K47" s="118">
        <v>1263.8255305838652</v>
      </c>
      <c r="L47" s="118">
        <v>1264.0609914658537</v>
      </c>
      <c r="M47" s="118">
        <v>1263.951490754675</v>
      </c>
      <c r="N47" s="118">
        <v>1263.5316497064534</v>
      </c>
      <c r="O47" s="118">
        <v>1263.7157831310656</v>
      </c>
      <c r="P47" s="118">
        <v>1263.8296912257069</v>
      </c>
      <c r="Q47" s="118">
        <v>1263.8951132866002</v>
      </c>
      <c r="R47" s="119">
        <f t="shared" si="13"/>
        <v>15168.338127356237</v>
      </c>
      <c r="T47" s="117"/>
      <c r="U47" s="120"/>
    </row>
    <row r="48" spans="1:21">
      <c r="A48" s="83" t="s">
        <v>48</v>
      </c>
      <c r="B48" s="118">
        <v>498.30000000000007</v>
      </c>
      <c r="C48" s="118">
        <v>499.40000000000009</v>
      </c>
      <c r="D48" s="118">
        <v>500.50000000000011</v>
      </c>
      <c r="E48" s="118">
        <v>501.60000000000014</v>
      </c>
      <c r="F48" s="118">
        <v>502.70000000000016</v>
      </c>
      <c r="G48" s="118">
        <v>503.80000000000018</v>
      </c>
      <c r="H48" s="118">
        <v>504.9000000000002</v>
      </c>
      <c r="I48" s="118">
        <v>506.00000000000023</v>
      </c>
      <c r="J48" s="118">
        <v>507.10000000000025</v>
      </c>
      <c r="K48" s="118">
        <v>508.20000000000027</v>
      </c>
      <c r="L48" s="118">
        <v>509.3000000000003</v>
      </c>
      <c r="M48" s="118">
        <v>510.40000000000032</v>
      </c>
      <c r="N48" s="118">
        <v>511.50000000000034</v>
      </c>
      <c r="O48" s="118">
        <v>512.60000000000036</v>
      </c>
      <c r="P48" s="118">
        <v>513.70000000000039</v>
      </c>
      <c r="Q48" s="118">
        <v>514.80000000000041</v>
      </c>
      <c r="R48" s="119">
        <f t="shared" si="13"/>
        <v>6105.0000000000027</v>
      </c>
      <c r="T48" s="117"/>
      <c r="U48" s="120"/>
    </row>
    <row r="49" spans="1:21">
      <c r="A49" s="83" t="s">
        <v>152</v>
      </c>
      <c r="B49" s="118">
        <v>1</v>
      </c>
      <c r="C49" s="118">
        <v>1</v>
      </c>
      <c r="D49" s="118">
        <v>1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18">
        <v>1</v>
      </c>
      <c r="L49" s="118">
        <v>1</v>
      </c>
      <c r="M49" s="118">
        <v>1</v>
      </c>
      <c r="N49" s="118">
        <v>1</v>
      </c>
      <c r="O49" s="118">
        <v>1</v>
      </c>
      <c r="P49" s="118">
        <v>1</v>
      </c>
      <c r="Q49" s="118">
        <v>1</v>
      </c>
      <c r="R49" s="119">
        <f t="shared" si="13"/>
        <v>12</v>
      </c>
      <c r="T49" s="117"/>
      <c r="U49" s="120"/>
    </row>
    <row r="50" spans="1:21">
      <c r="A50" s="84" t="s">
        <v>0</v>
      </c>
      <c r="B50" s="87">
        <f>SUM(B37:B49)</f>
        <v>267999.56615968433</v>
      </c>
      <c r="C50" s="87">
        <f t="shared" ref="C50:Q50" si="14">SUM(C37:C49)</f>
        <v>267910.08672378422</v>
      </c>
      <c r="D50" s="87">
        <f t="shared" si="14"/>
        <v>268214.75096074719</v>
      </c>
      <c r="E50" s="87">
        <f t="shared" si="14"/>
        <v>268073.18037961872</v>
      </c>
      <c r="F50" s="87">
        <f t="shared" si="14"/>
        <v>268668.8154298045</v>
      </c>
      <c r="G50" s="87">
        <f t="shared" si="14"/>
        <v>269041.99736510433</v>
      </c>
      <c r="H50" s="87">
        <f t="shared" si="14"/>
        <v>269479.18471999042</v>
      </c>
      <c r="I50" s="87">
        <f t="shared" si="14"/>
        <v>269167.8162601167</v>
      </c>
      <c r="J50" s="87">
        <f t="shared" si="14"/>
        <v>270067.22858494689</v>
      </c>
      <c r="K50" s="87">
        <f t="shared" si="14"/>
        <v>270433.463223878</v>
      </c>
      <c r="L50" s="87">
        <f t="shared" si="14"/>
        <v>270254.22873844113</v>
      </c>
      <c r="M50" s="87">
        <f t="shared" si="14"/>
        <v>270282.4496436115</v>
      </c>
      <c r="N50" s="87">
        <f t="shared" si="14"/>
        <v>270578.18181675352</v>
      </c>
      <c r="O50" s="87">
        <f t="shared" si="14"/>
        <v>270354.98282626044</v>
      </c>
      <c r="P50" s="87">
        <f t="shared" si="14"/>
        <v>270593.45965015551</v>
      </c>
      <c r="Q50" s="87">
        <f t="shared" si="14"/>
        <v>270501.59763956349</v>
      </c>
      <c r="R50" s="87">
        <f>SUM(R37:R49)</f>
        <v>3239423.4058986255</v>
      </c>
    </row>
    <row r="51" spans="1:21">
      <c r="A51" s="85"/>
      <c r="R51" s="86"/>
    </row>
    <row r="52" spans="1:21">
      <c r="A52" s="84" t="s">
        <v>115</v>
      </c>
      <c r="B52" s="87">
        <f>B37+B38</f>
        <v>228309.72093023255</v>
      </c>
      <c r="C52" s="87">
        <f t="shared" ref="C52:Q52" si="15">C37+C38</f>
        <v>228212.62790697673</v>
      </c>
      <c r="D52" s="87">
        <f t="shared" si="15"/>
        <v>228344.53488372092</v>
      </c>
      <c r="E52" s="87">
        <f t="shared" si="15"/>
        <v>228255.44186046513</v>
      </c>
      <c r="F52" s="87">
        <f t="shared" si="15"/>
        <v>228876.34883720931</v>
      </c>
      <c r="G52" s="87">
        <f t="shared" si="15"/>
        <v>229138.2558139535</v>
      </c>
      <c r="H52" s="87">
        <f t="shared" si="15"/>
        <v>229384.16279069768</v>
      </c>
      <c r="I52" s="87">
        <f t="shared" si="15"/>
        <v>229158.06976744186</v>
      </c>
      <c r="J52" s="87">
        <f t="shared" si="15"/>
        <v>229796.97674418605</v>
      </c>
      <c r="K52" s="87">
        <f t="shared" si="15"/>
        <v>230212.88372093023</v>
      </c>
      <c r="L52" s="87">
        <f t="shared" si="15"/>
        <v>230043.79069767441</v>
      </c>
      <c r="M52" s="87">
        <f t="shared" si="15"/>
        <v>230020.6976744186</v>
      </c>
      <c r="N52" s="87">
        <f t="shared" si="15"/>
        <v>230260.60465116278</v>
      </c>
      <c r="O52" s="87">
        <f t="shared" si="15"/>
        <v>230053.51162790699</v>
      </c>
      <c r="P52" s="87">
        <f t="shared" si="15"/>
        <v>230119.41860465117</v>
      </c>
      <c r="Q52" s="87">
        <f t="shared" si="15"/>
        <v>230076.32558139536</v>
      </c>
      <c r="R52" s="86">
        <f t="shared" ref="R52:R57" si="16">SUM(F52:Q52)</f>
        <v>2757141.0465116282</v>
      </c>
    </row>
    <row r="53" spans="1:21">
      <c r="A53" s="84" t="s">
        <v>155</v>
      </c>
      <c r="B53" s="87">
        <f>B39+B40+B41</f>
        <v>34937.1263074417</v>
      </c>
      <c r="C53" s="87">
        <f t="shared" ref="C53:Q53" si="17">C39+C40+C41</f>
        <v>34947.246839158477</v>
      </c>
      <c r="D53" s="87">
        <f t="shared" si="17"/>
        <v>35114.547045492014</v>
      </c>
      <c r="E53" s="87">
        <f t="shared" si="17"/>
        <v>35074.639450842638</v>
      </c>
      <c r="F53" s="87">
        <f t="shared" si="17"/>
        <v>35039.615129034675</v>
      </c>
      <c r="G53" s="87">
        <f t="shared" si="17"/>
        <v>35153.589416404378</v>
      </c>
      <c r="H53" s="87">
        <f t="shared" si="17"/>
        <v>35332.562267716035</v>
      </c>
      <c r="I53" s="87">
        <f t="shared" si="17"/>
        <v>35263.561419593796</v>
      </c>
      <c r="J53" s="87">
        <f t="shared" si="17"/>
        <v>35518.677113956597</v>
      </c>
      <c r="K53" s="87">
        <f t="shared" si="17"/>
        <v>35465.668816678342</v>
      </c>
      <c r="L53" s="87">
        <f t="shared" si="17"/>
        <v>35464.483302523753</v>
      </c>
      <c r="M53" s="87">
        <f t="shared" si="17"/>
        <v>35503.528022748003</v>
      </c>
      <c r="N53" s="87">
        <f t="shared" si="17"/>
        <v>35566.55032956494</v>
      </c>
      <c r="O53" s="87">
        <f t="shared" si="17"/>
        <v>35554.564744705152</v>
      </c>
      <c r="P53" s="87">
        <f t="shared" si="17"/>
        <v>35713.576615613027</v>
      </c>
      <c r="Q53" s="87">
        <f t="shared" si="17"/>
        <v>35674.571386586795</v>
      </c>
      <c r="R53" s="86">
        <f t="shared" si="16"/>
        <v>425250.94856512552</v>
      </c>
    </row>
    <row r="54" spans="1:21">
      <c r="A54" s="84" t="s">
        <v>156</v>
      </c>
      <c r="B54" s="87">
        <f>B42+B43+B44</f>
        <v>1708.3452051168103</v>
      </c>
      <c r="C54" s="87">
        <f t="shared" ref="C54:Q54" si="18">C42+C43+C44</f>
        <v>1707.2029465285227</v>
      </c>
      <c r="D54" s="87">
        <f t="shared" si="18"/>
        <v>1706.9682181465262</v>
      </c>
      <c r="E54" s="87">
        <f t="shared" si="18"/>
        <v>1705.6317646839082</v>
      </c>
      <c r="F54" s="87">
        <f t="shared" si="18"/>
        <v>1704.3834100885213</v>
      </c>
      <c r="G54" s="87">
        <f t="shared" si="18"/>
        <v>1702.1319658470711</v>
      </c>
      <c r="H54" s="87">
        <f t="shared" si="18"/>
        <v>1704.8771301513802</v>
      </c>
      <c r="I54" s="87">
        <f t="shared" si="18"/>
        <v>1696.7185770156927</v>
      </c>
      <c r="J54" s="87">
        <f t="shared" si="18"/>
        <v>1700.7826210096555</v>
      </c>
      <c r="K54" s="87">
        <f t="shared" si="18"/>
        <v>1700.5412707272101</v>
      </c>
      <c r="L54" s="87">
        <f t="shared" si="18"/>
        <v>1699.2960533868663</v>
      </c>
      <c r="M54" s="87">
        <f t="shared" si="18"/>
        <v>1695.0807820474283</v>
      </c>
      <c r="N54" s="87">
        <f t="shared" si="18"/>
        <v>1693.8635996210762</v>
      </c>
      <c r="O54" s="87">
        <f t="shared" si="18"/>
        <v>1692.6503902973229</v>
      </c>
      <c r="P54" s="87">
        <f t="shared" si="18"/>
        <v>1692.4483333161593</v>
      </c>
      <c r="Q54" s="87">
        <f t="shared" si="18"/>
        <v>1691.2495823147692</v>
      </c>
      <c r="R54" s="86">
        <f t="shared" si="16"/>
        <v>20374.023715823154</v>
      </c>
    </row>
    <row r="55" spans="1:21">
      <c r="A55" s="84" t="s">
        <v>189</v>
      </c>
      <c r="B55" s="87">
        <f>B45+B49</f>
        <v>22</v>
      </c>
      <c r="C55" s="87">
        <f t="shared" ref="C55:Q55" si="19">C45+C49</f>
        <v>22</v>
      </c>
      <c r="D55" s="87">
        <f t="shared" si="19"/>
        <v>22</v>
      </c>
      <c r="E55" s="87">
        <f t="shared" si="19"/>
        <v>22</v>
      </c>
      <c r="F55" s="87">
        <f t="shared" si="19"/>
        <v>22</v>
      </c>
      <c r="G55" s="87">
        <f t="shared" si="19"/>
        <v>22</v>
      </c>
      <c r="H55" s="87">
        <f t="shared" si="19"/>
        <v>22</v>
      </c>
      <c r="I55" s="87">
        <f t="shared" si="19"/>
        <v>22</v>
      </c>
      <c r="J55" s="87">
        <f t="shared" si="19"/>
        <v>22</v>
      </c>
      <c r="K55" s="87">
        <f t="shared" si="19"/>
        <v>22</v>
      </c>
      <c r="L55" s="87">
        <f t="shared" si="19"/>
        <v>22</v>
      </c>
      <c r="M55" s="87">
        <f t="shared" si="19"/>
        <v>22</v>
      </c>
      <c r="N55" s="87">
        <f t="shared" si="19"/>
        <v>22</v>
      </c>
      <c r="O55" s="87">
        <f t="shared" si="19"/>
        <v>22</v>
      </c>
      <c r="P55" s="87">
        <f t="shared" si="19"/>
        <v>22</v>
      </c>
      <c r="Q55" s="87">
        <f t="shared" si="19"/>
        <v>22</v>
      </c>
      <c r="R55" s="86">
        <f t="shared" si="16"/>
        <v>264</v>
      </c>
    </row>
    <row r="56" spans="1:21">
      <c r="A56" s="84" t="s">
        <v>49</v>
      </c>
      <c r="B56" s="87">
        <f t="shared" ref="B56:Q56" si="20">B46+B47</f>
        <v>2524.0737168932101</v>
      </c>
      <c r="C56" s="87">
        <f t="shared" si="20"/>
        <v>2521.6090311204161</v>
      </c>
      <c r="D56" s="87">
        <f t="shared" si="20"/>
        <v>2526.2008133877462</v>
      </c>
      <c r="E56" s="87">
        <f t="shared" si="20"/>
        <v>2513.867303627062</v>
      </c>
      <c r="F56" s="87">
        <f t="shared" si="20"/>
        <v>2523.7680534719311</v>
      </c>
      <c r="G56" s="87">
        <f t="shared" si="20"/>
        <v>2522.2201688993955</v>
      </c>
      <c r="H56" s="87">
        <f t="shared" si="20"/>
        <v>2530.6825314252214</v>
      </c>
      <c r="I56" s="87">
        <f t="shared" si="20"/>
        <v>2521.4664960654172</v>
      </c>
      <c r="J56" s="87">
        <f t="shared" si="20"/>
        <v>2521.6921057945474</v>
      </c>
      <c r="K56" s="87">
        <f t="shared" si="20"/>
        <v>2524.1694155422374</v>
      </c>
      <c r="L56" s="87">
        <f t="shared" si="20"/>
        <v>2515.3586848560572</v>
      </c>
      <c r="M56" s="87">
        <f t="shared" si="20"/>
        <v>2530.7431643974182</v>
      </c>
      <c r="N56" s="87">
        <f t="shared" si="20"/>
        <v>2523.6632364047246</v>
      </c>
      <c r="O56" s="87">
        <f t="shared" si="20"/>
        <v>2519.6560633509835</v>
      </c>
      <c r="P56" s="87">
        <f t="shared" si="20"/>
        <v>2532.3160965750671</v>
      </c>
      <c r="Q56" s="87">
        <f t="shared" si="20"/>
        <v>2522.6510892665647</v>
      </c>
      <c r="R56" s="86">
        <f t="shared" si="16"/>
        <v>30288.387106049569</v>
      </c>
    </row>
    <row r="57" spans="1:21">
      <c r="A57" s="84" t="s">
        <v>48</v>
      </c>
      <c r="B57" s="87">
        <f t="shared" ref="B57:Q57" si="21">B48</f>
        <v>498.30000000000007</v>
      </c>
      <c r="C57" s="87">
        <f t="shared" si="21"/>
        <v>499.40000000000009</v>
      </c>
      <c r="D57" s="87">
        <f t="shared" si="21"/>
        <v>500.50000000000011</v>
      </c>
      <c r="E57" s="87">
        <f t="shared" si="21"/>
        <v>501.60000000000014</v>
      </c>
      <c r="F57" s="87">
        <f t="shared" si="21"/>
        <v>502.70000000000016</v>
      </c>
      <c r="G57" s="87">
        <f t="shared" si="21"/>
        <v>503.80000000000018</v>
      </c>
      <c r="H57" s="87">
        <f t="shared" si="21"/>
        <v>504.9000000000002</v>
      </c>
      <c r="I57" s="87">
        <f t="shared" si="21"/>
        <v>506.00000000000023</v>
      </c>
      <c r="J57" s="87">
        <f t="shared" si="21"/>
        <v>507.10000000000025</v>
      </c>
      <c r="K57" s="87">
        <f t="shared" si="21"/>
        <v>508.20000000000027</v>
      </c>
      <c r="L57" s="87">
        <f t="shared" si="21"/>
        <v>509.3000000000003</v>
      </c>
      <c r="M57" s="87">
        <f t="shared" si="21"/>
        <v>510.40000000000032</v>
      </c>
      <c r="N57" s="87">
        <f t="shared" si="21"/>
        <v>511.50000000000034</v>
      </c>
      <c r="O57" s="87">
        <f t="shared" si="21"/>
        <v>512.60000000000036</v>
      </c>
      <c r="P57" s="87">
        <f t="shared" si="21"/>
        <v>513.70000000000039</v>
      </c>
      <c r="Q57" s="87">
        <f t="shared" si="21"/>
        <v>514.80000000000041</v>
      </c>
      <c r="R57" s="86">
        <f t="shared" si="16"/>
        <v>6105.0000000000027</v>
      </c>
    </row>
    <row r="58" spans="1:21">
      <c r="A58" s="84" t="s">
        <v>0</v>
      </c>
      <c r="B58" s="86">
        <f t="shared" ref="B58:R58" si="22">SUM(B52:B57)</f>
        <v>267999.56615968421</v>
      </c>
      <c r="C58" s="86">
        <f t="shared" si="22"/>
        <v>267910.08672378416</v>
      </c>
      <c r="D58" s="86">
        <f t="shared" si="22"/>
        <v>268214.75096074719</v>
      </c>
      <c r="E58" s="86">
        <f t="shared" si="22"/>
        <v>268073.18037961877</v>
      </c>
      <c r="F58" s="86">
        <f t="shared" si="22"/>
        <v>268668.8154298045</v>
      </c>
      <c r="G58" s="86">
        <f t="shared" si="22"/>
        <v>269041.99736510433</v>
      </c>
      <c r="H58" s="86">
        <f t="shared" si="22"/>
        <v>269479.1847199903</v>
      </c>
      <c r="I58" s="86">
        <f t="shared" si="22"/>
        <v>269167.81626011676</v>
      </c>
      <c r="J58" s="86">
        <f t="shared" si="22"/>
        <v>270067.22858494689</v>
      </c>
      <c r="K58" s="86">
        <f t="shared" si="22"/>
        <v>270433.463223878</v>
      </c>
      <c r="L58" s="86">
        <f t="shared" si="22"/>
        <v>270254.22873844107</v>
      </c>
      <c r="M58" s="86">
        <f t="shared" si="22"/>
        <v>270282.44964361144</v>
      </c>
      <c r="N58" s="86">
        <f t="shared" si="22"/>
        <v>270578.18181675347</v>
      </c>
      <c r="O58" s="86">
        <f t="shared" si="22"/>
        <v>270354.98282626044</v>
      </c>
      <c r="P58" s="86">
        <f t="shared" si="22"/>
        <v>270593.45965015539</v>
      </c>
      <c r="Q58" s="86">
        <f t="shared" si="22"/>
        <v>270501.59763956349</v>
      </c>
      <c r="R58" s="86">
        <f t="shared" si="22"/>
        <v>3239423.405898626</v>
      </c>
    </row>
    <row r="59" spans="1:21">
      <c r="R59" s="86">
        <f>SUM(F59:Q59)</f>
        <v>0</v>
      </c>
    </row>
    <row r="60" spans="1:21">
      <c r="A60" s="84" t="s">
        <v>110</v>
      </c>
      <c r="B60" s="86">
        <f t="shared" ref="B60:Q60" si="23">SUM(B37:B49)-SUM(B52:B57)</f>
        <v>0</v>
      </c>
      <c r="C60" s="86">
        <f t="shared" si="23"/>
        <v>0</v>
      </c>
      <c r="D60" s="86">
        <f t="shared" si="23"/>
        <v>0</v>
      </c>
      <c r="E60" s="86">
        <f t="shared" si="23"/>
        <v>0</v>
      </c>
      <c r="F60" s="86">
        <f t="shared" si="23"/>
        <v>0</v>
      </c>
      <c r="G60" s="86">
        <f t="shared" si="23"/>
        <v>0</v>
      </c>
      <c r="H60" s="86">
        <f t="shared" si="23"/>
        <v>0</v>
      </c>
      <c r="I60" s="86">
        <f t="shared" si="23"/>
        <v>0</v>
      </c>
      <c r="J60" s="86">
        <f t="shared" si="23"/>
        <v>0</v>
      </c>
      <c r="K60" s="86">
        <f t="shared" si="23"/>
        <v>0</v>
      </c>
      <c r="L60" s="86">
        <f t="shared" si="23"/>
        <v>0</v>
      </c>
      <c r="M60" s="86">
        <f t="shared" si="23"/>
        <v>0</v>
      </c>
      <c r="N60" s="86">
        <f t="shared" si="23"/>
        <v>0</v>
      </c>
      <c r="O60" s="86">
        <f t="shared" si="23"/>
        <v>0</v>
      </c>
      <c r="P60" s="86">
        <f t="shared" si="23"/>
        <v>0</v>
      </c>
      <c r="Q60" s="86">
        <f t="shared" si="23"/>
        <v>0</v>
      </c>
      <c r="R60" s="86">
        <f>SUM(F60:Q60)</f>
        <v>0</v>
      </c>
    </row>
    <row r="62" spans="1:21"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</row>
    <row r="63" spans="1:21"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</row>
    <row r="64" spans="1:21"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</row>
    <row r="65" spans="2:17"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</row>
    <row r="66" spans="2:17"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</row>
    <row r="67" spans="2:17"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</row>
    <row r="68" spans="2:17"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</row>
    <row r="69" spans="2:17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</row>
    <row r="70" spans="2:17"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</row>
    <row r="71" spans="2:17"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</row>
    <row r="72" spans="2:17"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</row>
    <row r="73" spans="2:17"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</row>
    <row r="74" spans="2:17"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</row>
    <row r="75" spans="2:17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</row>
    <row r="76" spans="2:17"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</row>
    <row r="77" spans="2:17"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</row>
    <row r="78" spans="2:17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</row>
    <row r="79" spans="2:17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</row>
    <row r="80" spans="2:17"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</row>
    <row r="81" spans="2:17"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</row>
    <row r="82" spans="2:17"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</row>
    <row r="83" spans="2:17"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</row>
    <row r="84" spans="2:17"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</row>
    <row r="85" spans="2:17"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</row>
    <row r="86" spans="2:17"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</row>
    <row r="87" spans="2:17"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</row>
    <row r="88" spans="2:17"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</row>
    <row r="89" spans="2:17"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</row>
    <row r="90" spans="2:17"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</row>
    <row r="91" spans="2:17"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</row>
    <row r="92" spans="2:17"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</row>
    <row r="93" spans="2:17"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</row>
    <row r="94" spans="2:17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</row>
    <row r="95" spans="2:17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</row>
    <row r="96" spans="2:17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</row>
    <row r="98" spans="2:17"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</row>
    <row r="99" spans="2:17"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</row>
    <row r="100" spans="2:17"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</row>
    <row r="101" spans="2:17"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</row>
    <row r="102" spans="2:17"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</row>
    <row r="103" spans="2:17"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</row>
    <row r="104" spans="2:17"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</row>
    <row r="105" spans="2:17"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</row>
    <row r="106" spans="2:17"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>
      <selection activeCell="C11" sqref="C11"/>
    </sheetView>
  </sheetViews>
  <sheetFormatPr defaultRowHeight="15"/>
  <cols>
    <col min="1" max="1" width="30.85546875" style="91" customWidth="1"/>
    <col min="2" max="2" width="9.140625" style="91" customWidth="1"/>
    <col min="3" max="3" width="9.7109375" style="91" customWidth="1"/>
    <col min="4" max="4" width="15.140625" style="91" customWidth="1"/>
    <col min="5" max="5" width="11.85546875" style="91" bestFit="1" customWidth="1"/>
    <col min="6" max="8" width="9.140625" style="91"/>
    <col min="9" max="9" width="9.42578125" style="91" customWidth="1"/>
    <col min="10" max="255" width="9.140625" style="91"/>
    <col min="256" max="256" width="30.85546875" style="91" customWidth="1"/>
    <col min="257" max="257" width="9.140625" style="91" customWidth="1"/>
    <col min="258" max="258" width="9.7109375" style="91" customWidth="1"/>
    <col min="259" max="259" width="15.140625" style="91" customWidth="1"/>
    <col min="260" max="260" width="12" style="91" customWidth="1"/>
    <col min="261" max="264" width="9.140625" style="91"/>
    <col min="265" max="265" width="9.42578125" style="91" customWidth="1"/>
    <col min="266" max="511" width="9.140625" style="91"/>
    <col min="512" max="512" width="30.85546875" style="91" customWidth="1"/>
    <col min="513" max="513" width="9.140625" style="91" customWidth="1"/>
    <col min="514" max="514" width="9.7109375" style="91" customWidth="1"/>
    <col min="515" max="515" width="15.140625" style="91" customWidth="1"/>
    <col min="516" max="516" width="12" style="91" customWidth="1"/>
    <col min="517" max="520" width="9.140625" style="91"/>
    <col min="521" max="521" width="9.42578125" style="91" customWidth="1"/>
    <col min="522" max="767" width="9.140625" style="91"/>
    <col min="768" max="768" width="30.85546875" style="91" customWidth="1"/>
    <col min="769" max="769" width="9.140625" style="91" customWidth="1"/>
    <col min="770" max="770" width="9.7109375" style="91" customWidth="1"/>
    <col min="771" max="771" width="15.140625" style="91" customWidth="1"/>
    <col min="772" max="772" width="12" style="91" customWidth="1"/>
    <col min="773" max="776" width="9.140625" style="91"/>
    <col min="777" max="777" width="9.42578125" style="91" customWidth="1"/>
    <col min="778" max="1023" width="9.140625" style="91"/>
    <col min="1024" max="1024" width="30.85546875" style="91" customWidth="1"/>
    <col min="1025" max="1025" width="9.140625" style="91" customWidth="1"/>
    <col min="1026" max="1026" width="9.7109375" style="91" customWidth="1"/>
    <col min="1027" max="1027" width="15.140625" style="91" customWidth="1"/>
    <col min="1028" max="1028" width="12" style="91" customWidth="1"/>
    <col min="1029" max="1032" width="9.140625" style="91"/>
    <col min="1033" max="1033" width="9.42578125" style="91" customWidth="1"/>
    <col min="1034" max="1279" width="9.140625" style="91"/>
    <col min="1280" max="1280" width="30.85546875" style="91" customWidth="1"/>
    <col min="1281" max="1281" width="9.140625" style="91" customWidth="1"/>
    <col min="1282" max="1282" width="9.7109375" style="91" customWidth="1"/>
    <col min="1283" max="1283" width="15.140625" style="91" customWidth="1"/>
    <col min="1284" max="1284" width="12" style="91" customWidth="1"/>
    <col min="1285" max="1288" width="9.140625" style="91"/>
    <col min="1289" max="1289" width="9.42578125" style="91" customWidth="1"/>
    <col min="1290" max="1535" width="9.140625" style="91"/>
    <col min="1536" max="1536" width="30.85546875" style="91" customWidth="1"/>
    <col min="1537" max="1537" width="9.140625" style="91" customWidth="1"/>
    <col min="1538" max="1538" width="9.7109375" style="91" customWidth="1"/>
    <col min="1539" max="1539" width="15.140625" style="91" customWidth="1"/>
    <col min="1540" max="1540" width="12" style="91" customWidth="1"/>
    <col min="1541" max="1544" width="9.140625" style="91"/>
    <col min="1545" max="1545" width="9.42578125" style="91" customWidth="1"/>
    <col min="1546" max="1791" width="9.140625" style="91"/>
    <col min="1792" max="1792" width="30.85546875" style="91" customWidth="1"/>
    <col min="1793" max="1793" width="9.140625" style="91" customWidth="1"/>
    <col min="1794" max="1794" width="9.7109375" style="91" customWidth="1"/>
    <col min="1795" max="1795" width="15.140625" style="91" customWidth="1"/>
    <col min="1796" max="1796" width="12" style="91" customWidth="1"/>
    <col min="1797" max="1800" width="9.140625" style="91"/>
    <col min="1801" max="1801" width="9.42578125" style="91" customWidth="1"/>
    <col min="1802" max="2047" width="9.140625" style="91"/>
    <col min="2048" max="2048" width="30.85546875" style="91" customWidth="1"/>
    <col min="2049" max="2049" width="9.140625" style="91" customWidth="1"/>
    <col min="2050" max="2050" width="9.7109375" style="91" customWidth="1"/>
    <col min="2051" max="2051" width="15.140625" style="91" customWidth="1"/>
    <col min="2052" max="2052" width="12" style="91" customWidth="1"/>
    <col min="2053" max="2056" width="9.140625" style="91"/>
    <col min="2057" max="2057" width="9.42578125" style="91" customWidth="1"/>
    <col min="2058" max="2303" width="9.140625" style="91"/>
    <col min="2304" max="2304" width="30.85546875" style="91" customWidth="1"/>
    <col min="2305" max="2305" width="9.140625" style="91" customWidth="1"/>
    <col min="2306" max="2306" width="9.7109375" style="91" customWidth="1"/>
    <col min="2307" max="2307" width="15.140625" style="91" customWidth="1"/>
    <col min="2308" max="2308" width="12" style="91" customWidth="1"/>
    <col min="2309" max="2312" width="9.140625" style="91"/>
    <col min="2313" max="2313" width="9.42578125" style="91" customWidth="1"/>
    <col min="2314" max="2559" width="9.140625" style="91"/>
    <col min="2560" max="2560" width="30.85546875" style="91" customWidth="1"/>
    <col min="2561" max="2561" width="9.140625" style="91" customWidth="1"/>
    <col min="2562" max="2562" width="9.7109375" style="91" customWidth="1"/>
    <col min="2563" max="2563" width="15.140625" style="91" customWidth="1"/>
    <col min="2564" max="2564" width="12" style="91" customWidth="1"/>
    <col min="2565" max="2568" width="9.140625" style="91"/>
    <col min="2569" max="2569" width="9.42578125" style="91" customWidth="1"/>
    <col min="2570" max="2815" width="9.140625" style="91"/>
    <col min="2816" max="2816" width="30.85546875" style="91" customWidth="1"/>
    <col min="2817" max="2817" width="9.140625" style="91" customWidth="1"/>
    <col min="2818" max="2818" width="9.7109375" style="91" customWidth="1"/>
    <col min="2819" max="2819" width="15.140625" style="91" customWidth="1"/>
    <col min="2820" max="2820" width="12" style="91" customWidth="1"/>
    <col min="2821" max="2824" width="9.140625" style="91"/>
    <col min="2825" max="2825" width="9.42578125" style="91" customWidth="1"/>
    <col min="2826" max="3071" width="9.140625" style="91"/>
    <col min="3072" max="3072" width="30.85546875" style="91" customWidth="1"/>
    <col min="3073" max="3073" width="9.140625" style="91" customWidth="1"/>
    <col min="3074" max="3074" width="9.7109375" style="91" customWidth="1"/>
    <col min="3075" max="3075" width="15.140625" style="91" customWidth="1"/>
    <col min="3076" max="3076" width="12" style="91" customWidth="1"/>
    <col min="3077" max="3080" width="9.140625" style="91"/>
    <col min="3081" max="3081" width="9.42578125" style="91" customWidth="1"/>
    <col min="3082" max="3327" width="9.140625" style="91"/>
    <col min="3328" max="3328" width="30.85546875" style="91" customWidth="1"/>
    <col min="3329" max="3329" width="9.140625" style="91" customWidth="1"/>
    <col min="3330" max="3330" width="9.7109375" style="91" customWidth="1"/>
    <col min="3331" max="3331" width="15.140625" style="91" customWidth="1"/>
    <col min="3332" max="3332" width="12" style="91" customWidth="1"/>
    <col min="3333" max="3336" width="9.140625" style="91"/>
    <col min="3337" max="3337" width="9.42578125" style="91" customWidth="1"/>
    <col min="3338" max="3583" width="9.140625" style="91"/>
    <col min="3584" max="3584" width="30.85546875" style="91" customWidth="1"/>
    <col min="3585" max="3585" width="9.140625" style="91" customWidth="1"/>
    <col min="3586" max="3586" width="9.7109375" style="91" customWidth="1"/>
    <col min="3587" max="3587" width="15.140625" style="91" customWidth="1"/>
    <col min="3588" max="3588" width="12" style="91" customWidth="1"/>
    <col min="3589" max="3592" width="9.140625" style="91"/>
    <col min="3593" max="3593" width="9.42578125" style="91" customWidth="1"/>
    <col min="3594" max="3839" width="9.140625" style="91"/>
    <col min="3840" max="3840" width="30.85546875" style="91" customWidth="1"/>
    <col min="3841" max="3841" width="9.140625" style="91" customWidth="1"/>
    <col min="3842" max="3842" width="9.7109375" style="91" customWidth="1"/>
    <col min="3843" max="3843" width="15.140625" style="91" customWidth="1"/>
    <col min="3844" max="3844" width="12" style="91" customWidth="1"/>
    <col min="3845" max="3848" width="9.140625" style="91"/>
    <col min="3849" max="3849" width="9.42578125" style="91" customWidth="1"/>
    <col min="3850" max="4095" width="9.140625" style="91"/>
    <col min="4096" max="4096" width="30.85546875" style="91" customWidth="1"/>
    <col min="4097" max="4097" width="9.140625" style="91" customWidth="1"/>
    <col min="4098" max="4098" width="9.7109375" style="91" customWidth="1"/>
    <col min="4099" max="4099" width="15.140625" style="91" customWidth="1"/>
    <col min="4100" max="4100" width="12" style="91" customWidth="1"/>
    <col min="4101" max="4104" width="9.140625" style="91"/>
    <col min="4105" max="4105" width="9.42578125" style="91" customWidth="1"/>
    <col min="4106" max="4351" width="9.140625" style="91"/>
    <col min="4352" max="4352" width="30.85546875" style="91" customWidth="1"/>
    <col min="4353" max="4353" width="9.140625" style="91" customWidth="1"/>
    <col min="4354" max="4354" width="9.7109375" style="91" customWidth="1"/>
    <col min="4355" max="4355" width="15.140625" style="91" customWidth="1"/>
    <col min="4356" max="4356" width="12" style="91" customWidth="1"/>
    <col min="4357" max="4360" width="9.140625" style="91"/>
    <col min="4361" max="4361" width="9.42578125" style="91" customWidth="1"/>
    <col min="4362" max="4607" width="9.140625" style="91"/>
    <col min="4608" max="4608" width="30.85546875" style="91" customWidth="1"/>
    <col min="4609" max="4609" width="9.140625" style="91" customWidth="1"/>
    <col min="4610" max="4610" width="9.7109375" style="91" customWidth="1"/>
    <col min="4611" max="4611" width="15.140625" style="91" customWidth="1"/>
    <col min="4612" max="4612" width="12" style="91" customWidth="1"/>
    <col min="4613" max="4616" width="9.140625" style="91"/>
    <col min="4617" max="4617" width="9.42578125" style="91" customWidth="1"/>
    <col min="4618" max="4863" width="9.140625" style="91"/>
    <col min="4864" max="4864" width="30.85546875" style="91" customWidth="1"/>
    <col min="4865" max="4865" width="9.140625" style="91" customWidth="1"/>
    <col min="4866" max="4866" width="9.7109375" style="91" customWidth="1"/>
    <col min="4867" max="4867" width="15.140625" style="91" customWidth="1"/>
    <col min="4868" max="4868" width="12" style="91" customWidth="1"/>
    <col min="4869" max="4872" width="9.140625" style="91"/>
    <col min="4873" max="4873" width="9.42578125" style="91" customWidth="1"/>
    <col min="4874" max="5119" width="9.140625" style="91"/>
    <col min="5120" max="5120" width="30.85546875" style="91" customWidth="1"/>
    <col min="5121" max="5121" width="9.140625" style="91" customWidth="1"/>
    <col min="5122" max="5122" width="9.7109375" style="91" customWidth="1"/>
    <col min="5123" max="5123" width="15.140625" style="91" customWidth="1"/>
    <col min="5124" max="5124" width="12" style="91" customWidth="1"/>
    <col min="5125" max="5128" width="9.140625" style="91"/>
    <col min="5129" max="5129" width="9.42578125" style="91" customWidth="1"/>
    <col min="5130" max="5375" width="9.140625" style="91"/>
    <col min="5376" max="5376" width="30.85546875" style="91" customWidth="1"/>
    <col min="5377" max="5377" width="9.140625" style="91" customWidth="1"/>
    <col min="5378" max="5378" width="9.7109375" style="91" customWidth="1"/>
    <col min="5379" max="5379" width="15.140625" style="91" customWidth="1"/>
    <col min="5380" max="5380" width="12" style="91" customWidth="1"/>
    <col min="5381" max="5384" width="9.140625" style="91"/>
    <col min="5385" max="5385" width="9.42578125" style="91" customWidth="1"/>
    <col min="5386" max="5631" width="9.140625" style="91"/>
    <col min="5632" max="5632" width="30.85546875" style="91" customWidth="1"/>
    <col min="5633" max="5633" width="9.140625" style="91" customWidth="1"/>
    <col min="5634" max="5634" width="9.7109375" style="91" customWidth="1"/>
    <col min="5635" max="5635" width="15.140625" style="91" customWidth="1"/>
    <col min="5636" max="5636" width="12" style="91" customWidth="1"/>
    <col min="5637" max="5640" width="9.140625" style="91"/>
    <col min="5641" max="5641" width="9.42578125" style="91" customWidth="1"/>
    <col min="5642" max="5887" width="9.140625" style="91"/>
    <col min="5888" max="5888" width="30.85546875" style="91" customWidth="1"/>
    <col min="5889" max="5889" width="9.140625" style="91" customWidth="1"/>
    <col min="5890" max="5890" width="9.7109375" style="91" customWidth="1"/>
    <col min="5891" max="5891" width="15.140625" style="91" customWidth="1"/>
    <col min="5892" max="5892" width="12" style="91" customWidth="1"/>
    <col min="5893" max="5896" width="9.140625" style="91"/>
    <col min="5897" max="5897" width="9.42578125" style="91" customWidth="1"/>
    <col min="5898" max="6143" width="9.140625" style="91"/>
    <col min="6144" max="6144" width="30.85546875" style="91" customWidth="1"/>
    <col min="6145" max="6145" width="9.140625" style="91" customWidth="1"/>
    <col min="6146" max="6146" width="9.7109375" style="91" customWidth="1"/>
    <col min="6147" max="6147" width="15.140625" style="91" customWidth="1"/>
    <col min="6148" max="6148" width="12" style="91" customWidth="1"/>
    <col min="6149" max="6152" width="9.140625" style="91"/>
    <col min="6153" max="6153" width="9.42578125" style="91" customWidth="1"/>
    <col min="6154" max="6399" width="9.140625" style="91"/>
    <col min="6400" max="6400" width="30.85546875" style="91" customWidth="1"/>
    <col min="6401" max="6401" width="9.140625" style="91" customWidth="1"/>
    <col min="6402" max="6402" width="9.7109375" style="91" customWidth="1"/>
    <col min="6403" max="6403" width="15.140625" style="91" customWidth="1"/>
    <col min="6404" max="6404" width="12" style="91" customWidth="1"/>
    <col min="6405" max="6408" width="9.140625" style="91"/>
    <col min="6409" max="6409" width="9.42578125" style="91" customWidth="1"/>
    <col min="6410" max="6655" width="9.140625" style="91"/>
    <col min="6656" max="6656" width="30.85546875" style="91" customWidth="1"/>
    <col min="6657" max="6657" width="9.140625" style="91" customWidth="1"/>
    <col min="6658" max="6658" width="9.7109375" style="91" customWidth="1"/>
    <col min="6659" max="6659" width="15.140625" style="91" customWidth="1"/>
    <col min="6660" max="6660" width="12" style="91" customWidth="1"/>
    <col min="6661" max="6664" width="9.140625" style="91"/>
    <col min="6665" max="6665" width="9.42578125" style="91" customWidth="1"/>
    <col min="6666" max="6911" width="9.140625" style="91"/>
    <col min="6912" max="6912" width="30.85546875" style="91" customWidth="1"/>
    <col min="6913" max="6913" width="9.140625" style="91" customWidth="1"/>
    <col min="6914" max="6914" width="9.7109375" style="91" customWidth="1"/>
    <col min="6915" max="6915" width="15.140625" style="91" customWidth="1"/>
    <col min="6916" max="6916" width="12" style="91" customWidth="1"/>
    <col min="6917" max="6920" width="9.140625" style="91"/>
    <col min="6921" max="6921" width="9.42578125" style="91" customWidth="1"/>
    <col min="6922" max="7167" width="9.140625" style="91"/>
    <col min="7168" max="7168" width="30.85546875" style="91" customWidth="1"/>
    <col min="7169" max="7169" width="9.140625" style="91" customWidth="1"/>
    <col min="7170" max="7170" width="9.7109375" style="91" customWidth="1"/>
    <col min="7171" max="7171" width="15.140625" style="91" customWidth="1"/>
    <col min="7172" max="7172" width="12" style="91" customWidth="1"/>
    <col min="7173" max="7176" width="9.140625" style="91"/>
    <col min="7177" max="7177" width="9.42578125" style="91" customWidth="1"/>
    <col min="7178" max="7423" width="9.140625" style="91"/>
    <col min="7424" max="7424" width="30.85546875" style="91" customWidth="1"/>
    <col min="7425" max="7425" width="9.140625" style="91" customWidth="1"/>
    <col min="7426" max="7426" width="9.7109375" style="91" customWidth="1"/>
    <col min="7427" max="7427" width="15.140625" style="91" customWidth="1"/>
    <col min="7428" max="7428" width="12" style="91" customWidth="1"/>
    <col min="7429" max="7432" width="9.140625" style="91"/>
    <col min="7433" max="7433" width="9.42578125" style="91" customWidth="1"/>
    <col min="7434" max="7679" width="9.140625" style="91"/>
    <col min="7680" max="7680" width="30.85546875" style="91" customWidth="1"/>
    <col min="7681" max="7681" width="9.140625" style="91" customWidth="1"/>
    <col min="7682" max="7682" width="9.7109375" style="91" customWidth="1"/>
    <col min="7683" max="7683" width="15.140625" style="91" customWidth="1"/>
    <col min="7684" max="7684" width="12" style="91" customWidth="1"/>
    <col min="7685" max="7688" width="9.140625" style="91"/>
    <col min="7689" max="7689" width="9.42578125" style="91" customWidth="1"/>
    <col min="7690" max="7935" width="9.140625" style="91"/>
    <col min="7936" max="7936" width="30.85546875" style="91" customWidth="1"/>
    <col min="7937" max="7937" width="9.140625" style="91" customWidth="1"/>
    <col min="7938" max="7938" width="9.7109375" style="91" customWidth="1"/>
    <col min="7939" max="7939" width="15.140625" style="91" customWidth="1"/>
    <col min="7940" max="7940" width="12" style="91" customWidth="1"/>
    <col min="7941" max="7944" width="9.140625" style="91"/>
    <col min="7945" max="7945" width="9.42578125" style="91" customWidth="1"/>
    <col min="7946" max="8191" width="9.140625" style="91"/>
    <col min="8192" max="8192" width="30.85546875" style="91" customWidth="1"/>
    <col min="8193" max="8193" width="9.140625" style="91" customWidth="1"/>
    <col min="8194" max="8194" width="9.7109375" style="91" customWidth="1"/>
    <col min="8195" max="8195" width="15.140625" style="91" customWidth="1"/>
    <col min="8196" max="8196" width="12" style="91" customWidth="1"/>
    <col min="8197" max="8200" width="9.140625" style="91"/>
    <col min="8201" max="8201" width="9.42578125" style="91" customWidth="1"/>
    <col min="8202" max="8447" width="9.140625" style="91"/>
    <col min="8448" max="8448" width="30.85546875" style="91" customWidth="1"/>
    <col min="8449" max="8449" width="9.140625" style="91" customWidth="1"/>
    <col min="8450" max="8450" width="9.7109375" style="91" customWidth="1"/>
    <col min="8451" max="8451" width="15.140625" style="91" customWidth="1"/>
    <col min="8452" max="8452" width="12" style="91" customWidth="1"/>
    <col min="8453" max="8456" width="9.140625" style="91"/>
    <col min="8457" max="8457" width="9.42578125" style="91" customWidth="1"/>
    <col min="8458" max="8703" width="9.140625" style="91"/>
    <col min="8704" max="8704" width="30.85546875" style="91" customWidth="1"/>
    <col min="8705" max="8705" width="9.140625" style="91" customWidth="1"/>
    <col min="8706" max="8706" width="9.7109375" style="91" customWidth="1"/>
    <col min="8707" max="8707" width="15.140625" style="91" customWidth="1"/>
    <col min="8708" max="8708" width="12" style="91" customWidth="1"/>
    <col min="8709" max="8712" width="9.140625" style="91"/>
    <col min="8713" max="8713" width="9.42578125" style="91" customWidth="1"/>
    <col min="8714" max="8959" width="9.140625" style="91"/>
    <col min="8960" max="8960" width="30.85546875" style="91" customWidth="1"/>
    <col min="8961" max="8961" width="9.140625" style="91" customWidth="1"/>
    <col min="8962" max="8962" width="9.7109375" style="91" customWidth="1"/>
    <col min="8963" max="8963" width="15.140625" style="91" customWidth="1"/>
    <col min="8964" max="8964" width="12" style="91" customWidth="1"/>
    <col min="8965" max="8968" width="9.140625" style="91"/>
    <col min="8969" max="8969" width="9.42578125" style="91" customWidth="1"/>
    <col min="8970" max="9215" width="9.140625" style="91"/>
    <col min="9216" max="9216" width="30.85546875" style="91" customWidth="1"/>
    <col min="9217" max="9217" width="9.140625" style="91" customWidth="1"/>
    <col min="9218" max="9218" width="9.7109375" style="91" customWidth="1"/>
    <col min="9219" max="9219" width="15.140625" style="91" customWidth="1"/>
    <col min="9220" max="9220" width="12" style="91" customWidth="1"/>
    <col min="9221" max="9224" width="9.140625" style="91"/>
    <col min="9225" max="9225" width="9.42578125" style="91" customWidth="1"/>
    <col min="9226" max="9471" width="9.140625" style="91"/>
    <col min="9472" max="9472" width="30.85546875" style="91" customWidth="1"/>
    <col min="9473" max="9473" width="9.140625" style="91" customWidth="1"/>
    <col min="9474" max="9474" width="9.7109375" style="91" customWidth="1"/>
    <col min="9475" max="9475" width="15.140625" style="91" customWidth="1"/>
    <col min="9476" max="9476" width="12" style="91" customWidth="1"/>
    <col min="9477" max="9480" width="9.140625" style="91"/>
    <col min="9481" max="9481" width="9.42578125" style="91" customWidth="1"/>
    <col min="9482" max="9727" width="9.140625" style="91"/>
    <col min="9728" max="9728" width="30.85546875" style="91" customWidth="1"/>
    <col min="9729" max="9729" width="9.140625" style="91" customWidth="1"/>
    <col min="9730" max="9730" width="9.7109375" style="91" customWidth="1"/>
    <col min="9731" max="9731" width="15.140625" style="91" customWidth="1"/>
    <col min="9732" max="9732" width="12" style="91" customWidth="1"/>
    <col min="9733" max="9736" width="9.140625" style="91"/>
    <col min="9737" max="9737" width="9.42578125" style="91" customWidth="1"/>
    <col min="9738" max="9983" width="9.140625" style="91"/>
    <col min="9984" max="9984" width="30.85546875" style="91" customWidth="1"/>
    <col min="9985" max="9985" width="9.140625" style="91" customWidth="1"/>
    <col min="9986" max="9986" width="9.7109375" style="91" customWidth="1"/>
    <col min="9987" max="9987" width="15.140625" style="91" customWidth="1"/>
    <col min="9988" max="9988" width="12" style="91" customWidth="1"/>
    <col min="9989" max="9992" width="9.140625" style="91"/>
    <col min="9993" max="9993" width="9.42578125" style="91" customWidth="1"/>
    <col min="9994" max="10239" width="9.140625" style="91"/>
    <col min="10240" max="10240" width="30.85546875" style="91" customWidth="1"/>
    <col min="10241" max="10241" width="9.140625" style="91" customWidth="1"/>
    <col min="10242" max="10242" width="9.7109375" style="91" customWidth="1"/>
    <col min="10243" max="10243" width="15.140625" style="91" customWidth="1"/>
    <col min="10244" max="10244" width="12" style="91" customWidth="1"/>
    <col min="10245" max="10248" width="9.140625" style="91"/>
    <col min="10249" max="10249" width="9.42578125" style="91" customWidth="1"/>
    <col min="10250" max="10495" width="9.140625" style="91"/>
    <col min="10496" max="10496" width="30.85546875" style="91" customWidth="1"/>
    <col min="10497" max="10497" width="9.140625" style="91" customWidth="1"/>
    <col min="10498" max="10498" width="9.7109375" style="91" customWidth="1"/>
    <col min="10499" max="10499" width="15.140625" style="91" customWidth="1"/>
    <col min="10500" max="10500" width="12" style="91" customWidth="1"/>
    <col min="10501" max="10504" width="9.140625" style="91"/>
    <col min="10505" max="10505" width="9.42578125" style="91" customWidth="1"/>
    <col min="10506" max="10751" width="9.140625" style="91"/>
    <col min="10752" max="10752" width="30.85546875" style="91" customWidth="1"/>
    <col min="10753" max="10753" width="9.140625" style="91" customWidth="1"/>
    <col min="10754" max="10754" width="9.7109375" style="91" customWidth="1"/>
    <col min="10755" max="10755" width="15.140625" style="91" customWidth="1"/>
    <col min="10756" max="10756" width="12" style="91" customWidth="1"/>
    <col min="10757" max="10760" width="9.140625" style="91"/>
    <col min="10761" max="10761" width="9.42578125" style="91" customWidth="1"/>
    <col min="10762" max="11007" width="9.140625" style="91"/>
    <col min="11008" max="11008" width="30.85546875" style="91" customWidth="1"/>
    <col min="11009" max="11009" width="9.140625" style="91" customWidth="1"/>
    <col min="11010" max="11010" width="9.7109375" style="91" customWidth="1"/>
    <col min="11011" max="11011" width="15.140625" style="91" customWidth="1"/>
    <col min="11012" max="11012" width="12" style="91" customWidth="1"/>
    <col min="11013" max="11016" width="9.140625" style="91"/>
    <col min="11017" max="11017" width="9.42578125" style="91" customWidth="1"/>
    <col min="11018" max="11263" width="9.140625" style="91"/>
    <col min="11264" max="11264" width="30.85546875" style="91" customWidth="1"/>
    <col min="11265" max="11265" width="9.140625" style="91" customWidth="1"/>
    <col min="11266" max="11266" width="9.7109375" style="91" customWidth="1"/>
    <col min="11267" max="11267" width="15.140625" style="91" customWidth="1"/>
    <col min="11268" max="11268" width="12" style="91" customWidth="1"/>
    <col min="11269" max="11272" width="9.140625" style="91"/>
    <col min="11273" max="11273" width="9.42578125" style="91" customWidth="1"/>
    <col min="11274" max="11519" width="9.140625" style="91"/>
    <col min="11520" max="11520" width="30.85546875" style="91" customWidth="1"/>
    <col min="11521" max="11521" width="9.140625" style="91" customWidth="1"/>
    <col min="11522" max="11522" width="9.7109375" style="91" customWidth="1"/>
    <col min="11523" max="11523" width="15.140625" style="91" customWidth="1"/>
    <col min="11524" max="11524" width="12" style="91" customWidth="1"/>
    <col min="11525" max="11528" width="9.140625" style="91"/>
    <col min="11529" max="11529" width="9.42578125" style="91" customWidth="1"/>
    <col min="11530" max="11775" width="9.140625" style="91"/>
    <col min="11776" max="11776" width="30.85546875" style="91" customWidth="1"/>
    <col min="11777" max="11777" width="9.140625" style="91" customWidth="1"/>
    <col min="11778" max="11778" width="9.7109375" style="91" customWidth="1"/>
    <col min="11779" max="11779" width="15.140625" style="91" customWidth="1"/>
    <col min="11780" max="11780" width="12" style="91" customWidth="1"/>
    <col min="11781" max="11784" width="9.140625" style="91"/>
    <col min="11785" max="11785" width="9.42578125" style="91" customWidth="1"/>
    <col min="11786" max="12031" width="9.140625" style="91"/>
    <col min="12032" max="12032" width="30.85546875" style="91" customWidth="1"/>
    <col min="12033" max="12033" width="9.140625" style="91" customWidth="1"/>
    <col min="12034" max="12034" width="9.7109375" style="91" customWidth="1"/>
    <col min="12035" max="12035" width="15.140625" style="91" customWidth="1"/>
    <col min="12036" max="12036" width="12" style="91" customWidth="1"/>
    <col min="12037" max="12040" width="9.140625" style="91"/>
    <col min="12041" max="12041" width="9.42578125" style="91" customWidth="1"/>
    <col min="12042" max="12287" width="9.140625" style="91"/>
    <col min="12288" max="12288" width="30.85546875" style="91" customWidth="1"/>
    <col min="12289" max="12289" width="9.140625" style="91" customWidth="1"/>
    <col min="12290" max="12290" width="9.7109375" style="91" customWidth="1"/>
    <col min="12291" max="12291" width="15.140625" style="91" customWidth="1"/>
    <col min="12292" max="12292" width="12" style="91" customWidth="1"/>
    <col min="12293" max="12296" width="9.140625" style="91"/>
    <col min="12297" max="12297" width="9.42578125" style="91" customWidth="1"/>
    <col min="12298" max="12543" width="9.140625" style="91"/>
    <col min="12544" max="12544" width="30.85546875" style="91" customWidth="1"/>
    <col min="12545" max="12545" width="9.140625" style="91" customWidth="1"/>
    <col min="12546" max="12546" width="9.7109375" style="91" customWidth="1"/>
    <col min="12547" max="12547" width="15.140625" style="91" customWidth="1"/>
    <col min="12548" max="12548" width="12" style="91" customWidth="1"/>
    <col min="12549" max="12552" width="9.140625" style="91"/>
    <col min="12553" max="12553" width="9.42578125" style="91" customWidth="1"/>
    <col min="12554" max="12799" width="9.140625" style="91"/>
    <col min="12800" max="12800" width="30.85546875" style="91" customWidth="1"/>
    <col min="12801" max="12801" width="9.140625" style="91" customWidth="1"/>
    <col min="12802" max="12802" width="9.7109375" style="91" customWidth="1"/>
    <col min="12803" max="12803" width="15.140625" style="91" customWidth="1"/>
    <col min="12804" max="12804" width="12" style="91" customWidth="1"/>
    <col min="12805" max="12808" width="9.140625" style="91"/>
    <col min="12809" max="12809" width="9.42578125" style="91" customWidth="1"/>
    <col min="12810" max="13055" width="9.140625" style="91"/>
    <col min="13056" max="13056" width="30.85546875" style="91" customWidth="1"/>
    <col min="13057" max="13057" width="9.140625" style="91" customWidth="1"/>
    <col min="13058" max="13058" width="9.7109375" style="91" customWidth="1"/>
    <col min="13059" max="13059" width="15.140625" style="91" customWidth="1"/>
    <col min="13060" max="13060" width="12" style="91" customWidth="1"/>
    <col min="13061" max="13064" width="9.140625" style="91"/>
    <col min="13065" max="13065" width="9.42578125" style="91" customWidth="1"/>
    <col min="13066" max="13311" width="9.140625" style="91"/>
    <col min="13312" max="13312" width="30.85546875" style="91" customWidth="1"/>
    <col min="13313" max="13313" width="9.140625" style="91" customWidth="1"/>
    <col min="13314" max="13314" width="9.7109375" style="91" customWidth="1"/>
    <col min="13315" max="13315" width="15.140625" style="91" customWidth="1"/>
    <col min="13316" max="13316" width="12" style="91" customWidth="1"/>
    <col min="13317" max="13320" width="9.140625" style="91"/>
    <col min="13321" max="13321" width="9.42578125" style="91" customWidth="1"/>
    <col min="13322" max="13567" width="9.140625" style="91"/>
    <col min="13568" max="13568" width="30.85546875" style="91" customWidth="1"/>
    <col min="13569" max="13569" width="9.140625" style="91" customWidth="1"/>
    <col min="13570" max="13570" width="9.7109375" style="91" customWidth="1"/>
    <col min="13571" max="13571" width="15.140625" style="91" customWidth="1"/>
    <col min="13572" max="13572" width="12" style="91" customWidth="1"/>
    <col min="13573" max="13576" width="9.140625" style="91"/>
    <col min="13577" max="13577" width="9.42578125" style="91" customWidth="1"/>
    <col min="13578" max="13823" width="9.140625" style="91"/>
    <col min="13824" max="13824" width="30.85546875" style="91" customWidth="1"/>
    <col min="13825" max="13825" width="9.140625" style="91" customWidth="1"/>
    <col min="13826" max="13826" width="9.7109375" style="91" customWidth="1"/>
    <col min="13827" max="13827" width="15.140625" style="91" customWidth="1"/>
    <col min="13828" max="13828" width="12" style="91" customWidth="1"/>
    <col min="13829" max="13832" width="9.140625" style="91"/>
    <col min="13833" max="13833" width="9.42578125" style="91" customWidth="1"/>
    <col min="13834" max="14079" width="9.140625" style="91"/>
    <col min="14080" max="14080" width="30.85546875" style="91" customWidth="1"/>
    <col min="14081" max="14081" width="9.140625" style="91" customWidth="1"/>
    <col min="14082" max="14082" width="9.7109375" style="91" customWidth="1"/>
    <col min="14083" max="14083" width="15.140625" style="91" customWidth="1"/>
    <col min="14084" max="14084" width="12" style="91" customWidth="1"/>
    <col min="14085" max="14088" width="9.140625" style="91"/>
    <col min="14089" max="14089" width="9.42578125" style="91" customWidth="1"/>
    <col min="14090" max="14335" width="9.140625" style="91"/>
    <col min="14336" max="14336" width="30.85546875" style="91" customWidth="1"/>
    <col min="14337" max="14337" width="9.140625" style="91" customWidth="1"/>
    <col min="14338" max="14338" width="9.7109375" style="91" customWidth="1"/>
    <col min="14339" max="14339" width="15.140625" style="91" customWidth="1"/>
    <col min="14340" max="14340" width="12" style="91" customWidth="1"/>
    <col min="14341" max="14344" width="9.140625" style="91"/>
    <col min="14345" max="14345" width="9.42578125" style="91" customWidth="1"/>
    <col min="14346" max="14591" width="9.140625" style="91"/>
    <col min="14592" max="14592" width="30.85546875" style="91" customWidth="1"/>
    <col min="14593" max="14593" width="9.140625" style="91" customWidth="1"/>
    <col min="14594" max="14594" width="9.7109375" style="91" customWidth="1"/>
    <col min="14595" max="14595" width="15.140625" style="91" customWidth="1"/>
    <col min="14596" max="14596" width="12" style="91" customWidth="1"/>
    <col min="14597" max="14600" width="9.140625" style="91"/>
    <col min="14601" max="14601" width="9.42578125" style="91" customWidth="1"/>
    <col min="14602" max="14847" width="9.140625" style="91"/>
    <col min="14848" max="14848" width="30.85546875" style="91" customWidth="1"/>
    <col min="14849" max="14849" width="9.140625" style="91" customWidth="1"/>
    <col min="14850" max="14850" width="9.7109375" style="91" customWidth="1"/>
    <col min="14851" max="14851" width="15.140625" style="91" customWidth="1"/>
    <col min="14852" max="14852" width="12" style="91" customWidth="1"/>
    <col min="14853" max="14856" width="9.140625" style="91"/>
    <col min="14857" max="14857" width="9.42578125" style="91" customWidth="1"/>
    <col min="14858" max="15103" width="9.140625" style="91"/>
    <col min="15104" max="15104" width="30.85546875" style="91" customWidth="1"/>
    <col min="15105" max="15105" width="9.140625" style="91" customWidth="1"/>
    <col min="15106" max="15106" width="9.7109375" style="91" customWidth="1"/>
    <col min="15107" max="15107" width="15.140625" style="91" customWidth="1"/>
    <col min="15108" max="15108" width="12" style="91" customWidth="1"/>
    <col min="15109" max="15112" width="9.140625" style="91"/>
    <col min="15113" max="15113" width="9.42578125" style="91" customWidth="1"/>
    <col min="15114" max="15359" width="9.140625" style="91"/>
    <col min="15360" max="15360" width="30.85546875" style="91" customWidth="1"/>
    <col min="15361" max="15361" width="9.140625" style="91" customWidth="1"/>
    <col min="15362" max="15362" width="9.7109375" style="91" customWidth="1"/>
    <col min="15363" max="15363" width="15.140625" style="91" customWidth="1"/>
    <col min="15364" max="15364" width="12" style="91" customWidth="1"/>
    <col min="15365" max="15368" width="9.140625" style="91"/>
    <col min="15369" max="15369" width="9.42578125" style="91" customWidth="1"/>
    <col min="15370" max="15615" width="9.140625" style="91"/>
    <col min="15616" max="15616" width="30.85546875" style="91" customWidth="1"/>
    <col min="15617" max="15617" width="9.140625" style="91" customWidth="1"/>
    <col min="15618" max="15618" width="9.7109375" style="91" customWidth="1"/>
    <col min="15619" max="15619" width="15.140625" style="91" customWidth="1"/>
    <col min="15620" max="15620" width="12" style="91" customWidth="1"/>
    <col min="15621" max="15624" width="9.140625" style="91"/>
    <col min="15625" max="15625" width="9.42578125" style="91" customWidth="1"/>
    <col min="15626" max="15871" width="9.140625" style="91"/>
    <col min="15872" max="15872" width="30.85546875" style="91" customWidth="1"/>
    <col min="15873" max="15873" width="9.140625" style="91" customWidth="1"/>
    <col min="15874" max="15874" width="9.7109375" style="91" customWidth="1"/>
    <col min="15875" max="15875" width="15.140625" style="91" customWidth="1"/>
    <col min="15876" max="15876" width="12" style="91" customWidth="1"/>
    <col min="15877" max="15880" width="9.140625" style="91"/>
    <col min="15881" max="15881" width="9.42578125" style="91" customWidth="1"/>
    <col min="15882" max="16127" width="9.140625" style="91"/>
    <col min="16128" max="16128" width="30.85546875" style="91" customWidth="1"/>
    <col min="16129" max="16129" width="9.140625" style="91" customWidth="1"/>
    <col min="16130" max="16130" width="9.7109375" style="91" customWidth="1"/>
    <col min="16131" max="16131" width="15.140625" style="91" customWidth="1"/>
    <col min="16132" max="16132" width="12" style="91" customWidth="1"/>
    <col min="16133" max="16136" width="9.140625" style="91"/>
    <col min="16137" max="16137" width="9.42578125" style="91" customWidth="1"/>
    <col min="16138" max="16384" width="9.140625" style="91"/>
  </cols>
  <sheetData>
    <row r="1" spans="1:5" s="89" customFormat="1">
      <c r="A1" s="141" t="str">
        <f>[2]SharedInputs!B4</f>
        <v>AVISTA UTILITIES</v>
      </c>
      <c r="B1" s="141"/>
      <c r="C1" s="141"/>
      <c r="D1" s="141"/>
      <c r="E1" s="141"/>
    </row>
    <row r="2" spans="1:5" s="89" customFormat="1">
      <c r="A2" s="141" t="s">
        <v>104</v>
      </c>
      <c r="B2" s="141"/>
      <c r="C2" s="141"/>
      <c r="D2" s="141"/>
      <c r="E2" s="184"/>
    </row>
    <row r="3" spans="1:5" s="89" customFormat="1">
      <c r="A3" s="141" t="s">
        <v>182</v>
      </c>
      <c r="B3" s="141"/>
      <c r="C3" s="141"/>
      <c r="D3" s="141"/>
      <c r="E3" s="185"/>
    </row>
    <row r="4" spans="1:5" s="89" customFormat="1">
      <c r="A4" s="141"/>
      <c r="B4" s="141"/>
      <c r="C4" s="141"/>
      <c r="D4" s="141"/>
      <c r="E4" s="185"/>
    </row>
    <row r="5" spans="1:5" s="89" customFormat="1">
      <c r="A5" s="141"/>
      <c r="B5" s="141"/>
      <c r="C5" s="141"/>
      <c r="D5" s="141"/>
      <c r="E5" s="141" t="s">
        <v>140</v>
      </c>
    </row>
    <row r="6" spans="1:5">
      <c r="A6" s="141"/>
      <c r="B6" s="186"/>
      <c r="C6" s="186"/>
      <c r="D6" s="187"/>
      <c r="E6" s="141" t="s">
        <v>180</v>
      </c>
    </row>
    <row r="7" spans="1:5">
      <c r="A7" s="186"/>
      <c r="B7" s="186"/>
      <c r="C7" s="186"/>
      <c r="D7" s="187"/>
      <c r="E7" s="186"/>
    </row>
    <row r="8" spans="1:5">
      <c r="A8" s="186" t="s">
        <v>105</v>
      </c>
      <c r="B8" s="186"/>
      <c r="C8" s="186"/>
      <c r="D8" s="187"/>
      <c r="E8" s="186">
        <v>1</v>
      </c>
    </row>
    <row r="9" spans="1:5">
      <c r="A9" s="186"/>
      <c r="B9" s="186"/>
      <c r="C9" s="186"/>
      <c r="D9" s="187"/>
      <c r="E9" s="186"/>
    </row>
    <row r="10" spans="1:5">
      <c r="A10" s="186" t="s">
        <v>53</v>
      </c>
      <c r="B10" s="186"/>
      <c r="C10" s="186"/>
      <c r="D10" s="187"/>
      <c r="E10" s="186"/>
    </row>
    <row r="11" spans="1:5">
      <c r="A11" s="186"/>
      <c r="B11" s="186"/>
      <c r="C11" s="186"/>
      <c r="D11" s="187"/>
      <c r="E11" s="186"/>
    </row>
    <row r="12" spans="1:5">
      <c r="A12" s="186" t="s">
        <v>106</v>
      </c>
      <c r="B12" s="186"/>
      <c r="C12" s="186"/>
      <c r="D12" s="187"/>
      <c r="E12" s="186">
        <v>3.3262885794710221E-3</v>
      </c>
    </row>
    <row r="13" spans="1:5">
      <c r="A13" s="186"/>
      <c r="B13" s="186"/>
      <c r="C13" s="186"/>
      <c r="D13" s="187"/>
      <c r="E13" s="186"/>
    </row>
    <row r="14" spans="1:5">
      <c r="A14" s="186" t="s">
        <v>107</v>
      </c>
      <c r="B14" s="186"/>
      <c r="C14" s="186"/>
      <c r="D14" s="187"/>
      <c r="E14" s="186">
        <v>2E-3</v>
      </c>
    </row>
    <row r="15" spans="1:5">
      <c r="A15" s="186"/>
      <c r="B15" s="186"/>
      <c r="C15" s="186"/>
      <c r="D15" s="187"/>
      <c r="E15" s="186"/>
    </row>
    <row r="16" spans="1:5">
      <c r="A16" s="186" t="s">
        <v>108</v>
      </c>
      <c r="B16" s="186"/>
      <c r="C16" s="186"/>
      <c r="D16" s="187"/>
      <c r="E16" s="186">
        <v>3.8605159538162764E-2</v>
      </c>
    </row>
    <row r="17" spans="1:10">
      <c r="A17" s="186"/>
      <c r="B17" s="186"/>
      <c r="C17" s="186"/>
      <c r="D17" s="187"/>
      <c r="E17" s="186"/>
    </row>
    <row r="18" spans="1:10">
      <c r="A18" s="186"/>
      <c r="B18" s="186"/>
      <c r="C18" s="186"/>
      <c r="D18" s="187"/>
      <c r="E18" s="187"/>
    </row>
    <row r="19" spans="1:10">
      <c r="A19" s="186" t="s">
        <v>54</v>
      </c>
      <c r="B19" s="186"/>
      <c r="C19" s="186"/>
      <c r="D19" s="187"/>
      <c r="E19" s="188">
        <f>SUM(E11:E17)</f>
        <v>4.393144811763379E-2</v>
      </c>
      <c r="J19" s="92"/>
    </row>
    <row r="20" spans="1:10" ht="15.75" thickBot="1">
      <c r="A20" s="186"/>
      <c r="B20" s="186"/>
      <c r="C20" s="186"/>
      <c r="D20" s="187"/>
      <c r="E20" s="187"/>
    </row>
    <row r="21" spans="1:10" ht="16.5" thickTop="1" thickBot="1">
      <c r="A21" s="186" t="s">
        <v>55</v>
      </c>
      <c r="B21" s="186"/>
      <c r="C21" s="186"/>
      <c r="D21" s="187"/>
      <c r="E21" s="140">
        <f>E8-E19</f>
        <v>0.95606855188236617</v>
      </c>
    </row>
    <row r="22" spans="1:10" ht="15.75" thickTop="1">
      <c r="A22" s="186"/>
      <c r="B22" s="186"/>
      <c r="C22" s="186"/>
      <c r="D22" s="187"/>
      <c r="E22" s="186"/>
    </row>
    <row r="23" spans="1:10">
      <c r="A23" s="186" t="s">
        <v>109</v>
      </c>
      <c r="B23" s="130">
        <v>0.21</v>
      </c>
      <c r="C23" s="189"/>
      <c r="D23" s="187"/>
      <c r="E23" s="186">
        <v>0.20077439589529689</v>
      </c>
    </row>
    <row r="24" spans="1:10">
      <c r="A24" s="186"/>
      <c r="B24" s="186"/>
      <c r="C24" s="186"/>
      <c r="D24" s="187"/>
      <c r="E24" s="186"/>
    </row>
    <row r="25" spans="1:10">
      <c r="A25" s="186" t="s">
        <v>52</v>
      </c>
      <c r="B25" s="186"/>
      <c r="C25" s="186"/>
      <c r="D25" s="187"/>
      <c r="E25" s="188">
        <f>E21-E23</f>
        <v>0.75529415598706928</v>
      </c>
    </row>
    <row r="26" spans="1:10">
      <c r="A26" s="90"/>
      <c r="B26" s="90"/>
      <c r="C26" s="90"/>
      <c r="E26" s="90"/>
    </row>
    <row r="27" spans="1:10">
      <c r="A27" s="90"/>
      <c r="B27" s="90"/>
      <c r="C27" s="90"/>
      <c r="E27" s="90"/>
    </row>
    <row r="28" spans="1:10">
      <c r="A28" s="90"/>
      <c r="B28" s="90"/>
      <c r="C28" s="90"/>
      <c r="D28" s="90"/>
      <c r="E28" s="90"/>
    </row>
    <row r="33" spans="2:6">
      <c r="F33" s="100"/>
    </row>
    <row r="41" spans="2:6">
      <c r="B41" s="98"/>
    </row>
    <row r="42" spans="2:6">
      <c r="C42" s="94"/>
    </row>
    <row r="43" spans="2:6">
      <c r="C43" s="96"/>
    </row>
    <row r="44" spans="2:6">
      <c r="C44" s="96"/>
    </row>
    <row r="49" spans="2:2">
      <c r="B49" s="91" t="s">
        <v>111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2:K55"/>
  <sheetViews>
    <sheetView topLeftCell="A10" workbookViewId="0">
      <selection activeCell="E21" sqref="E21"/>
    </sheetView>
  </sheetViews>
  <sheetFormatPr defaultColWidth="9.140625" defaultRowHeight="12.75"/>
  <cols>
    <col min="1" max="1" width="20" style="136" customWidth="1"/>
    <col min="2" max="2" width="11.7109375" style="136" bestFit="1" customWidth="1"/>
    <col min="3" max="3" width="11.28515625" style="136" bestFit="1" customWidth="1"/>
    <col min="4" max="4" width="10.42578125" style="136" customWidth="1"/>
    <col min="5" max="5" width="9.140625" style="136"/>
    <col min="6" max="6" width="11.140625" style="136" bestFit="1" customWidth="1"/>
    <col min="7" max="7" width="26.28515625" style="136" bestFit="1" customWidth="1"/>
    <col min="8" max="8" width="20.85546875" style="136" bestFit="1" customWidth="1"/>
    <col min="9" max="9" width="12.42578125" style="136" customWidth="1"/>
    <col min="10" max="10" width="42.28515625" style="136" bestFit="1" customWidth="1"/>
    <col min="11" max="11" width="12.28515625" style="136" bestFit="1" customWidth="1"/>
    <col min="12" max="16384" width="9.140625" style="136"/>
  </cols>
  <sheetData>
    <row r="12" spans="1:9" ht="25.5">
      <c r="A12" s="202" t="s">
        <v>118</v>
      </c>
      <c r="B12" s="203" t="s">
        <v>119</v>
      </c>
      <c r="C12" s="203" t="s">
        <v>142</v>
      </c>
      <c r="D12" s="204" t="s">
        <v>120</v>
      </c>
      <c r="I12" s="137"/>
    </row>
    <row r="13" spans="1:9">
      <c r="A13" s="205" t="s">
        <v>98</v>
      </c>
      <c r="B13" s="206">
        <f>'Rate Design'!C39</f>
        <v>9</v>
      </c>
      <c r="C13" s="144"/>
      <c r="D13" s="207">
        <f>B13</f>
        <v>9</v>
      </c>
    </row>
    <row r="14" spans="1:9">
      <c r="A14" s="205" t="s">
        <v>121</v>
      </c>
      <c r="B14" s="208">
        <f>'Rate Design'!C40</f>
        <v>8.3549999999999999E-2</v>
      </c>
      <c r="C14" s="208">
        <f>'Rate Design'!D18</f>
        <v>4.5307320604523384E-4</v>
      </c>
      <c r="D14" s="209">
        <f>B14+C14</f>
        <v>8.4003073206045234E-2</v>
      </c>
    </row>
    <row r="15" spans="1:9">
      <c r="A15" s="205" t="s">
        <v>122</v>
      </c>
      <c r="B15" s="208">
        <f>'Rate Design'!C41</f>
        <v>9.8360000000000003E-2</v>
      </c>
      <c r="C15" s="208">
        <f>C14</f>
        <v>4.5307320604523384E-4</v>
      </c>
      <c r="D15" s="209">
        <f t="shared" ref="D15:D16" si="0">B15+C15</f>
        <v>9.8813073206045238E-2</v>
      </c>
    </row>
    <row r="16" spans="1:9">
      <c r="A16" s="210" t="s">
        <v>136</v>
      </c>
      <c r="B16" s="211">
        <v>0.1056</v>
      </c>
      <c r="C16" s="211">
        <f>C15</f>
        <v>4.5307320604523384E-4</v>
      </c>
      <c r="D16" s="212">
        <f t="shared" si="0"/>
        <v>0.10605307320604523</v>
      </c>
    </row>
    <row r="17" spans="6:11">
      <c r="F17" s="267" t="s">
        <v>173</v>
      </c>
      <c r="G17" s="267"/>
      <c r="H17" s="267"/>
    </row>
    <row r="18" spans="6:11">
      <c r="F18" s="236" t="s">
        <v>123</v>
      </c>
      <c r="G18" s="230" t="s">
        <v>126</v>
      </c>
      <c r="H18" s="235" t="s">
        <v>143</v>
      </c>
    </row>
    <row r="19" spans="6:11">
      <c r="F19" s="143" t="s">
        <v>124</v>
      </c>
      <c r="G19" s="144" t="s">
        <v>127</v>
      </c>
      <c r="H19" s="182">
        <f>'Rate Design'!D23</f>
        <v>4.3337127613455994E-3</v>
      </c>
    </row>
    <row r="20" spans="6:11">
      <c r="F20" s="143" t="s">
        <v>169</v>
      </c>
      <c r="G20" s="144" t="s">
        <v>128</v>
      </c>
      <c r="H20" s="182">
        <f>'Rate Design'!E23</f>
        <v>3.458091003584329E-3</v>
      </c>
    </row>
    <row r="21" spans="6:11">
      <c r="F21" s="143" t="s">
        <v>170</v>
      </c>
      <c r="G21" s="144" t="s">
        <v>129</v>
      </c>
      <c r="H21" s="182">
        <f>'Rate Design'!F23</f>
        <v>4.9798243921769262E-3</v>
      </c>
    </row>
    <row r="22" spans="6:11">
      <c r="F22" s="143" t="s">
        <v>171</v>
      </c>
      <c r="G22" s="144" t="s">
        <v>131</v>
      </c>
      <c r="H22" s="182">
        <f>'Rate Design'!G23</f>
        <v>6.9321723526046403E-3</v>
      </c>
    </row>
    <row r="23" spans="6:11">
      <c r="F23" s="143" t="s">
        <v>125</v>
      </c>
      <c r="G23" s="144" t="s">
        <v>130</v>
      </c>
      <c r="H23" s="182">
        <f>'Rate Design'!H23</f>
        <v>4.7510436330204997E-3</v>
      </c>
    </row>
    <row r="24" spans="6:11">
      <c r="F24" s="145" t="s">
        <v>132</v>
      </c>
      <c r="G24" s="144" t="s">
        <v>81</v>
      </c>
      <c r="H24" s="182">
        <f>'Rate Design'!I23</f>
        <v>1.2255094093683075E-3</v>
      </c>
    </row>
    <row r="25" spans="6:11">
      <c r="F25" s="146"/>
      <c r="G25" s="147" t="s">
        <v>133</v>
      </c>
      <c r="H25" s="181">
        <f>'Rate Design'!C23</f>
        <v>4.6283400457135917E-3</v>
      </c>
    </row>
    <row r="26" spans="6:11">
      <c r="F26" s="239"/>
      <c r="G26" s="237"/>
      <c r="H26" s="240"/>
    </row>
    <row r="27" spans="6:11">
      <c r="J27" s="266" t="s">
        <v>174</v>
      </c>
      <c r="K27" s="266"/>
    </row>
    <row r="28" spans="6:11">
      <c r="J28" s="233"/>
      <c r="K28" s="234" t="s">
        <v>168</v>
      </c>
    </row>
    <row r="29" spans="6:11">
      <c r="J29" s="226" t="s">
        <v>192</v>
      </c>
      <c r="K29" s="228">
        <f>B45/1000000</f>
        <v>-0.45655956507069689</v>
      </c>
    </row>
    <row r="30" spans="6:11">
      <c r="J30" s="226" t="s">
        <v>193</v>
      </c>
      <c r="K30" s="227">
        <f>-'Forecast Balance'!B19/1000000</f>
        <v>-0.432564</v>
      </c>
    </row>
    <row r="31" spans="6:11">
      <c r="J31" s="226" t="s">
        <v>167</v>
      </c>
      <c r="K31" s="229">
        <f>-'Forecast Balance'!B21/1000000+(('8-2023 thru 7-2024 RECs'!E25-'8-2023 thru 7-2024 RECs'!E21)/1000000)</f>
        <v>-6.5167811929889352E-2</v>
      </c>
    </row>
    <row r="32" spans="6:11">
      <c r="J32" s="226" t="s">
        <v>194</v>
      </c>
      <c r="K32" s="228">
        <f>SUM(K29:K31)</f>
        <v>-0.95429137700058631</v>
      </c>
    </row>
    <row r="33" spans="1:11">
      <c r="J33" s="226" t="s">
        <v>172</v>
      </c>
      <c r="K33" s="229">
        <v>3.6</v>
      </c>
    </row>
    <row r="34" spans="1:11">
      <c r="J34" s="231" t="s">
        <v>198</v>
      </c>
      <c r="K34" s="232">
        <f>K32+K33</f>
        <v>2.6457086229994138</v>
      </c>
    </row>
    <row r="35" spans="1:11">
      <c r="J35" s="237"/>
      <c r="K35" s="238"/>
    </row>
    <row r="36" spans="1:11" ht="25.5">
      <c r="B36" s="216" t="s">
        <v>161</v>
      </c>
      <c r="C36" s="215" t="s">
        <v>195</v>
      </c>
      <c r="D36" s="216" t="s">
        <v>162</v>
      </c>
    </row>
    <row r="37" spans="1:11">
      <c r="A37" s="136" t="s">
        <v>164</v>
      </c>
      <c r="B37" s="218">
        <f>491871.51-3184562.34</f>
        <v>-2692690.83</v>
      </c>
      <c r="C37" s="218">
        <v>-419063.17</v>
      </c>
      <c r="D37" s="218">
        <f>C37-B37</f>
        <v>2273627.66</v>
      </c>
    </row>
    <row r="38" spans="1:11">
      <c r="A38" s="136" t="s">
        <v>160</v>
      </c>
      <c r="B38" s="219">
        <v>-537350.23000000021</v>
      </c>
      <c r="C38" s="219">
        <v>-2547410</v>
      </c>
      <c r="D38" s="219">
        <f>C38-B38</f>
        <v>-2010059.7699999998</v>
      </c>
    </row>
    <row r="39" spans="1:11">
      <c r="A39" s="136" t="s">
        <v>163</v>
      </c>
      <c r="B39" s="219">
        <v>2642369.73</v>
      </c>
      <c r="C39" s="219">
        <v>637197</v>
      </c>
      <c r="D39" s="219">
        <f>C39-B39</f>
        <v>-2005172.73</v>
      </c>
    </row>
    <row r="40" spans="1:11">
      <c r="A40" s="136" t="s">
        <v>86</v>
      </c>
      <c r="B40" s="219">
        <v>-41138.910000000011</v>
      </c>
      <c r="C40" s="219">
        <v>-43751</v>
      </c>
      <c r="D40" s="219">
        <f>C40-B40</f>
        <v>-2612.0899999999892</v>
      </c>
    </row>
    <row r="41" spans="1:11">
      <c r="A41" s="136" t="s">
        <v>197</v>
      </c>
      <c r="B41" s="220">
        <f>SUM(B37:B40)</f>
        <v>-628810.24000000057</v>
      </c>
      <c r="C41" s="220">
        <v>-2373027.17</v>
      </c>
      <c r="D41" s="220">
        <f>SUM(D37:D40)</f>
        <v>-1744216.9299999997</v>
      </c>
    </row>
    <row r="42" spans="1:11">
      <c r="A42" s="136" t="s">
        <v>166</v>
      </c>
      <c r="B42" s="219">
        <f>-SUM('Forecast Balance'!F4:I4)</f>
        <v>-878236</v>
      </c>
      <c r="C42" s="219">
        <v>-774057.89489999996</v>
      </c>
      <c r="D42" s="219">
        <f>C42-B42</f>
        <v>104178.10510000004</v>
      </c>
    </row>
    <row r="43" spans="1:11">
      <c r="A43" s="136" t="s">
        <v>165</v>
      </c>
      <c r="B43" s="219">
        <f>-SUM('Forecast Balance'!F3:I3)</f>
        <v>1062656.417585915</v>
      </c>
      <c r="C43" s="219">
        <v>258771.11470351098</v>
      </c>
      <c r="D43" s="219">
        <f>C43-B43</f>
        <v>-803885.30288240395</v>
      </c>
    </row>
    <row r="44" spans="1:11">
      <c r="A44" s="136" t="s">
        <v>86</v>
      </c>
      <c r="B44" s="219">
        <f>-SUM('Forecast Balance'!F7:I7)</f>
        <v>-12169.742656611143</v>
      </c>
      <c r="C44" s="219">
        <v>-58705.953222855445</v>
      </c>
      <c r="D44" s="219">
        <f>C44-B44</f>
        <v>-46536.210566244306</v>
      </c>
    </row>
    <row r="45" spans="1:11">
      <c r="A45" s="136" t="s">
        <v>196</v>
      </c>
      <c r="B45" s="221">
        <f>SUM(B41:B44)</f>
        <v>-456559.56507069687</v>
      </c>
      <c r="C45" s="220">
        <v>-2947019.9034193442</v>
      </c>
      <c r="D45" s="220">
        <f>SUM(D41:D44)</f>
        <v>-2490460.3383486476</v>
      </c>
    </row>
    <row r="46" spans="1:11">
      <c r="B46" s="217"/>
    </row>
    <row r="47" spans="1:11">
      <c r="A47" s="216"/>
      <c r="B47" s="216"/>
      <c r="C47" s="216"/>
    </row>
    <row r="48" spans="1:11">
      <c r="C48" s="218"/>
      <c r="D48" s="224"/>
    </row>
    <row r="49" spans="1:4">
      <c r="C49" s="222"/>
      <c r="D49" s="224"/>
    </row>
    <row r="50" spans="1:4">
      <c r="C50" s="222"/>
      <c r="D50" s="224"/>
    </row>
    <row r="51" spans="1:4">
      <c r="C51" s="224"/>
      <c r="D51" s="224"/>
    </row>
    <row r="52" spans="1:4">
      <c r="C52" s="225"/>
    </row>
    <row r="53" spans="1:4">
      <c r="C53" s="225"/>
    </row>
    <row r="54" spans="1:4">
      <c r="A54" s="122"/>
      <c r="B54" s="122"/>
    </row>
    <row r="55" spans="1:4" ht="15">
      <c r="A55" s="122"/>
      <c r="B55" s="122"/>
      <c r="C55" s="131"/>
    </row>
  </sheetData>
  <mergeCells count="2">
    <mergeCell ref="J27:K27"/>
    <mergeCell ref="F17:H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F2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D08190FEB60742969B987725874D97" ma:contentTypeVersion="24" ma:contentTypeDescription="" ma:contentTypeScope="" ma:versionID="a6d49ac6bdecd2a8e3d621e7982fe5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2023-05-31T07:00:00+00:00</OpenedDate>
    <SignificantOrder xmlns="dc463f71-b30c-4ab2-9473-d307f9d35888">false</SignificantOrder>
    <Date1 xmlns="dc463f71-b30c-4ab2-9473-d307f9d35888">2023-05-31T07:00:00+00:00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230412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578DCBE3-7DC7-4313-AAD9-891077C12CC9}"/>
</file>

<file path=customXml/itemProps3.xml><?xml version="1.0" encoding="utf-8"?>
<ds:datastoreItem xmlns:ds="http://schemas.openxmlformats.org/officeDocument/2006/customXml" ds:itemID="{317212D0-F9E2-4E9D-BD7E-779A49F8E159}"/>
</file>

<file path=customXml/itemProps4.xml><?xml version="1.0" encoding="utf-8"?>
<ds:datastoreItem xmlns:ds="http://schemas.openxmlformats.org/officeDocument/2006/customXml" ds:itemID="{60EDC027-889D-4238-A660-AB261C2C2FBD}"/>
</file>

<file path=customXml/itemProps5.xml><?xml version="1.0" encoding="utf-8"?>
<ds:datastoreItem xmlns:ds="http://schemas.openxmlformats.org/officeDocument/2006/customXml" ds:itemID="{802D2E3B-EFE9-4AE7-9D68-43D124CA2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Rate Design</vt:lpstr>
      <vt:lpstr>4-2023 thru 7-2023 RECs</vt:lpstr>
      <vt:lpstr>8-2023 thru 7-2024 RECs</vt:lpstr>
      <vt:lpstr>Forecast Balance</vt:lpstr>
      <vt:lpstr>Forecasted Revenue</vt:lpstr>
      <vt:lpstr>kWh Forecast</vt:lpstr>
      <vt:lpstr>CF WA Elec</vt:lpstr>
      <vt:lpstr>Tables for Cust Notice</vt:lpstr>
      <vt:lpstr>'Forecast Balance'!Print_Area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Garbarino, Marcus</cp:lastModifiedBy>
  <cp:lastPrinted>2023-05-26T03:24:33Z</cp:lastPrinted>
  <dcterms:created xsi:type="dcterms:W3CDTF">2016-02-09T19:01:57Z</dcterms:created>
  <dcterms:modified xsi:type="dcterms:W3CDTF">2023-05-26T03:24:44Z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0x0101006E56B4D1795A2E4DB2F0B01679ED314A0070D08190FEB60742969B987725874D97</vt:lpwstr>
  </property>
  <property fmtid="{D5CDD505-2E9C-101B-9397-08002B2CF9AE}" pid="3" name="_docset_NoMedatataSyncRequired">
    <vt:lpwstr>False</vt:lpwstr>
  </property>
</Properties>
</file>